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C3278A69-C8BA-432D-B653-44D9CA801D8E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Nr1" sheetId="10" r:id="rId1"/>
    <sheet name="Zał.Nr2" sheetId="12" r:id="rId2"/>
    <sheet name="Zał.Nr3" sheetId="13" r:id="rId3"/>
    <sheet name="Zał.Nr4" sheetId="14" r:id="rId4"/>
    <sheet name="Zał.Nr5" sheetId="15" r:id="rId5"/>
    <sheet name="Zał.Nr6" sheetId="11" r:id="rId6"/>
    <sheet name="Zał.Nr7" sheetId="16" r:id="rId7"/>
    <sheet name="Arkusz1" sheetId="4" r:id="rId8"/>
  </sheets>
  <definedNames>
    <definedName name="_xlnm._FilterDatabase" localSheetId="0" hidden="1">Zał.Nr1!$A$10:$H$559</definedName>
    <definedName name="_xlnm._FilterDatabase" localSheetId="1" hidden="1">Zał.Nr2!$M$1:$M$41</definedName>
    <definedName name="_xlnm.Print_Area" localSheetId="0">Zał.Nr1!$A$1:$H$611</definedName>
    <definedName name="_xlnm.Print_Area" localSheetId="1">Zał.Nr2!$A$1:$M$20</definedName>
    <definedName name="_xlnm.Print_Area" localSheetId="6">Zał.Nr7!$A$1:$G$195</definedName>
    <definedName name="_xlnm.Print_Titles" localSheetId="0">Zał.Nr1!$7:$9</definedName>
    <definedName name="_xlnm.Print_Titles" localSheetId="1">Zał.Nr2!$7:$14</definedName>
    <definedName name="_xlnm.Print_Titles" localSheetId="2">Zał.Nr3!$8:$14</definedName>
    <definedName name="_xlnm.Print_Titles" localSheetId="4">Zał.Nr5!$9:$10</definedName>
    <definedName name="_xlnm.Print_Titles" localSheetId="6">Zał.Nr7!$10:$11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3" i="16" l="1"/>
  <c r="G192" i="16"/>
  <c r="G191" i="16" s="1"/>
  <c r="G189" i="16" s="1"/>
  <c r="G187" i="16"/>
  <c r="G186" i="16"/>
  <c r="G184" i="16" s="1"/>
  <c r="G182" i="16" s="1"/>
  <c r="F181" i="16"/>
  <c r="G179" i="16"/>
  <c r="G177" i="16"/>
  <c r="G176" i="16"/>
  <c r="G174" i="16" s="1"/>
  <c r="G172" i="16"/>
  <c r="G171" i="16" s="1"/>
  <c r="G169" i="16" s="1"/>
  <c r="G167" i="16"/>
  <c r="G166" i="16"/>
  <c r="G165" i="16"/>
  <c r="G164" i="16"/>
  <c r="G162" i="16" s="1"/>
  <c r="G160" i="16" s="1"/>
  <c r="G163" i="16"/>
  <c r="G158" i="16"/>
  <c r="G157" i="16" s="1"/>
  <c r="G155" i="16" s="1"/>
  <c r="G153" i="16"/>
  <c r="G152" i="16"/>
  <c r="G151" i="16"/>
  <c r="G150" i="16"/>
  <c r="G149" i="16"/>
  <c r="G148" i="16"/>
  <c r="G146" i="16" s="1"/>
  <c r="G144" i="16"/>
  <c r="G143" i="16" s="1"/>
  <c r="G141" i="16" s="1"/>
  <c r="G139" i="16"/>
  <c r="G138" i="16"/>
  <c r="G137" i="16"/>
  <c r="G136" i="16"/>
  <c r="G134" i="16" s="1"/>
  <c r="G132" i="16" s="1"/>
  <c r="G135" i="16"/>
  <c r="G130" i="16"/>
  <c r="G129" i="16"/>
  <c r="G128" i="16"/>
  <c r="G127" i="16"/>
  <c r="G126" i="16"/>
  <c r="G125" i="16" s="1"/>
  <c r="G123" i="16" s="1"/>
  <c r="G121" i="16"/>
  <c r="G120" i="16"/>
  <c r="G119" i="16"/>
  <c r="G118" i="16"/>
  <c r="G117" i="16"/>
  <c r="G116" i="16"/>
  <c r="G114" i="16" s="1"/>
  <c r="G112" i="16"/>
  <c r="G111" i="16" s="1"/>
  <c r="G109" i="16" s="1"/>
  <c r="G107" i="16"/>
  <c r="G106" i="16"/>
  <c r="G105" i="16"/>
  <c r="G104" i="16"/>
  <c r="G102" i="16" s="1"/>
  <c r="G100" i="16" s="1"/>
  <c r="G103" i="16"/>
  <c r="G98" i="16"/>
  <c r="G97" i="16"/>
  <c r="G96" i="16"/>
  <c r="G95" i="16"/>
  <c r="G94" i="16"/>
  <c r="G93" i="16" s="1"/>
  <c r="G91" i="16" s="1"/>
  <c r="G89" i="16"/>
  <c r="G88" i="16"/>
  <c r="G86" i="16" s="1"/>
  <c r="G84" i="16"/>
  <c r="G83" i="16"/>
  <c r="G82" i="16"/>
  <c r="G81" i="16"/>
  <c r="G80" i="16"/>
  <c r="G79" i="16"/>
  <c r="G78" i="16"/>
  <c r="G76" i="16" s="1"/>
  <c r="F73" i="16"/>
  <c r="G71" i="16"/>
  <c r="G70" i="16"/>
  <c r="G69" i="16" s="1"/>
  <c r="G67" i="16" s="1"/>
  <c r="F66" i="16"/>
  <c r="G64" i="16"/>
  <c r="G63" i="16"/>
  <c r="G61" i="16" s="1"/>
  <c r="F60" i="16"/>
  <c r="G58" i="16"/>
  <c r="G57" i="16"/>
  <c r="G55" i="16" s="1"/>
  <c r="G53" i="16" s="1"/>
  <c r="G56" i="16"/>
  <c r="F52" i="16"/>
  <c r="F195" i="16" s="1"/>
  <c r="G50" i="16"/>
  <c r="G49" i="16"/>
  <c r="G48" i="16" s="1"/>
  <c r="G46" i="16"/>
  <c r="G45" i="16" s="1"/>
  <c r="G43" i="16" s="1"/>
  <c r="F42" i="16"/>
  <c r="G40" i="16"/>
  <c r="G39" i="16"/>
  <c r="G38" i="16"/>
  <c r="G37" i="16" s="1"/>
  <c r="G35" i="16" s="1"/>
  <c r="F34" i="16"/>
  <c r="G32" i="16"/>
  <c r="G31" i="16"/>
  <c r="G30" i="16"/>
  <c r="G29" i="16" s="1"/>
  <c r="G27" i="16" s="1"/>
  <c r="F26" i="16"/>
  <c r="G24" i="16"/>
  <c r="G23" i="16"/>
  <c r="G22" i="16"/>
  <c r="G21" i="16" s="1"/>
  <c r="G19" i="16" s="1"/>
  <c r="F18" i="16"/>
  <c r="G16" i="16"/>
  <c r="F12" i="16"/>
  <c r="G74" i="16" l="1"/>
  <c r="G15" i="16"/>
  <c r="G13" i="16" s="1"/>
  <c r="G195" i="16" s="1"/>
  <c r="F160" i="15" l="1"/>
  <c r="F157" i="15"/>
  <c r="F146" i="15"/>
  <c r="F144" i="15"/>
  <c r="F142" i="15"/>
  <c r="F135" i="15"/>
  <c r="F132" i="15"/>
  <c r="F127" i="15"/>
  <c r="F114" i="15"/>
  <c r="F104" i="15"/>
  <c r="F100" i="15"/>
  <c r="F87" i="15"/>
  <c r="F69" i="15"/>
  <c r="F66" i="15"/>
  <c r="F59" i="15"/>
  <c r="F162" i="15" s="1"/>
  <c r="F55" i="15"/>
  <c r="F56" i="15" s="1"/>
  <c r="F54" i="15"/>
  <c r="F53" i="15"/>
  <c r="F48" i="15"/>
  <c r="F47" i="15"/>
  <c r="F46" i="15"/>
  <c r="F44" i="15"/>
  <c r="F43" i="15"/>
  <c r="F41" i="15"/>
  <c r="F40" i="15"/>
  <c r="F38" i="15"/>
  <c r="F36" i="15"/>
  <c r="F31" i="15"/>
  <c r="F28" i="15"/>
  <c r="F26" i="15"/>
  <c r="F19" i="15"/>
  <c r="F17" i="15"/>
  <c r="F15" i="15"/>
  <c r="I20" i="14"/>
  <c r="H20" i="14"/>
  <c r="F19" i="14"/>
  <c r="E19" i="14"/>
  <c r="D19" i="14"/>
  <c r="E18" i="14"/>
  <c r="G17" i="14"/>
  <c r="F17" i="14"/>
  <c r="E17" i="14"/>
  <c r="D17" i="14"/>
  <c r="G16" i="14"/>
  <c r="F16" i="14"/>
  <c r="E16" i="14"/>
  <c r="D16" i="14"/>
  <c r="G15" i="14"/>
  <c r="G20" i="14" s="1"/>
  <c r="F15" i="14"/>
  <c r="F20" i="14" s="1"/>
  <c r="E15" i="14"/>
  <c r="E20" i="14" s="1"/>
  <c r="D15" i="14"/>
  <c r="F14" i="14"/>
  <c r="E14" i="14"/>
  <c r="D14" i="14"/>
  <c r="D20" i="14" s="1"/>
  <c r="F163" i="15" l="1"/>
  <c r="G33" i="11"/>
  <c r="F33" i="11"/>
  <c r="E33" i="11"/>
  <c r="D33" i="11"/>
  <c r="H610" i="10"/>
  <c r="H609" i="10"/>
  <c r="G608" i="10"/>
  <c r="G607" i="10" s="1"/>
  <c r="G606" i="10" s="1"/>
  <c r="F608" i="10"/>
  <c r="H608" i="10" s="1"/>
  <c r="H605" i="10"/>
  <c r="G604" i="10"/>
  <c r="F604" i="10"/>
  <c r="H603" i="10"/>
  <c r="G602" i="10"/>
  <c r="F602" i="10"/>
  <c r="H602" i="10" s="1"/>
  <c r="H597" i="10"/>
  <c r="H596" i="10"/>
  <c r="H595" i="10"/>
  <c r="H594" i="10"/>
  <c r="H593" i="10"/>
  <c r="H592" i="10"/>
  <c r="H591" i="10"/>
  <c r="G590" i="10"/>
  <c r="G589" i="10" s="1"/>
  <c r="G588" i="10" s="1"/>
  <c r="F590" i="10"/>
  <c r="F589" i="10"/>
  <c r="H587" i="10"/>
  <c r="H586" i="10"/>
  <c r="H585" i="10"/>
  <c r="H584" i="10"/>
  <c r="H583" i="10"/>
  <c r="H582" i="10"/>
  <c r="H581" i="10"/>
  <c r="H580" i="10"/>
  <c r="H579" i="10"/>
  <c r="H578" i="10"/>
  <c r="F577" i="10"/>
  <c r="H577" i="10" s="1"/>
  <c r="H576" i="10"/>
  <c r="H575" i="10"/>
  <c r="H574" i="10"/>
  <c r="H573" i="10"/>
  <c r="G572" i="10"/>
  <c r="G571" i="10"/>
  <c r="G570" i="10" s="1"/>
  <c r="H569" i="10"/>
  <c r="H568" i="10"/>
  <c r="H567" i="10"/>
  <c r="H566" i="10"/>
  <c r="H565" i="10"/>
  <c r="H564" i="10"/>
  <c r="H563" i="10"/>
  <c r="G562" i="10"/>
  <c r="G561" i="10" s="1"/>
  <c r="F562" i="10"/>
  <c r="H562" i="10" s="1"/>
  <c r="H558" i="10"/>
  <c r="G557" i="10"/>
  <c r="G556" i="10" s="1"/>
  <c r="F557" i="10"/>
  <c r="H553" i="10"/>
  <c r="H552" i="10"/>
  <c r="H551" i="10"/>
  <c r="G550" i="10"/>
  <c r="G549" i="10" s="1"/>
  <c r="F550" i="10"/>
  <c r="F549" i="10" s="1"/>
  <c r="H548" i="10"/>
  <c r="H547" i="10"/>
  <c r="H546" i="10"/>
  <c r="G545" i="10"/>
  <c r="G544" i="10" s="1"/>
  <c r="H544" i="10" s="1"/>
  <c r="F545" i="10"/>
  <c r="H545" i="10" s="1"/>
  <c r="F544" i="10"/>
  <c r="H540" i="10"/>
  <c r="H539" i="10"/>
  <c r="H538" i="10"/>
  <c r="G537" i="10"/>
  <c r="G536" i="10" s="1"/>
  <c r="F537" i="10"/>
  <c r="H537" i="10" s="1"/>
  <c r="H534" i="10"/>
  <c r="H533" i="10"/>
  <c r="G532" i="10"/>
  <c r="G531" i="10" s="1"/>
  <c r="G530" i="10" s="1"/>
  <c r="F532" i="10"/>
  <c r="H532" i="10" s="1"/>
  <c r="F531" i="10"/>
  <c r="H529" i="10"/>
  <c r="H528" i="10"/>
  <c r="G527" i="10"/>
  <c r="F527" i="10"/>
  <c r="H526" i="10"/>
  <c r="G525" i="10"/>
  <c r="F525" i="10"/>
  <c r="H525" i="10" s="1"/>
  <c r="H520" i="10"/>
  <c r="H519" i="10"/>
  <c r="G518" i="10"/>
  <c r="F518" i="10"/>
  <c r="H518" i="10" s="1"/>
  <c r="H517" i="10"/>
  <c r="G516" i="10"/>
  <c r="G513" i="10" s="1"/>
  <c r="G512" i="10" s="1"/>
  <c r="F516" i="10"/>
  <c r="H515" i="10"/>
  <c r="G514" i="10"/>
  <c r="F514" i="10"/>
  <c r="H514" i="10" s="1"/>
  <c r="H510" i="10"/>
  <c r="H509" i="10"/>
  <c r="H508" i="10"/>
  <c r="H507" i="10"/>
  <c r="H506" i="10"/>
  <c r="H505" i="10"/>
  <c r="H504" i="10"/>
  <c r="H503" i="10"/>
  <c r="H502" i="10"/>
  <c r="G501" i="10"/>
  <c r="G500" i="10" s="1"/>
  <c r="F501" i="10"/>
  <c r="H501" i="10" s="1"/>
  <c r="H497" i="10"/>
  <c r="F497" i="10"/>
  <c r="H496" i="10"/>
  <c r="F496" i="10"/>
  <c r="F495" i="10" s="1"/>
  <c r="G495" i="10"/>
  <c r="G494" i="10"/>
  <c r="G493" i="10" s="1"/>
  <c r="H491" i="10"/>
  <c r="H490" i="10"/>
  <c r="H489" i="10"/>
  <c r="G489" i="10"/>
  <c r="G488" i="10" s="1"/>
  <c r="G487" i="10" s="1"/>
  <c r="F489" i="10"/>
  <c r="F488" i="10"/>
  <c r="F487" i="10" s="1"/>
  <c r="H486" i="10"/>
  <c r="G485" i="10"/>
  <c r="G484" i="10" s="1"/>
  <c r="G483" i="10" s="1"/>
  <c r="F485" i="10"/>
  <c r="H485" i="10" s="1"/>
  <c r="H482" i="10"/>
  <c r="H481" i="10"/>
  <c r="H480" i="10"/>
  <c r="G479" i="10"/>
  <c r="G475" i="10" s="1"/>
  <c r="F479" i="10"/>
  <c r="H478" i="10"/>
  <c r="H477" i="10"/>
  <c r="H476" i="10"/>
  <c r="G476" i="10"/>
  <c r="F476" i="10"/>
  <c r="F475" i="10" s="1"/>
  <c r="H474" i="10"/>
  <c r="G473" i="10"/>
  <c r="G472" i="10" s="1"/>
  <c r="F473" i="10"/>
  <c r="F472" i="10" s="1"/>
  <c r="H472" i="10" s="1"/>
  <c r="H471" i="10"/>
  <c r="H470" i="10"/>
  <c r="H469" i="10"/>
  <c r="H468" i="10"/>
  <c r="H467" i="10"/>
  <c r="G467" i="10"/>
  <c r="F467" i="10"/>
  <c r="H466" i="10"/>
  <c r="H465" i="10"/>
  <c r="G464" i="10"/>
  <c r="G462" i="10" s="1"/>
  <c r="F464" i="10"/>
  <c r="H461" i="10"/>
  <c r="H460" i="10"/>
  <c r="G459" i="10"/>
  <c r="F459" i="10"/>
  <c r="G458" i="10"/>
  <c r="H456" i="10"/>
  <c r="H455" i="10"/>
  <c r="H454" i="10"/>
  <c r="G453" i="10"/>
  <c r="G452" i="10" s="1"/>
  <c r="F453" i="10"/>
  <c r="H451" i="10"/>
  <c r="H450" i="10"/>
  <c r="H449" i="10"/>
  <c r="H448" i="10"/>
  <c r="G447" i="10"/>
  <c r="F447" i="10"/>
  <c r="F446" i="10" s="1"/>
  <c r="G446" i="10"/>
  <c r="H445" i="10"/>
  <c r="H444" i="10"/>
  <c r="H443" i="10"/>
  <c r="H442" i="10"/>
  <c r="G441" i="10"/>
  <c r="F441" i="10"/>
  <c r="H441" i="10" s="1"/>
  <c r="H440" i="10"/>
  <c r="H439" i="10"/>
  <c r="H438" i="10"/>
  <c r="G437" i="10"/>
  <c r="G432" i="10" s="1"/>
  <c r="F437" i="10"/>
  <c r="H436" i="10"/>
  <c r="H435" i="10"/>
  <c r="H434" i="10"/>
  <c r="G433" i="10"/>
  <c r="F433" i="10"/>
  <c r="H431" i="10"/>
  <c r="H430" i="10"/>
  <c r="H429" i="10"/>
  <c r="H428" i="10"/>
  <c r="G427" i="10"/>
  <c r="G425" i="10" s="1"/>
  <c r="F427" i="10"/>
  <c r="H427" i="10" s="1"/>
  <c r="F425" i="10"/>
  <c r="H424" i="10"/>
  <c r="G423" i="10"/>
  <c r="G422" i="10" s="1"/>
  <c r="F423" i="10"/>
  <c r="F422" i="10" s="1"/>
  <c r="H422" i="10" s="1"/>
  <c r="H421" i="10"/>
  <c r="H420" i="10"/>
  <c r="G419" i="10"/>
  <c r="G418" i="10" s="1"/>
  <c r="F419" i="10"/>
  <c r="H416" i="10"/>
  <c r="H415" i="10"/>
  <c r="H414" i="10"/>
  <c r="G413" i="10"/>
  <c r="G412" i="10" s="1"/>
  <c r="F413" i="10"/>
  <c r="F412" i="10" s="1"/>
  <c r="H411" i="10"/>
  <c r="H410" i="10"/>
  <c r="H409" i="10"/>
  <c r="H408" i="10"/>
  <c r="G407" i="10"/>
  <c r="F407" i="10"/>
  <c r="G406" i="10"/>
  <c r="H404" i="10"/>
  <c r="H403" i="10"/>
  <c r="G402" i="10"/>
  <c r="G400" i="10" s="1"/>
  <c r="G399" i="10" s="1"/>
  <c r="F402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G376" i="10"/>
  <c r="F376" i="10"/>
  <c r="H376" i="10" s="1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G363" i="10"/>
  <c r="F363" i="10"/>
  <c r="H362" i="10"/>
  <c r="H361" i="10"/>
  <c r="H360" i="10"/>
  <c r="H359" i="10"/>
  <c r="H358" i="10"/>
  <c r="H357" i="10"/>
  <c r="H356" i="10"/>
  <c r="G355" i="10"/>
  <c r="F355" i="10"/>
  <c r="H355" i="10" s="1"/>
  <c r="H354" i="10"/>
  <c r="H353" i="10"/>
  <c r="G352" i="10"/>
  <c r="G351" i="10" s="1"/>
  <c r="F352" i="10"/>
  <c r="H350" i="10"/>
  <c r="H349" i="10"/>
  <c r="G348" i="10"/>
  <c r="F348" i="10"/>
  <c r="F347" i="10" s="1"/>
  <c r="G347" i="10"/>
  <c r="H346" i="10"/>
  <c r="G345" i="10"/>
  <c r="G343" i="10" s="1"/>
  <c r="F345" i="10"/>
  <c r="F343" i="10" s="1"/>
  <c r="H341" i="10"/>
  <c r="H340" i="10"/>
  <c r="H339" i="10"/>
  <c r="H338" i="10"/>
  <c r="G337" i="10"/>
  <c r="H337" i="10" s="1"/>
  <c r="H336" i="10"/>
  <c r="F335" i="10"/>
  <c r="F334" i="10" s="1"/>
  <c r="H333" i="10"/>
  <c r="H332" i="10"/>
  <c r="H331" i="10"/>
  <c r="G330" i="10"/>
  <c r="G329" i="10" s="1"/>
  <c r="F330" i="10"/>
  <c r="H328" i="10"/>
  <c r="G327" i="10"/>
  <c r="G326" i="10" s="1"/>
  <c r="F327" i="10"/>
  <c r="F326" i="10" s="1"/>
  <c r="H323" i="10"/>
  <c r="H322" i="10"/>
  <c r="G322" i="10"/>
  <c r="F322" i="10"/>
  <c r="G321" i="10"/>
  <c r="F321" i="10"/>
  <c r="H321" i="10" s="1"/>
  <c r="H320" i="10"/>
  <c r="H319" i="10"/>
  <c r="H318" i="10"/>
  <c r="H317" i="10"/>
  <c r="G317" i="10"/>
  <c r="F317" i="10"/>
  <c r="H316" i="10"/>
  <c r="H315" i="10"/>
  <c r="H314" i="10"/>
  <c r="H313" i="10"/>
  <c r="H312" i="10"/>
  <c r="H311" i="10"/>
  <c r="G311" i="10"/>
  <c r="F311" i="10"/>
  <c r="H310" i="10"/>
  <c r="H309" i="10"/>
  <c r="G308" i="10"/>
  <c r="F308" i="10"/>
  <c r="G307" i="10"/>
  <c r="G306" i="10"/>
  <c r="H305" i="10"/>
  <c r="H304" i="10"/>
  <c r="H303" i="10"/>
  <c r="H302" i="10"/>
  <c r="H301" i="10"/>
  <c r="G300" i="10"/>
  <c r="F300" i="10"/>
  <c r="H300" i="10" s="1"/>
  <c r="H298" i="10"/>
  <c r="H297" i="10"/>
  <c r="H296" i="10"/>
  <c r="H295" i="10"/>
  <c r="G294" i="10"/>
  <c r="G293" i="10" s="1"/>
  <c r="F294" i="10"/>
  <c r="H294" i="10" s="1"/>
  <c r="F292" i="10"/>
  <c r="H292" i="10" s="1"/>
  <c r="H291" i="10"/>
  <c r="G290" i="10"/>
  <c r="F290" i="10"/>
  <c r="H290" i="10" s="1"/>
  <c r="F289" i="10"/>
  <c r="H289" i="10" s="1"/>
  <c r="G288" i="10"/>
  <c r="G287" i="10"/>
  <c r="H284" i="10"/>
  <c r="H283" i="10"/>
  <c r="H282" i="10"/>
  <c r="H281" i="10"/>
  <c r="G280" i="10"/>
  <c r="G279" i="10" s="1"/>
  <c r="F280" i="10"/>
  <c r="F279" i="10" s="1"/>
  <c r="H271" i="10"/>
  <c r="H270" i="10"/>
  <c r="G269" i="10"/>
  <c r="G268" i="10" s="1"/>
  <c r="F269" i="10"/>
  <c r="F268" i="10" s="1"/>
  <c r="H265" i="10"/>
  <c r="G264" i="10"/>
  <c r="G263" i="10" s="1"/>
  <c r="F264" i="10"/>
  <c r="F263" i="10" s="1"/>
  <c r="H259" i="10"/>
  <c r="G259" i="10"/>
  <c r="H258" i="10"/>
  <c r="H257" i="10"/>
  <c r="H256" i="10"/>
  <c r="H255" i="10"/>
  <c r="H254" i="10"/>
  <c r="G253" i="10"/>
  <c r="G252" i="10" s="1"/>
  <c r="F253" i="10"/>
  <c r="H253" i="10" s="1"/>
  <c r="F252" i="10"/>
  <c r="H251" i="10"/>
  <c r="G250" i="10"/>
  <c r="F250" i="10"/>
  <c r="H249" i="10"/>
  <c r="H248" i="10"/>
  <c r="H247" i="10"/>
  <c r="H246" i="10"/>
  <c r="H245" i="10"/>
  <c r="G244" i="10"/>
  <c r="F244" i="10"/>
  <c r="H244" i="10" s="1"/>
  <c r="H242" i="10"/>
  <c r="H241" i="10"/>
  <c r="H240" i="10"/>
  <c r="G239" i="10"/>
  <c r="H239" i="10" s="1"/>
  <c r="F239" i="10"/>
  <c r="G238" i="10"/>
  <c r="F238" i="10"/>
  <c r="H237" i="10"/>
  <c r="G236" i="10"/>
  <c r="G235" i="10" s="1"/>
  <c r="F236" i="10"/>
  <c r="H236" i="10" s="1"/>
  <c r="H234" i="10"/>
  <c r="G233" i="10"/>
  <c r="F233" i="10"/>
  <c r="H232" i="10"/>
  <c r="G231" i="10"/>
  <c r="F231" i="10"/>
  <c r="H231" i="10" s="1"/>
  <c r="H230" i="10"/>
  <c r="H229" i="10"/>
  <c r="H228" i="10"/>
  <c r="H227" i="10"/>
  <c r="H226" i="10"/>
  <c r="H225" i="10"/>
  <c r="G224" i="10"/>
  <c r="F224" i="10"/>
  <c r="F223" i="10" s="1"/>
  <c r="H222" i="10"/>
  <c r="G221" i="10"/>
  <c r="F221" i="10"/>
  <c r="H221" i="10" s="1"/>
  <c r="H220" i="10"/>
  <c r="G219" i="10"/>
  <c r="G208" i="10" s="1"/>
  <c r="F219" i="10"/>
  <c r="H218" i="10"/>
  <c r="H217" i="10"/>
  <c r="H216" i="10"/>
  <c r="H215" i="10"/>
  <c r="H214" i="10"/>
  <c r="H213" i="10"/>
  <c r="H212" i="10"/>
  <c r="H211" i="10"/>
  <c r="H210" i="10"/>
  <c r="G209" i="10"/>
  <c r="F209" i="10"/>
  <c r="H207" i="10"/>
  <c r="G206" i="10"/>
  <c r="F206" i="10"/>
  <c r="H206" i="10" s="1"/>
  <c r="H205" i="10"/>
  <c r="H204" i="10"/>
  <c r="H203" i="10"/>
  <c r="H202" i="10"/>
  <c r="H201" i="10"/>
  <c r="H200" i="10"/>
  <c r="H199" i="10"/>
  <c r="G198" i="10"/>
  <c r="H198" i="10" s="1"/>
  <c r="H197" i="10"/>
  <c r="H196" i="10"/>
  <c r="H195" i="10"/>
  <c r="G194" i="10"/>
  <c r="F194" i="10"/>
  <c r="F193" i="10" s="1"/>
  <c r="H192" i="10"/>
  <c r="H191" i="10"/>
  <c r="H190" i="10"/>
  <c r="G189" i="10"/>
  <c r="G188" i="10" s="1"/>
  <c r="F189" i="10"/>
  <c r="H189" i="10" s="1"/>
  <c r="H187" i="10"/>
  <c r="H186" i="10"/>
  <c r="H185" i="10"/>
  <c r="H184" i="10"/>
  <c r="H183" i="10"/>
  <c r="G182" i="10"/>
  <c r="G181" i="10" s="1"/>
  <c r="F182" i="10"/>
  <c r="F181" i="10" s="1"/>
  <c r="H180" i="10"/>
  <c r="G179" i="10"/>
  <c r="G178" i="10" s="1"/>
  <c r="F179" i="10"/>
  <c r="F178" i="10" s="1"/>
  <c r="H177" i="10"/>
  <c r="G176" i="10"/>
  <c r="F176" i="10"/>
  <c r="H176" i="10" s="1"/>
  <c r="H175" i="10"/>
  <c r="G174" i="10"/>
  <c r="F174" i="10"/>
  <c r="H173" i="10"/>
  <c r="G172" i="10"/>
  <c r="G164" i="10" s="1"/>
  <c r="G163" i="10" s="1"/>
  <c r="F171" i="10"/>
  <c r="F164" i="10" s="1"/>
  <c r="H164" i="10" s="1"/>
  <c r="H170" i="10"/>
  <c r="H169" i="10"/>
  <c r="H168" i="10"/>
  <c r="H167" i="10"/>
  <c r="H166" i="10"/>
  <c r="H165" i="10"/>
  <c r="H162" i="10"/>
  <c r="G161" i="10"/>
  <c r="G160" i="10" s="1"/>
  <c r="F161" i="10"/>
  <c r="F160" i="10" s="1"/>
  <c r="H159" i="10"/>
  <c r="G158" i="10"/>
  <c r="G157" i="10" s="1"/>
  <c r="F158" i="10"/>
  <c r="F157" i="10" s="1"/>
  <c r="H156" i="10"/>
  <c r="G155" i="10"/>
  <c r="F155" i="10"/>
  <c r="H155" i="10" s="1"/>
  <c r="H154" i="10"/>
  <c r="H153" i="10"/>
  <c r="H152" i="10"/>
  <c r="G151" i="10"/>
  <c r="H151" i="10" s="1"/>
  <c r="F151" i="10"/>
  <c r="H150" i="10"/>
  <c r="H149" i="10"/>
  <c r="H148" i="10"/>
  <c r="H147" i="10"/>
  <c r="H146" i="10"/>
  <c r="H145" i="10"/>
  <c r="H144" i="10"/>
  <c r="H143" i="10"/>
  <c r="H142" i="10"/>
  <c r="H141" i="10"/>
  <c r="H140" i="10"/>
  <c r="G139" i="10"/>
  <c r="F139" i="10"/>
  <c r="H136" i="10"/>
  <c r="H135" i="10"/>
  <c r="H134" i="10"/>
  <c r="H133" i="10"/>
  <c r="G132" i="10"/>
  <c r="G131" i="10" s="1"/>
  <c r="F132" i="10"/>
  <c r="G130" i="10"/>
  <c r="H129" i="10"/>
  <c r="G128" i="10"/>
  <c r="G126" i="10" s="1"/>
  <c r="G125" i="10" s="1"/>
  <c r="F128" i="10"/>
  <c r="F126" i="10" s="1"/>
  <c r="H124" i="10"/>
  <c r="H123" i="10"/>
  <c r="H122" i="10"/>
  <c r="H121" i="10"/>
  <c r="G120" i="10"/>
  <c r="G119" i="10" s="1"/>
  <c r="F120" i="10"/>
  <c r="H118" i="10"/>
  <c r="G117" i="10"/>
  <c r="G116" i="10" s="1"/>
  <c r="F117" i="10"/>
  <c r="H115" i="10"/>
  <c r="H114" i="10"/>
  <c r="G113" i="10"/>
  <c r="G112" i="10" s="1"/>
  <c r="F113" i="10"/>
  <c r="F112" i="10" s="1"/>
  <c r="H112" i="10" s="1"/>
  <c r="H108" i="10"/>
  <c r="G107" i="10"/>
  <c r="F107" i="10"/>
  <c r="F106" i="10" s="1"/>
  <c r="H102" i="10"/>
  <c r="F102" i="10"/>
  <c r="F101" i="10" s="1"/>
  <c r="F100" i="10" s="1"/>
  <c r="G101" i="10"/>
  <c r="H96" i="10"/>
  <c r="G95" i="10"/>
  <c r="G94" i="10" s="1"/>
  <c r="F95" i="10"/>
  <c r="F94" i="10"/>
  <c r="H91" i="10"/>
  <c r="G90" i="10"/>
  <c r="F90" i="10"/>
  <c r="F89" i="10" s="1"/>
  <c r="H89" i="10" s="1"/>
  <c r="G89" i="10"/>
  <c r="H88" i="10"/>
  <c r="G87" i="10"/>
  <c r="F87" i="10"/>
  <c r="F86" i="10" s="1"/>
  <c r="H84" i="10"/>
  <c r="G83" i="10"/>
  <c r="G82" i="10" s="1"/>
  <c r="F83" i="10"/>
  <c r="H83" i="10" s="1"/>
  <c r="H80" i="10"/>
  <c r="G79" i="10"/>
  <c r="F79" i="10"/>
  <c r="F78" i="10" s="1"/>
  <c r="H76" i="10"/>
  <c r="G75" i="10"/>
  <c r="G74" i="10" s="1"/>
  <c r="F75" i="10"/>
  <c r="H75" i="10" s="1"/>
  <c r="G71" i="10"/>
  <c r="H70" i="10"/>
  <c r="G69" i="10"/>
  <c r="F69" i="10"/>
  <c r="H68" i="10"/>
  <c r="G67" i="10"/>
  <c r="F67" i="10"/>
  <c r="F66" i="10" s="1"/>
  <c r="H64" i="10"/>
  <c r="G63" i="10"/>
  <c r="G62" i="10" s="1"/>
  <c r="G61" i="10" s="1"/>
  <c r="F63" i="10"/>
  <c r="H63" i="10" s="1"/>
  <c r="F59" i="10"/>
  <c r="H59" i="10" s="1"/>
  <c r="G58" i="10"/>
  <c r="G57" i="10"/>
  <c r="G56" i="10" s="1"/>
  <c r="H54" i="10"/>
  <c r="G53" i="10"/>
  <c r="G52" i="10" s="1"/>
  <c r="G51" i="10" s="1"/>
  <c r="F53" i="10"/>
  <c r="H50" i="10"/>
  <c r="G49" i="10"/>
  <c r="F49" i="10"/>
  <c r="F48" i="10" s="1"/>
  <c r="G48" i="10"/>
  <c r="G47" i="10" s="1"/>
  <c r="H46" i="10"/>
  <c r="G45" i="10"/>
  <c r="G44" i="10" s="1"/>
  <c r="G42" i="10" s="1"/>
  <c r="F45" i="10"/>
  <c r="H41" i="10"/>
  <c r="G40" i="10"/>
  <c r="G39" i="10" s="1"/>
  <c r="F40" i="10"/>
  <c r="F38" i="10"/>
  <c r="F37" i="10" s="1"/>
  <c r="G37" i="10"/>
  <c r="G36" i="10" s="1"/>
  <c r="H33" i="10"/>
  <c r="G32" i="10"/>
  <c r="G31" i="10" s="1"/>
  <c r="F32" i="10"/>
  <c r="H30" i="10"/>
  <c r="G29" i="10"/>
  <c r="G28" i="10" s="1"/>
  <c r="F29" i="10"/>
  <c r="F28" i="10" s="1"/>
  <c r="H27" i="10"/>
  <c r="G26" i="10"/>
  <c r="F26" i="10"/>
  <c r="F25" i="10"/>
  <c r="F23" i="10"/>
  <c r="F22" i="10" s="1"/>
  <c r="F21" i="10" s="1"/>
  <c r="G22" i="10"/>
  <c r="H19" i="10"/>
  <c r="G18" i="10"/>
  <c r="G17" i="10" s="1"/>
  <c r="G16" i="10" s="1"/>
  <c r="F18" i="10"/>
  <c r="H18" i="10" s="1"/>
  <c r="H15" i="10"/>
  <c r="G14" i="10"/>
  <c r="H14" i="10" s="1"/>
  <c r="F14" i="10"/>
  <c r="G13" i="10"/>
  <c r="G12" i="10" s="1"/>
  <c r="F13" i="10"/>
  <c r="G535" i="10" l="1"/>
  <c r="H223" i="10"/>
  <c r="G499" i="10"/>
  <c r="G560" i="10"/>
  <c r="H23" i="10"/>
  <c r="H29" i="10"/>
  <c r="H38" i="10"/>
  <c r="H67" i="10"/>
  <c r="H74" i="10"/>
  <c r="H79" i="10"/>
  <c r="H87" i="10"/>
  <c r="H95" i="10"/>
  <c r="G138" i="10"/>
  <c r="H172" i="10"/>
  <c r="F188" i="10"/>
  <c r="H188" i="10" s="1"/>
  <c r="H233" i="10"/>
  <c r="F288" i="10"/>
  <c r="H327" i="10"/>
  <c r="H347" i="10"/>
  <c r="H352" i="10"/>
  <c r="G405" i="10"/>
  <c r="H419" i="10"/>
  <c r="H425" i="10"/>
  <c r="H447" i="10"/>
  <c r="F500" i="10"/>
  <c r="F499" i="10" s="1"/>
  <c r="H531" i="10"/>
  <c r="H557" i="10"/>
  <c r="F572" i="10"/>
  <c r="H590" i="10"/>
  <c r="F607" i="10"/>
  <c r="F606" i="10" s="1"/>
  <c r="H269" i="10"/>
  <c r="H345" i="10"/>
  <c r="F536" i="10"/>
  <c r="F535" i="10" s="1"/>
  <c r="F561" i="10"/>
  <c r="F560" i="10" s="1"/>
  <c r="H560" i="10" s="1"/>
  <c r="H90" i="10"/>
  <c r="H28" i="10"/>
  <c r="H32" i="10"/>
  <c r="H49" i="10"/>
  <c r="F74" i="10"/>
  <c r="F71" i="10" s="1"/>
  <c r="H71" i="10" s="1"/>
  <c r="F82" i="10"/>
  <c r="F81" i="10" s="1"/>
  <c r="H81" i="10" s="1"/>
  <c r="H107" i="10"/>
  <c r="H113" i="10"/>
  <c r="H117" i="10"/>
  <c r="H120" i="10"/>
  <c r="H171" i="10"/>
  <c r="H174" i="10"/>
  <c r="G193" i="10"/>
  <c r="H219" i="10"/>
  <c r="G223" i="10"/>
  <c r="H326" i="10"/>
  <c r="H348" i="10"/>
  <c r="G457" i="10"/>
  <c r="H516" i="10"/>
  <c r="H45" i="10"/>
  <c r="F44" i="10"/>
  <c r="H86" i="10"/>
  <c r="G25" i="10"/>
  <c r="G24" i="10" s="1"/>
  <c r="H26" i="10"/>
  <c r="H48" i="10"/>
  <c r="F20" i="10"/>
  <c r="H53" i="10"/>
  <c r="F52" i="10"/>
  <c r="G81" i="10"/>
  <c r="H13" i="10"/>
  <c r="F12" i="10"/>
  <c r="G21" i="10"/>
  <c r="G20" i="10" s="1"/>
  <c r="H22" i="10"/>
  <c r="H37" i="10"/>
  <c r="F36" i="10"/>
  <c r="H36" i="10" s="1"/>
  <c r="H40" i="10"/>
  <c r="F39" i="10"/>
  <c r="H39" i="10" s="1"/>
  <c r="F65" i="10"/>
  <c r="H69" i="10"/>
  <c r="G66" i="10"/>
  <c r="G65" i="10" s="1"/>
  <c r="H25" i="10"/>
  <c r="F47" i="10"/>
  <c r="H47" i="10" s="1"/>
  <c r="H94" i="10"/>
  <c r="G85" i="10"/>
  <c r="G111" i="10"/>
  <c r="G541" i="10"/>
  <c r="F77" i="10"/>
  <c r="G78" i="10"/>
  <c r="G77" i="10" s="1"/>
  <c r="G55" i="10" s="1"/>
  <c r="F85" i="10"/>
  <c r="G86" i="10"/>
  <c r="F99" i="10"/>
  <c r="G100" i="10"/>
  <c r="G99" i="10" s="1"/>
  <c r="G97" i="10" s="1"/>
  <c r="H101" i="10"/>
  <c r="F103" i="10"/>
  <c r="G106" i="10"/>
  <c r="G103" i="10" s="1"/>
  <c r="F119" i="10"/>
  <c r="H119" i="10" s="1"/>
  <c r="H126" i="10"/>
  <c r="H128" i="10"/>
  <c r="H193" i="10"/>
  <c r="H194" i="10"/>
  <c r="H224" i="10"/>
  <c r="G243" i="10"/>
  <c r="G137" i="10" s="1"/>
  <c r="H279" i="10"/>
  <c r="H280" i="10"/>
  <c r="H412" i="10"/>
  <c r="H413" i="10"/>
  <c r="G417" i="10"/>
  <c r="H423" i="10"/>
  <c r="H437" i="10"/>
  <c r="F462" i="10"/>
  <c r="H462" i="10" s="1"/>
  <c r="H464" i="10"/>
  <c r="H473" i="10"/>
  <c r="F484" i="10"/>
  <c r="H487" i="10"/>
  <c r="H488" i="10"/>
  <c r="F494" i="10"/>
  <c r="H495" i="10"/>
  <c r="F513" i="10"/>
  <c r="G524" i="10"/>
  <c r="G521" i="10" s="1"/>
  <c r="G492" i="10" s="1"/>
  <c r="H549" i="10"/>
  <c r="H550" i="10"/>
  <c r="F556" i="10"/>
  <c r="G601" i="10"/>
  <c r="G598" i="10" s="1"/>
  <c r="G559" i="10" s="1"/>
  <c r="H363" i="10"/>
  <c r="F351" i="10"/>
  <c r="H351" i="10" s="1"/>
  <c r="F588" i="10"/>
  <c r="H589" i="10"/>
  <c r="F17" i="10"/>
  <c r="F31" i="10"/>
  <c r="H31" i="10" s="1"/>
  <c r="F58" i="10"/>
  <c r="F111" i="10"/>
  <c r="F116" i="10"/>
  <c r="H116" i="10" s="1"/>
  <c r="F131" i="10"/>
  <c r="H132" i="10"/>
  <c r="H157" i="10"/>
  <c r="H160" i="10"/>
  <c r="H161" i="10"/>
  <c r="H178" i="10"/>
  <c r="H181" i="10"/>
  <c r="H182" i="10"/>
  <c r="H252" i="10"/>
  <c r="H263" i="10"/>
  <c r="H268" i="10"/>
  <c r="F293" i="10"/>
  <c r="F307" i="10"/>
  <c r="H308" i="10"/>
  <c r="F324" i="10"/>
  <c r="H343" i="10"/>
  <c r="F432" i="10"/>
  <c r="H432" i="10" s="1"/>
  <c r="H433" i="10"/>
  <c r="F452" i="10"/>
  <c r="H452" i="10" s="1"/>
  <c r="H453" i="10"/>
  <c r="H606" i="10"/>
  <c r="H139" i="10"/>
  <c r="F287" i="10"/>
  <c r="H287" i="10" s="1"/>
  <c r="H288" i="10"/>
  <c r="H475" i="10"/>
  <c r="F62" i="10"/>
  <c r="F125" i="10"/>
  <c r="H125" i="10" s="1"/>
  <c r="F138" i="10"/>
  <c r="H158" i="10"/>
  <c r="F163" i="10"/>
  <c r="H163" i="10" s="1"/>
  <c r="H179" i="10"/>
  <c r="F208" i="10"/>
  <c r="H208" i="10" s="1"/>
  <c r="H209" i="10"/>
  <c r="F235" i="10"/>
  <c r="H235" i="10" s="1"/>
  <c r="H238" i="10"/>
  <c r="F243" i="10"/>
  <c r="H250" i="10"/>
  <c r="H264" i="10"/>
  <c r="F329" i="10"/>
  <c r="H329" i="10" s="1"/>
  <c r="H330" i="10"/>
  <c r="F400" i="10"/>
  <c r="H402" i="10"/>
  <c r="F406" i="10"/>
  <c r="H407" i="10"/>
  <c r="F418" i="10"/>
  <c r="H446" i="10"/>
  <c r="F458" i="10"/>
  <c r="H459" i="10"/>
  <c r="H479" i="10"/>
  <c r="H499" i="10"/>
  <c r="F524" i="10"/>
  <c r="H527" i="10"/>
  <c r="F530" i="10"/>
  <c r="H530" i="10" s="1"/>
  <c r="H535" i="10"/>
  <c r="F601" i="10"/>
  <c r="H604" i="10"/>
  <c r="G335" i="10"/>
  <c r="H572" i="10" l="1"/>
  <c r="F571" i="10"/>
  <c r="G11" i="10"/>
  <c r="H82" i="10"/>
  <c r="H561" i="10"/>
  <c r="H607" i="10"/>
  <c r="H500" i="10"/>
  <c r="H536" i="10"/>
  <c r="G10" i="10"/>
  <c r="H335" i="10"/>
  <c r="G334" i="10"/>
  <c r="H111" i="10"/>
  <c r="H20" i="10"/>
  <c r="H418" i="10"/>
  <c r="F417" i="10"/>
  <c r="F399" i="10"/>
  <c r="H399" i="10" s="1"/>
  <c r="H400" i="10"/>
  <c r="F57" i="10"/>
  <c r="H58" i="10"/>
  <c r="H556" i="10"/>
  <c r="F541" i="10"/>
  <c r="H541" i="10" s="1"/>
  <c r="F512" i="10"/>
  <c r="H512" i="10" s="1"/>
  <c r="H513" i="10"/>
  <c r="H12" i="10"/>
  <c r="H21" i="10"/>
  <c r="H243" i="10"/>
  <c r="H138" i="10"/>
  <c r="F137" i="10"/>
  <c r="F306" i="10"/>
  <c r="H306" i="10" s="1"/>
  <c r="H307" i="10"/>
  <c r="F130" i="10"/>
  <c r="H130" i="10" s="1"/>
  <c r="H131" i="10"/>
  <c r="F483" i="10"/>
  <c r="H483" i="10" s="1"/>
  <c r="H484" i="10"/>
  <c r="H103" i="10"/>
  <c r="H66" i="10"/>
  <c r="H52" i="10"/>
  <c r="F51" i="10"/>
  <c r="H51" i="10" s="1"/>
  <c r="F42" i="10"/>
  <c r="H42" i="10" s="1"/>
  <c r="H44" i="10"/>
  <c r="F61" i="10"/>
  <c r="H61" i="10" s="1"/>
  <c r="H62" i="10"/>
  <c r="H100" i="10"/>
  <c r="H588" i="10"/>
  <c r="H99" i="10"/>
  <c r="F97" i="10"/>
  <c r="H77" i="10"/>
  <c r="H65" i="10"/>
  <c r="H78" i="10"/>
  <c r="F598" i="10"/>
  <c r="H598" i="10" s="1"/>
  <c r="H601" i="10"/>
  <c r="F521" i="10"/>
  <c r="H521" i="10" s="1"/>
  <c r="H524" i="10"/>
  <c r="F457" i="10"/>
  <c r="H457" i="10" s="1"/>
  <c r="H458" i="10"/>
  <c r="F405" i="10"/>
  <c r="H406" i="10"/>
  <c r="H293" i="10"/>
  <c r="F16" i="10"/>
  <c r="H16" i="10" s="1"/>
  <c r="H17" i="10"/>
  <c r="F493" i="10"/>
  <c r="H494" i="10"/>
  <c r="H85" i="10"/>
  <c r="F24" i="10"/>
  <c r="H24" i="10" s="1"/>
  <c r="H106" i="10"/>
  <c r="F570" i="10" l="1"/>
  <c r="H570" i="10" s="1"/>
  <c r="H571" i="10"/>
  <c r="F11" i="10"/>
  <c r="F110" i="10"/>
  <c r="H97" i="10"/>
  <c r="H57" i="10"/>
  <c r="F56" i="10"/>
  <c r="G324" i="10"/>
  <c r="H334" i="10"/>
  <c r="H137" i="10"/>
  <c r="F492" i="10"/>
  <c r="H493" i="10"/>
  <c r="H11" i="10"/>
  <c r="H417" i="10"/>
  <c r="H405" i="10"/>
  <c r="F559" i="10"/>
  <c r="H324" i="10" l="1"/>
  <c r="G110" i="10"/>
  <c r="H56" i="10"/>
  <c r="F55" i="10"/>
  <c r="H492" i="10"/>
  <c r="F109" i="10"/>
  <c r="H559" i="10"/>
  <c r="G109" i="10" l="1"/>
  <c r="H109" i="10" s="1"/>
  <c r="H110" i="10"/>
  <c r="H55" i="10"/>
  <c r="F10" i="10"/>
  <c r="H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Siedlecka</author>
  </authors>
  <commentList>
    <comment ref="B19" authorId="0" shapeId="0" xr:uid="{57A59F0B-B862-4CDE-917A-9A7C677A3CB8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LGD</t>
        </r>
      </text>
    </comment>
  </commentList>
</comments>
</file>

<file path=xl/sharedStrings.xml><?xml version="1.0" encoding="utf-8"?>
<sst xmlns="http://schemas.openxmlformats.org/spreadsheetml/2006/main" count="1362" uniqueCount="529">
  <si>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</si>
  <si>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</si>
  <si>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</si>
  <si>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</si>
  <si>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</si>
  <si>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</si>
  <si>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</si>
  <si>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</si>
  <si>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</si>
  <si>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</si>
  <si>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</si>
  <si>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</si>
  <si>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</si>
  <si>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</si>
  <si>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</si>
  <si>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</si>
  <si>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>zakup usług pozostałych</t>
  </si>
  <si>
    <t>Załącznik Nr 1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</si>
  <si>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</si>
  <si>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</si>
  <si>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</si>
  <si>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</si>
  <si>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</si>
  <si>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</si>
  <si>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</si>
  <si>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</si>
  <si>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</si>
  <si>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</si>
  <si>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</si>
  <si>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</si>
  <si>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Rodzina</t>
  </si>
  <si>
    <t>Organ - Fundusz Pomocy (świadczenia rodzinne)</t>
  </si>
  <si>
    <t>Dochody na zadania zlecone:</t>
  </si>
  <si>
    <t>Urzędy wojewódzkie</t>
  </si>
  <si>
    <t>Organ - Fundusz Pomocy (nadanie numeru PESEL, potwierdzenie tożsamości obywateli Ukrainy i wprowadzenie danych do rejestru danych kontaktowych na wniosek oraz zarządzanie statusem UKR)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</si>
  <si>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</si>
  <si>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</si>
  <si>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</si>
  <si>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Oświata i wychowanie</t>
  </si>
  <si>
    <t>Zapewnienie uczniom prawa do bezpłatnego dostępu</t>
  </si>
  <si>
    <t>do podręczników, materiałów edukacyjnych lub materiałów</t>
  </si>
  <si>
    <t>ćwiczeniowych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</si>
  <si>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</si>
  <si>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</si>
  <si>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</si>
  <si>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Organ - Fundusz Pomocy (wyposażenie szkół w podręczniki, materiały edukacyjne lub materiały ćwiczeniowe dla uczniów będących obywatelami Ukrainy w roku szkolnym 2023/2024)</t>
  </si>
  <si>
    <t>Pozostałe zadania w zakresie polityki społecznej</t>
  </si>
  <si>
    <t>Organ - Fundusz Pomocy (świadczenie pieniężne w wysokości 300 zł)</t>
  </si>
  <si>
    <t>Świadczenia rodzinne, świadczenie z funduszu alimentacyjnego oraz składki na ubezpieczenia emerytalne i rentowe z ubezpieczenia społecznego</t>
  </si>
  <si>
    <t>Karta Dużej Rodziny</t>
  </si>
  <si>
    <t xml:space="preserve">Składki na ubezpieczenie zdrowotne opłacane za osoby </t>
  </si>
  <si>
    <t>pobierające niektóre świadczenia rodzinne oraz za osoby</t>
  </si>
  <si>
    <t>pobierające zasiki dla opiekunów</t>
  </si>
  <si>
    <t>Dochody na zadania rządowe:</t>
  </si>
  <si>
    <t xml:space="preserve">Bezpieczeństwo publiczne i ochrona </t>
  </si>
  <si>
    <t>przeciwpożarowa</t>
  </si>
  <si>
    <t>Komendy powiatowe Państwowej Straży Pożarnej</t>
  </si>
  <si>
    <t>dotacje celowe otrzymane z budżetu państwa na zadania bieżące z zakresu administracji rządowej oraz inne zadania zlecone ustawami realizowane przez powiat</t>
  </si>
  <si>
    <t>Zadania w zakresie przeciwdziałania przemocy w rodzinie</t>
  </si>
  <si>
    <t>Transport i łączność</t>
  </si>
  <si>
    <t>Lokalny transport zbiorowy</t>
  </si>
  <si>
    <t>Miejski Zarząd Infrastruktury Drogowej i Transportu</t>
  </si>
  <si>
    <t>koszty postępowania sądowego i prokuratorskiego</t>
  </si>
  <si>
    <t>Drogi publiczne w miastach na prawach powiatu</t>
  </si>
  <si>
    <t>wynagrodzenia bezosobowe</t>
  </si>
  <si>
    <t>4210</t>
  </si>
  <si>
    <t>zakup materiałów i wyposażenia</t>
  </si>
  <si>
    <t>wpłaty na PPK finansowane przez podmiot zatrudniający</t>
  </si>
  <si>
    <t>zakup usług remontowych</t>
  </si>
  <si>
    <t xml:space="preserve">szkolenia pracowników niebędących członkami korpusu służby cywilnej </t>
  </si>
  <si>
    <t>Szkoły podstawowe</t>
  </si>
  <si>
    <t>Jednostki oświatowe zbiorczo</t>
  </si>
  <si>
    <t>dodatkowe wynagrodzenie roczne</t>
  </si>
  <si>
    <t xml:space="preserve">składki na ubezpieczenia społeczne </t>
  </si>
  <si>
    <t xml:space="preserve">składki na Fundusz Pracy oraz Fundusz Solidarnościowy </t>
  </si>
  <si>
    <t>wpłaty na Państwowy Fundusz Rehabilitacji Osób Niepełnosprawnych</t>
  </si>
  <si>
    <t>zakup środków dydaktycznych i książek</t>
  </si>
  <si>
    <t>zakup energii</t>
  </si>
  <si>
    <t>zakup usług zdrowotnych</t>
  </si>
  <si>
    <t>podróże służbowe krajowe</t>
  </si>
  <si>
    <t>opłaty na rzecz budżetu państwa</t>
  </si>
  <si>
    <t>podatek od towarów i usług (VAT)</t>
  </si>
  <si>
    <t>pozostałe odsetki</t>
  </si>
  <si>
    <t>wynagrodzenie osobowe nauczycieli</t>
  </si>
  <si>
    <t>dodatkowe wynagrodzenie roczne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</si>
  <si>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</si>
  <si>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</si>
  <si>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</si>
  <si>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zakup usług związanych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</si>
  <si>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</si>
  <si>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</si>
  <si>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</si>
  <si>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</si>
  <si>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</si>
  <si>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</si>
  <si>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</si>
  <si>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wydatki osobowe niezaliczone do wynagrodzeń</t>
  </si>
  <si>
    <t>Przedszkola</t>
  </si>
  <si>
    <t>Przedszkola specjalne</t>
  </si>
  <si>
    <t>Świetlice szkolne</t>
  </si>
  <si>
    <t>Technika</t>
  </si>
  <si>
    <t>opłaty z tytułu zakupu usług telekomunikacyjnych</t>
  </si>
  <si>
    <t>Szkoły policealne</t>
  </si>
  <si>
    <t>Branżowe szkoły I i II stopnia</t>
  </si>
  <si>
    <t>Licea ogólnokształcące</t>
  </si>
  <si>
    <t>Wydział Edukacji</t>
  </si>
  <si>
    <t>wynagrodzenia osobowe pracowników</t>
  </si>
  <si>
    <t>Szkoły artystyczne</t>
  </si>
  <si>
    <t>Szkoły zawodowe specjalne</t>
  </si>
  <si>
    <t>Dokształcanie i doskonalenie nauczycieli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</si>
  <si>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</si>
  <si>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</si>
  <si>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</si>
  <si>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</si>
  <si>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</si>
  <si>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</si>
  <si>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</si>
  <si>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</si>
  <si>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składki na ubezpieczenia społeczne</t>
  </si>
  <si>
    <t>składki na Fundusz Pracy oraz Fundusz Solidarnościowy</t>
  </si>
  <si>
    <t>851</t>
  </si>
  <si>
    <t>Ochrona zdrowia</t>
  </si>
  <si>
    <t>Przeciwdziałanie alkoholizmowi</t>
  </si>
  <si>
    <t>Miejski Ośrodek Pomocy Rodzinie</t>
  </si>
  <si>
    <t>852</t>
  </si>
  <si>
    <t>Miejski Ośrodek Pomocy Rodzinie - Fundusz Pomocy (zasiłki okresowe)</t>
  </si>
  <si>
    <t>świadczenia społeczne wypłacane obywatelom Ukrainy przebywającym na terytorium RP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</si>
  <si>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</si>
  <si>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</si>
  <si>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</si>
  <si>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</si>
  <si>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Pomoc w zakresie dożywiania</t>
  </si>
  <si>
    <t xml:space="preserve">Miejski Ośrodek Pomocy Rodzinie </t>
  </si>
  <si>
    <t>świadczenia społeczne</t>
  </si>
  <si>
    <t>Miejski Ośrodek Pomocy Rodzinie - projekt pn. "Reintegracja społeczna mieszkańców Włocławka, w tym w obszarze rewitalizacji"</t>
  </si>
  <si>
    <t>zakup środków żywności</t>
  </si>
  <si>
    <t>Edukacyjna opieka wychowawcza</t>
  </si>
  <si>
    <t>Internaty i bursy szkolne</t>
  </si>
  <si>
    <t>Kolonie i obozy oraz inne formy wypoczynku dzieci</t>
  </si>
  <si>
    <t>Młodzieżowe ośrodki wychowawcze</t>
  </si>
  <si>
    <t>Rodziny zastępcze</t>
  </si>
  <si>
    <t>Miejski Ośrodek Pomocy Rodzinie - Zespół ds. pieczy</t>
  </si>
  <si>
    <t>zastępczej</t>
  </si>
  <si>
    <t>Działalność placówek opiekuńczo - wychowawczych</t>
  </si>
  <si>
    <t>Centrum Opieki nad Dzieckiem</t>
  </si>
  <si>
    <t xml:space="preserve">Placówka Opiekuńczo - Wychowawcza Nr 1 "Maluch" </t>
  </si>
  <si>
    <t xml:space="preserve">Placówka Opiekuńczo - Wychowawcza Nr 2 "Calineczka" </t>
  </si>
  <si>
    <t>Miejski Ośrodek Pomocy Rodzinie - Fundusz Pomocy (świadczenia rodzinne)</t>
  </si>
  <si>
    <t>wynagrodzenia i uposażenia wypłacane w związku z pomocą obywatelom Ukrainy</t>
  </si>
  <si>
    <t xml:space="preserve">Kultura i ochrona dziedzictwa narodowego </t>
  </si>
  <si>
    <t>Kultura fizyczna</t>
  </si>
  <si>
    <t>Obiekty sportowe</t>
  </si>
  <si>
    <t>podatek od nieruchomości</t>
  </si>
  <si>
    <t>Wydatki na zadania zlecone:</t>
  </si>
  <si>
    <t>Wydział Organizacyjno - Prawny i Kadr - Fundusz Pomocy (nadanie numeru PESEL, potwierdzenie tożsamości obywateli Ukrainy i wprowadzenie danych do rejestru danych kontaktowych na wniosek oraz zarządzanie statusem UKR)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</si>
  <si>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</si>
  <si>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</si>
  <si>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</si>
  <si>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</si>
  <si>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Jednostki oświatowe zbiorczo - Fundusz Pomocy (wyposażenie szkół w podręczniki, materiały edukacyjne lub materiały ćwiczeniowe dla uczniów będących obywatelami Ukrainy w roku szkolnym 2023/2024)</t>
  </si>
  <si>
    <t>Wydział Edukacji - Fundusz Pomocy (wyposażenie szkół w podręczniki, materiały edukacyjne lub materiały ćwiczeniowe dla uczniów będących obywatelami Ukrainy w roku szkolnym 2023/2024)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</si>
  <si>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</si>
  <si>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</si>
  <si>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</si>
  <si>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</si>
  <si>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Wydział Polityki Społecznej i Zdrowia Publicznego</t>
  </si>
  <si>
    <t xml:space="preserve">składki na ubezpieczenie zdrowotne </t>
  </si>
  <si>
    <t>Wydatki na zadania rządowe:</t>
  </si>
  <si>
    <t>Działalność usługowa</t>
  </si>
  <si>
    <t>Nadzór budowlany</t>
  </si>
  <si>
    <t>Powiatowy Inspektorat Nadzoru Budowlanego Miasta Włocławek</t>
  </si>
  <si>
    <t xml:space="preserve">zakup usług obejmujących wykonanie ekspertyz, analiz i opinii </t>
  </si>
  <si>
    <t>Komenda Miejska Państwowej Straży Pożarnej</t>
  </si>
  <si>
    <t>Miejski Ośrodek Pomocy Rodzinie - Specjalistyczny Ośrodek Wsparcia</t>
  </si>
  <si>
    <t>Załącznik Nr 2</t>
  </si>
  <si>
    <t xml:space="preserve">Dotacje udzielane z budżetu jednostki samorządu terytorialnego </t>
  </si>
  <si>
    <t>Lp.</t>
  </si>
  <si>
    <t>Dział</t>
  </si>
  <si>
    <t>Rozdział</t>
  </si>
  <si>
    <t xml:space="preserve">§ </t>
  </si>
  <si>
    <t>Nazwa zadania</t>
  </si>
  <si>
    <t>Kwota dotacji</t>
  </si>
  <si>
    <t>dotacje celowe</t>
  </si>
  <si>
    <t>dotacje podmiotowe</t>
  </si>
  <si>
    <t>Pozostałe instytucje kultury</t>
  </si>
  <si>
    <t>Ogółem:</t>
  </si>
  <si>
    <t>Załącznik Nr 3</t>
  </si>
  <si>
    <t>dla jednostek spoza sektora finansów publicznych na 2023 rok</t>
  </si>
  <si>
    <t>Dotacja do zakupu rowerów dla mieszkańców Włocławka (dotacja na inwestycje)</t>
  </si>
  <si>
    <t>Dotacje do prac budowlanych w ramach rewitalizacji</t>
  </si>
  <si>
    <t>Pozostała działalność (prowadzenie Kawiarni Obywatelskiej "Śródmieście Cafe")</t>
  </si>
  <si>
    <t>2826        2827</t>
  </si>
  <si>
    <t xml:space="preserve">Realizacja projektu unijnego "WŁOCŁAWEK - MIASTO NOWYCH MOŻLIWOŚCI. Tutaj mieszkam, pracuję, inwestuję i tu wypoczywam" </t>
  </si>
  <si>
    <t>Nieodpłatna pomoc prawna - zadanie rządowe</t>
  </si>
  <si>
    <t>Akademicka Szkoła Podstawowa Mistrzostwa Sportowego Nr 1          im. Obrońców Wisły 1920 roku we Włocławku</t>
  </si>
  <si>
    <t>Przedszkole Niepubliczne "Chatka Puchatka"</t>
  </si>
  <si>
    <t>Niepubliczne Przedszkole "Smerfna Chata"</t>
  </si>
  <si>
    <t>Niepubliczne Przedszkole "Skakanka"</t>
  </si>
  <si>
    <t>Przedszkole Niepubliczne "Kujawiaczek"</t>
  </si>
  <si>
    <t>Niepubliczne Przedszkole "Domowe Przedszkole"</t>
  </si>
  <si>
    <t>Niepubliczne Przedszkole "Wesoła Biedronka"</t>
  </si>
  <si>
    <t>Branżowa Szkoła I Stopnia IMPULS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</si>
  <si>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</si>
  <si>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</si>
  <si>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2340       2830</t>
  </si>
  <si>
    <t>Zespół Szkół Katolickich im. Ks. J. Długosza</t>
  </si>
  <si>
    <t>Prywatna Szkoła Podstawowa Zespołu Edukacji "Wiedza"</t>
  </si>
  <si>
    <t>Szkoła Podstawowa z oddziałami dwujęzycznymi Monttessori-     Schule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</si>
  <si>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</si>
  <si>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</si>
  <si>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</si>
  <si>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</si>
  <si>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</si>
  <si>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</si>
  <si>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15.1</t>
  </si>
  <si>
    <t xml:space="preserve"> - zadania własne</t>
  </si>
  <si>
    <t>15.2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</si>
  <si>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</si>
  <si>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</si>
  <si>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</si>
  <si>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</si>
  <si>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Wymiana źródeł ciepła zasilanych paliwami stałymi ogółem, z tego:</t>
  </si>
  <si>
    <t>21.1</t>
  </si>
  <si>
    <t>- program dla osób fizycznych (dotacja na inwestycje)</t>
  </si>
  <si>
    <t>21.2</t>
  </si>
  <si>
    <t>- wymiana w budynkach wielorodzinnych (dotacja na inwestycje)</t>
  </si>
  <si>
    <t>Ochrona zabytków i opieka nad zabytkami</t>
  </si>
  <si>
    <t xml:space="preserve">2810        2820       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</si>
  <si>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</si>
  <si>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</si>
  <si>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2810        2820        2830</t>
  </si>
  <si>
    <t>Zadania w zakresie kultury fizycznej</t>
  </si>
  <si>
    <t>2816        2817    2826        2827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</si>
  <si>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</si>
  <si>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</si>
  <si>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</si>
  <si>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</si>
  <si>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</si>
  <si>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</si>
  <si>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</si>
  <si>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Oddziały przedszkolne w szkołach podstawowych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</si>
  <si>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</si>
  <si>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</si>
  <si>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</si>
  <si>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</si>
  <si>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"Bajeczka"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</si>
  <si>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</si>
  <si>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</si>
  <si>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</si>
  <si>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</si>
  <si>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</si>
  <si>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</si>
  <si>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</si>
  <si>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</si>
  <si>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</si>
  <si>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</si>
  <si>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</si>
  <si>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</si>
  <si>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</si>
  <si>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</si>
  <si>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</si>
  <si>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</si>
  <si>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</si>
  <si>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</si>
  <si>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</si>
  <si>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</si>
  <si>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</si>
  <si>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</si>
  <si>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</si>
  <si>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</si>
  <si>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</si>
  <si>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</si>
  <si>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</si>
  <si>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</si>
  <si>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Przedszkole Akademickie przy Państwowej  Akademii Nauk Stosowanych we Włocławku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</si>
  <si>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</si>
  <si>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</si>
  <si>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</si>
  <si>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</si>
  <si>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</si>
  <si>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</si>
  <si>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</si>
  <si>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</si>
  <si>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</si>
  <si>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</si>
  <si>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</si>
  <si>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</si>
  <si>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</si>
  <si>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</si>
  <si>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</si>
  <si>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</si>
  <si>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Niepubliczna Poradnia Psychologiczno - Pedagogiczna "Centrum Diagnozy, Terapii i Wspomagania Rozwoju" (Elżbieta Złowodzka Jetter)</t>
  </si>
  <si>
    <t>Internat Zespołu Szkół Katolickich im. Ks. J. Długosza</t>
  </si>
  <si>
    <t>Załącznik Nr 4</t>
  </si>
  <si>
    <t xml:space="preserve">Plan </t>
  </si>
  <si>
    <t xml:space="preserve"> dochodów i wydatków wydzielonych rachunków dochodów oświatowych jednostek budżetowych na 2023 rok</t>
  </si>
  <si>
    <t>(zbiorczo)</t>
  </si>
  <si>
    <t>Stan środków</t>
  </si>
  <si>
    <t xml:space="preserve">Stan środków </t>
  </si>
  <si>
    <t>Wyszczególnienie</t>
  </si>
  <si>
    <t>pieniężnych</t>
  </si>
  <si>
    <t>na początek roku</t>
  </si>
  <si>
    <t>Dochody</t>
  </si>
  <si>
    <t>Wydatki</t>
  </si>
  <si>
    <t>na koniec 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</si>
  <si>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</si>
  <si>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</si>
  <si>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</si>
  <si>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</si>
  <si>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</si>
  <si>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</si>
  <si>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</si>
  <si>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</si>
  <si>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</si>
  <si>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</si>
  <si>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</si>
  <si>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</si>
  <si>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</si>
  <si>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</si>
  <si>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</si>
  <si>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 xml:space="preserve">i młodzieży szkolnej, a także szkolenia młodzieży </t>
  </si>
  <si>
    <t>Szkolne schroniska młodzieżowe</t>
  </si>
  <si>
    <t xml:space="preserve">Ogółem 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</si>
  <si>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</si>
  <si>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</si>
  <si>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</si>
  <si>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</si>
  <si>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2023 rok</t>
  </si>
  <si>
    <t>Wydatki na 2023 rok</t>
  </si>
  <si>
    <t>x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</si>
  <si>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</si>
  <si>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</si>
  <si>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</si>
  <si>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</si>
  <si>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</si>
  <si>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</si>
  <si>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</si>
  <si>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</si>
  <si>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</si>
  <si>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</si>
  <si>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</si>
  <si>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</si>
  <si>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</si>
  <si>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</si>
  <si>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</si>
  <si>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</si>
  <si>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</si>
  <si>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</si>
  <si>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</si>
  <si>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</si>
  <si>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</si>
  <si>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</si>
  <si>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</si>
  <si>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</si>
  <si>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</si>
  <si>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</si>
  <si>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Nadanie numeru PESEL, potwierdzenie tożsamości obywateli Ukrainy i wprowadzenie danych do rejestru danych kontaktowych na wniosek oraz zarządzanie statusem UKR</t>
  </si>
  <si>
    <t>750</t>
  </si>
  <si>
    <t>75011</t>
  </si>
  <si>
    <t>Wydział Organizacyjno - Prawny i Kadr</t>
  </si>
  <si>
    <t>758</t>
  </si>
  <si>
    <t>Realizacja dodatkowych zadań oświatowych</t>
  </si>
  <si>
    <t>801</t>
  </si>
  <si>
    <t>80101</t>
  </si>
  <si>
    <t>4750</t>
  </si>
  <si>
    <t>80102</t>
  </si>
  <si>
    <t>80104</t>
  </si>
  <si>
    <t>80105</t>
  </si>
  <si>
    <t>80115</t>
  </si>
  <si>
    <t>80117</t>
  </si>
  <si>
    <t>80120</t>
  </si>
  <si>
    <t>80132</t>
  </si>
  <si>
    <t>80148</t>
  </si>
  <si>
    <t>854</t>
  </si>
  <si>
    <t>85410</t>
  </si>
  <si>
    <t>80153</t>
  </si>
  <si>
    <t>Wyposażenie szkół w podręczniki, materiały edukacyjne lub materiały ćwiczeniowe dla uczniów będących obywatelami Ukrainy w roku szkolnym 2023/2024</t>
  </si>
  <si>
    <t>71035</t>
  </si>
  <si>
    <t xml:space="preserve">Cmentarze </t>
  </si>
  <si>
    <t>2020</t>
  </si>
  <si>
    <t>dotacje celowe otrzymane z budżetu państwa na zadania bieżące realizowane przez gminę na podstawie porozumień z organami administracji rządowej</t>
  </si>
  <si>
    <t>75023</t>
  </si>
  <si>
    <t>Urzędy gmin (miast i miast na prawach powiatu)</t>
  </si>
  <si>
    <t>Organ - "Platforma e-Płatności"</t>
  </si>
  <si>
    <t>dotacja celowa otrzymana z budżetu państwa na zadania bieżące realizowane przez gminę na podstawie porozumień z organami administracji rządowej</t>
  </si>
  <si>
    <t>2030</t>
  </si>
  <si>
    <t>dotacje celowe otrzymane z budżetu państwa na realizację własnych zadań bieżących gmin (związków gmin, związków powiatowo-gminnych)</t>
  </si>
  <si>
    <t>2130</t>
  </si>
  <si>
    <t>dotacje celowe otrzymane z budżetu państwa na realizację bieżących zadań własnych powiatu</t>
  </si>
  <si>
    <t>2120</t>
  </si>
  <si>
    <t>dotacje celowe otrzymane z budżetu państwa na zadania bieżące realizowane przez powiat na podstawie porozumień z organami administracji rządowej</t>
  </si>
  <si>
    <t>Organ (projekty z grantów Lokalnej Grupy Działania Miasta Włocławek)</t>
  </si>
  <si>
    <t>2057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</si>
  <si>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</si>
  <si>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 xml:space="preserve">Organ </t>
  </si>
  <si>
    <t>dotacje otrzymane z państwowych funduszy celowych na realizację zadań bieżących jednostek sektora finansów publicznych</t>
  </si>
  <si>
    <t>Urzędy naczelnych organów władzy państwowej,</t>
  </si>
  <si>
    <t>kontroli i ochrony prawa oraz sądownictwa</t>
  </si>
  <si>
    <t>Wybory do Sejmu i Senatu</t>
  </si>
  <si>
    <t>Ośrodki pomocy społecznej</t>
  </si>
  <si>
    <t>kary i odszkodowania wypłacane na rzecz osób prawnych i innych jednostek organizacyjnych</t>
  </si>
  <si>
    <t>Cmentarze - zadania realizowane na podstawie porozumień</t>
  </si>
  <si>
    <t xml:space="preserve">Wydział Nadzoru Właścicielskiego i Gospodarki </t>
  </si>
  <si>
    <t xml:space="preserve">Komunalnej </t>
  </si>
  <si>
    <t>Wydział Informatyki - "Platforma e-Płatności"</t>
  </si>
  <si>
    <t>80113</t>
  </si>
  <si>
    <t>Dowożenie uczniów do szkół</t>
  </si>
  <si>
    <t>opłaty na rzecz budżetów jednostek samorządu terytorialnego</t>
  </si>
  <si>
    <t xml:space="preserve">różne opłaty i składki </t>
  </si>
  <si>
    <t>odpisy na zakładowy fundusz świadczeń socjalnych</t>
  </si>
  <si>
    <t xml:space="preserve">szkolenia pracowników  niebędących członkami korpusu służby cywilnej 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</si>
  <si>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</si>
  <si>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</si>
  <si>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</si>
  <si>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</si>
  <si>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</si>
  <si>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</si>
  <si>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Zespół Szkół Nr 3 - program "Rehabilitacja 25 plus" IV edycja</t>
  </si>
  <si>
    <t>Jednostki oświatowe zbiorczo (projekty z grantów Lokalnej</t>
  </si>
  <si>
    <t>Grupy Działania Miasta Włocławek)</t>
  </si>
  <si>
    <t>2820</t>
  </si>
  <si>
    <t>dotacja celowa z budżetu na finansowanie lub dofinansowanie zadań zleconych do realizacji stowarzyszeniom</t>
  </si>
  <si>
    <t>Centrum Wsparcia dla Osób w Kryzysie</t>
  </si>
  <si>
    <t>Dodatki mieszkaniowe</t>
  </si>
  <si>
    <t>Miejski Ośrodek Pomocy Rodzinie - projekt pn. „Centrum Wsparcia Społecznego – wdrożenie lokalnego planu deinstytucjonalizacji usług społecznych na terenie Miasta Włocławka”</t>
  </si>
  <si>
    <t>Dom Pomocy Społecznej ul. Nowomiejska 19 - projekt pn. „Centrum Wsparcia Społecznego – wdrożenie lokalnego planu deinstytucjonalizacji usług społecznych na terenie Miasta Włocławka”</t>
  </si>
  <si>
    <t>Włocławskie Centrum Organizacji Pozarządowych</t>
  </si>
  <si>
    <t xml:space="preserve">i Wolontariatu </t>
  </si>
  <si>
    <t>Wspieranie rodziny</t>
  </si>
  <si>
    <t>Miejski Ośrodek Pomocy Rodzinie - asystent rodziny</t>
  </si>
  <si>
    <t>System opieki nad dziećmi w wieku do lat 3</t>
  </si>
  <si>
    <t>Miejski Zespół Żłobków</t>
  </si>
  <si>
    <t>Gospodarka komunalna i ochrona środowiska</t>
  </si>
  <si>
    <t>Oczyszczanie miast i wsi</t>
  </si>
  <si>
    <t>Miejski Zakład Zieleni i Usług Komunalnych</t>
  </si>
  <si>
    <t>Utrzymanie zieleni w miastach i gminach</t>
  </si>
  <si>
    <t>Komunalnej</t>
  </si>
  <si>
    <t>Schroniska dla zwierząt</t>
  </si>
  <si>
    <t>Schronisko dla Zwierząt</t>
  </si>
  <si>
    <t>Miejski Zakład Zieleni i Usług Komunalnych we Włocławku - obsługa Strefy Rozwoju Gospodarczego /Park Przemysłowo - Technologiczny/</t>
  </si>
  <si>
    <t>Biuro Rady Miasta Włocławek</t>
  </si>
  <si>
    <t xml:space="preserve">różne wydatki na rzecz osób fizycznych </t>
  </si>
  <si>
    <t xml:space="preserve">wynagrodzenia bezosobowe </t>
  </si>
  <si>
    <t>wynagrodzenia osobowe członków korpusu służby cywilnej</t>
  </si>
  <si>
    <t>uposażenia żołnierzy zawodowych oraz funkcjonariuszy</t>
  </si>
  <si>
    <t>równoważniki pieniężne i ekwiwalenty dla żołnierzy  i funkcjonariuszy oraz pozostałe należności</t>
  </si>
  <si>
    <t>zakup usług obejmujących tłumaczenia</t>
  </si>
  <si>
    <t>Wymiar sprawiedliwości</t>
  </si>
  <si>
    <t>Nieodpłatna pomoc prawna</t>
  </si>
  <si>
    <t>do Zarządzenia NR 340/2023</t>
  </si>
  <si>
    <t>z dnia 31 sierpnia 2023 r.</t>
  </si>
  <si>
    <t>Załącznik Nr 6</t>
  </si>
  <si>
    <t>Zmiana planu wydatków majątkowych na 2023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</si>
  <si>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</si>
  <si>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</si>
  <si>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</si>
  <si>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</si>
  <si>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</si>
  <si>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</si>
  <si>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</si>
  <si>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</si>
  <si>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</si>
  <si>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</si>
  <si>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</si>
  <si>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</si>
  <si>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</si>
  <si>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</si>
  <si>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finansowe *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</si>
  <si>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</si>
  <si>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</si>
  <si>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</si>
  <si>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</si>
  <si>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</si>
  <si>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</si>
  <si>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</si>
  <si>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</si>
  <si>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</si>
  <si>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</si>
  <si>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</si>
  <si>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</si>
  <si>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</si>
  <si>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</si>
  <si>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</si>
  <si>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</si>
  <si>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KULTURA I OCHRONA DZIEDZICTWA NARODOWEGO</t>
  </si>
  <si>
    <t>Wkład własny do projektu obejmującego modernizację podłogi scenicznej oraz zakup elementów okotarowania, realizowanego ze środków Ministra Kultury i Dziedzictwa Narodowego w ramach programu Infrastruktura Kultury</t>
  </si>
  <si>
    <t xml:space="preserve"> - </t>
  </si>
  <si>
    <t>Teatr Impresaryjny</t>
  </si>
  <si>
    <t>Wkład własny do projektu obejmującego zakup oświetlenia koncertowego, realizowanego ze środków Ministra Kultury i Dziedzictwa Narodowego w ramach programu Infrastruktura Kultury</t>
  </si>
  <si>
    <t>*  - łączne koszty finansowe obejmują wydatki majątkowe i wydatki bieżące</t>
  </si>
  <si>
    <t>Wydatki na programy i projekty realizowane ze środków pochodzących z funduszy strukturalnych i Funduszu Spójności</t>
  </si>
  <si>
    <t xml:space="preserve">
</t>
  </si>
  <si>
    <t xml:space="preserve">Wydatki
</t>
  </si>
  <si>
    <t>w tym:</t>
  </si>
  <si>
    <t>w okresie</t>
  </si>
  <si>
    <t>2023 rok</t>
  </si>
  <si>
    <t>Klasyfikacja</t>
  </si>
  <si>
    <t>realizacji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</si>
  <si>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</si>
  <si>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</si>
  <si>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</si>
  <si>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</si>
  <si>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</si>
  <si>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</si>
  <si>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</si>
  <si>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</si>
  <si>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</si>
  <si>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</si>
  <si>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</si>
  <si>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</si>
  <si>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</si>
  <si>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1</t>
  </si>
  <si>
    <t>REGIONALNY PROGRAM OPERACYJNY WOJEWÓDZTWA KUJAWSKO - POMORSKIEGO</t>
  </si>
  <si>
    <t>1.21</t>
  </si>
  <si>
    <t>Od programowania obiektywnego do bionanotechnologii</t>
  </si>
  <si>
    <t>w tym: /III Liceum Ogólnokształcące/</t>
  </si>
  <si>
    <t>dz. 801</t>
  </si>
  <si>
    <t>rozdz. 80195</t>
  </si>
  <si>
    <t>* środki własne jst, współfinansowanie z budżetu państwa oraz inne</t>
  </si>
  <si>
    <t>Dochody i wydatki związane z realizacją zadań z zakresu administracji rządowej wykonywanych na podstawie porozumień z organami administracji rządowej na 2023 rok</t>
  </si>
  <si>
    <t>z tego:</t>
  </si>
  <si>
    <t>Dotacje
ogółem</t>
  </si>
  <si>
    <t>Wydatki
ogółem
(6+9)</t>
  </si>
  <si>
    <t>Wydatki
bieżące</t>
  </si>
  <si>
    <t>wynagrodzenia i składki od nich naliczane</t>
  </si>
  <si>
    <t>świadczenia na rzecz osób fizycznych</t>
  </si>
  <si>
    <t>Wydatki
majątkowe</t>
  </si>
  <si>
    <t>Zapewnienie uczniom prawa do bezpłatnego dostępu do podręczników, materiałów edukacyjnych lub materiałów ćwiczeniowych (zakup podręczników dla uczniów, w tym dla uczniów będących obywatelami Ukrainy)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</si>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</sst>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8"/>
      <color theme="1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alibri"/>
      <family val="2"/>
      <charset val="1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6"/>
      <name val="Arial CE"/>
      <family val="2"/>
      <charset val="238"/>
    </font>
    <font>
      <b/>
      <sz val="8"/>
      <name val="Arial"/>
      <family val="2"/>
      <charset val="238"/>
    </font>
    <font>
      <b/>
      <i/>
      <sz val="6"/>
      <name val="Arial CE"/>
      <family val="2"/>
      <charset val="238"/>
    </font>
    <font>
      <b/>
      <i/>
      <sz val="8"/>
      <name val="Arial Narrow"/>
      <family val="2"/>
      <charset val="238"/>
    </font>
    <font>
      <b/>
      <u/>
      <sz val="8"/>
      <name val="Arial CE"/>
      <family val="2"/>
      <charset val="238"/>
    </font>
    <font>
      <b/>
      <i/>
      <sz val="6"/>
      <name val="Arial CE"/>
      <charset val="238"/>
    </font>
    <font>
      <i/>
      <sz val="6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9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16" fillId="0" borderId="0"/>
    <xf numFmtId="0" fontId="16" fillId="0" borderId="0"/>
    <xf numFmtId="0" fontId="38" fillId="0" borderId="0"/>
    <xf numFmtId="43" fontId="16" fillId="0" borderId="0" applyFill="0" applyBorder="0" applyAlignment="0" applyProtection="0"/>
    <xf numFmtId="0" fontId="48" fillId="0" borderId="0"/>
  </cellStyleXfs>
  <cellXfs count="62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5" fillId="0" borderId="3" xfId="0" applyFont="1" applyBorder="1"/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7" fillId="0" borderId="0" xfId="0" applyNumberFormat="1" applyFont="1"/>
    <xf numFmtId="3" fontId="1" fillId="0" borderId="3" xfId="0" applyNumberFormat="1" applyFont="1" applyBorder="1"/>
    <xf numFmtId="0" fontId="5" fillId="0" borderId="4" xfId="0" applyFont="1" applyBorder="1"/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0" fontId="1" fillId="0" borderId="3" xfId="0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4" xfId="0" applyFont="1" applyBorder="1"/>
    <xf numFmtId="3" fontId="5" fillId="0" borderId="5" xfId="0" applyNumberFormat="1" applyFont="1" applyBorder="1"/>
    <xf numFmtId="49" fontId="1" fillId="0" borderId="5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/>
    </xf>
    <xf numFmtId="3" fontId="1" fillId="0" borderId="6" xfId="0" applyNumberFormat="1" applyFont="1" applyBorder="1"/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0" borderId="3" xfId="0" applyFont="1" applyBorder="1"/>
    <xf numFmtId="0" fontId="1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horizontal="right"/>
    </xf>
    <xf numFmtId="3" fontId="1" fillId="0" borderId="5" xfId="0" applyNumberFormat="1" applyFont="1" applyBorder="1"/>
    <xf numFmtId="0" fontId="1" fillId="0" borderId="5" xfId="0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center"/>
    </xf>
    <xf numFmtId="4" fontId="2" fillId="0" borderId="5" xfId="0" applyNumberFormat="1" applyFont="1" applyBorder="1"/>
    <xf numFmtId="0" fontId="1" fillId="0" borderId="4" xfId="0" applyFont="1" applyBorder="1" applyAlignment="1">
      <alignment horizontal="right"/>
    </xf>
    <xf numFmtId="0" fontId="1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49" fontId="2" fillId="0" borderId="3" xfId="0" applyNumberFormat="1" applyFont="1" applyBorder="1" applyAlignment="1">
      <alignment horizontal="right"/>
    </xf>
    <xf numFmtId="4" fontId="13" fillId="0" borderId="10" xfId="0" applyNumberFormat="1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2" fillId="0" borderId="3" xfId="3" applyFont="1" applyBorder="1" applyAlignment="1">
      <alignment horizontal="right"/>
    </xf>
    <xf numFmtId="0" fontId="2" fillId="0" borderId="3" xfId="3" applyFont="1" applyBorder="1"/>
    <xf numFmtId="0" fontId="10" fillId="0" borderId="0" xfId="0" applyFont="1"/>
    <xf numFmtId="4" fontId="2" fillId="0" borderId="3" xfId="3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0" fillId="0" borderId="13" xfId="0" applyFont="1" applyBorder="1"/>
    <xf numFmtId="3" fontId="2" fillId="0" borderId="4" xfId="0" applyNumberFormat="1" applyFont="1" applyBorder="1"/>
    <xf numFmtId="0" fontId="2" fillId="0" borderId="5" xfId="3" applyFont="1" applyBorder="1"/>
    <xf numFmtId="0" fontId="2" fillId="0" borderId="6" xfId="0" applyFont="1" applyBorder="1"/>
    <xf numFmtId="4" fontId="13" fillId="0" borderId="10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vertical="top"/>
    </xf>
    <xf numFmtId="4" fontId="15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0" fontId="1" fillId="0" borderId="3" xfId="0" applyFont="1" applyBorder="1" applyAlignment="1">
      <alignment wrapText="1"/>
    </xf>
    <xf numFmtId="0" fontId="13" fillId="0" borderId="3" xfId="3" applyFont="1" applyBorder="1" applyAlignment="1">
      <alignment horizontal="center"/>
    </xf>
    <xf numFmtId="0" fontId="13" fillId="0" borderId="3" xfId="3" applyFont="1" applyBorder="1"/>
    <xf numFmtId="0" fontId="2" fillId="0" borderId="3" xfId="3" applyFont="1" applyBorder="1" applyAlignment="1">
      <alignment horizontal="center"/>
    </xf>
    <xf numFmtId="0" fontId="13" fillId="0" borderId="3" xfId="3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0" fontId="2" fillId="0" borderId="3" xfId="3" applyFont="1" applyBorder="1" applyAlignment="1">
      <alignment horizontal="right" vertical="top"/>
    </xf>
    <xf numFmtId="49" fontId="5" fillId="0" borderId="3" xfId="0" applyNumberFormat="1" applyFont="1" applyBorder="1"/>
    <xf numFmtId="0" fontId="5" fillId="0" borderId="3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5" fillId="0" borderId="3" xfId="3" applyFont="1" applyBorder="1"/>
    <xf numFmtId="49" fontId="1" fillId="0" borderId="3" xfId="3" applyNumberFormat="1" applyFont="1" applyBorder="1" applyAlignment="1">
      <alignment horizontal="right"/>
    </xf>
    <xf numFmtId="0" fontId="7" fillId="0" borderId="5" xfId="0" applyFont="1" applyBorder="1"/>
    <xf numFmtId="0" fontId="17" fillId="0" borderId="0" xfId="4" applyFont="1"/>
    <xf numFmtId="0" fontId="1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7" fillId="0" borderId="0" xfId="4" applyFont="1" applyAlignment="1">
      <alignment vertical="center"/>
    </xf>
    <xf numFmtId="0" fontId="20" fillId="0" borderId="15" xfId="4" applyFont="1" applyBorder="1" applyAlignment="1">
      <alignment horizontal="center" vertical="center"/>
    </xf>
    <xf numFmtId="0" fontId="22" fillId="0" borderId="15" xfId="4" applyFont="1" applyBorder="1" applyAlignment="1">
      <alignment horizontal="left" vertical="center" wrapText="1"/>
    </xf>
    <xf numFmtId="4" fontId="17" fillId="0" borderId="0" xfId="4" applyNumberFormat="1" applyFont="1"/>
    <xf numFmtId="0" fontId="18" fillId="0" borderId="15" xfId="4" applyFont="1" applyBorder="1"/>
    <xf numFmtId="4" fontId="18" fillId="0" borderId="15" xfId="4" applyNumberFormat="1" applyFont="1" applyBorder="1"/>
    <xf numFmtId="0" fontId="17" fillId="4" borderId="15" xfId="2" applyFont="1" applyFill="1" applyBorder="1" applyAlignment="1">
      <alignment horizontal="center" vertical="center"/>
    </xf>
    <xf numFmtId="0" fontId="18" fillId="4" borderId="16" xfId="4" applyFont="1" applyFill="1" applyBorder="1" applyAlignment="1">
      <alignment vertical="center" wrapText="1"/>
    </xf>
    <xf numFmtId="4" fontId="18" fillId="4" borderId="15" xfId="4" applyNumberFormat="1" applyFont="1" applyFill="1" applyBorder="1" applyAlignment="1">
      <alignment vertical="center"/>
    </xf>
    <xf numFmtId="0" fontId="18" fillId="0" borderId="15" xfId="4" applyFont="1" applyBorder="1" applyAlignment="1">
      <alignment vertical="center"/>
    </xf>
    <xf numFmtId="0" fontId="18" fillId="0" borderId="19" xfId="4" applyFont="1" applyBorder="1"/>
    <xf numFmtId="0" fontId="18" fillId="0" borderId="18" xfId="4" applyFont="1" applyBorder="1"/>
    <xf numFmtId="0" fontId="18" fillId="0" borderId="13" xfId="4" applyFont="1" applyBorder="1"/>
    <xf numFmtId="0" fontId="17" fillId="0" borderId="0" xfId="4" applyFont="1" applyAlignment="1">
      <alignment horizontal="center"/>
    </xf>
    <xf numFmtId="0" fontId="18" fillId="0" borderId="0" xfId="4" applyFont="1"/>
    <xf numFmtId="0" fontId="12" fillId="0" borderId="0" xfId="4" applyFont="1"/>
    <xf numFmtId="0" fontId="19" fillId="0" borderId="0" xfId="4" applyFont="1" applyAlignment="1">
      <alignment horizontal="centerContinuous" vertical="center" wrapText="1"/>
    </xf>
    <xf numFmtId="0" fontId="23" fillId="0" borderId="0" xfId="4" applyFont="1" applyAlignment="1">
      <alignment horizontal="centerContinuous" wrapText="1"/>
    </xf>
    <xf numFmtId="0" fontId="17" fillId="4" borderId="0" xfId="4" applyFont="1" applyFill="1"/>
    <xf numFmtId="0" fontId="17" fillId="4" borderId="0" xfId="4" applyFont="1" applyFill="1" applyAlignment="1">
      <alignment horizontal="center"/>
    </xf>
    <xf numFmtId="0" fontId="6" fillId="4" borderId="0" xfId="4" applyFont="1" applyFill="1" applyAlignment="1">
      <alignment horizontal="right"/>
    </xf>
    <xf numFmtId="0" fontId="19" fillId="4" borderId="15" xfId="4" applyFont="1" applyFill="1" applyBorder="1" applyAlignment="1">
      <alignment horizontal="center" vertical="center"/>
    </xf>
    <xf numFmtId="0" fontId="17" fillId="4" borderId="16" xfId="2" applyFont="1" applyFill="1" applyBorder="1" applyAlignment="1">
      <alignment horizontal="center" vertical="center"/>
    </xf>
    <xf numFmtId="0" fontId="19" fillId="4" borderId="16" xfId="4" applyFont="1" applyFill="1" applyBorder="1" applyAlignment="1">
      <alignment horizontal="centerContinuous" vertical="center"/>
    </xf>
    <xf numFmtId="0" fontId="6" fillId="4" borderId="15" xfId="4" applyFont="1" applyFill="1" applyBorder="1" applyAlignment="1">
      <alignment horizontal="center" vertical="center"/>
    </xf>
    <xf numFmtId="0" fontId="24" fillId="4" borderId="16" xfId="2" applyFont="1" applyFill="1" applyBorder="1" applyAlignment="1">
      <alignment horizontal="center" vertical="top"/>
    </xf>
    <xf numFmtId="0" fontId="6" fillId="4" borderId="16" xfId="4" applyFont="1" applyFill="1" applyBorder="1" applyAlignment="1">
      <alignment horizontal="centerContinuous" vertical="center"/>
    </xf>
    <xf numFmtId="0" fontId="6" fillId="0" borderId="0" xfId="4" applyFont="1"/>
    <xf numFmtId="0" fontId="17" fillId="4" borderId="17" xfId="2" applyFont="1" applyFill="1" applyBorder="1" applyAlignment="1">
      <alignment horizontal="center" vertical="top"/>
    </xf>
    <xf numFmtId="0" fontId="18" fillId="4" borderId="15" xfId="4" applyFont="1" applyFill="1" applyBorder="1" applyAlignment="1">
      <alignment vertical="center"/>
    </xf>
    <xf numFmtId="0" fontId="17" fillId="0" borderId="15" xfId="2" applyFont="1" applyFill="1" applyBorder="1" applyAlignment="1">
      <alignment horizontal="center" vertical="center"/>
    </xf>
    <xf numFmtId="0" fontId="22" fillId="4" borderId="15" xfId="4" applyFont="1" applyFill="1" applyBorder="1" applyAlignment="1">
      <alignment horizontal="left" vertical="center"/>
    </xf>
    <xf numFmtId="4" fontId="18" fillId="4" borderId="15" xfId="4" applyNumberFormat="1" applyFont="1" applyFill="1" applyBorder="1"/>
    <xf numFmtId="0" fontId="25" fillId="0" borderId="0" xfId="4" applyFont="1"/>
    <xf numFmtId="0" fontId="18" fillId="4" borderId="15" xfId="4" applyFont="1" applyFill="1" applyBorder="1" applyAlignment="1">
      <alignment vertical="top"/>
    </xf>
    <xf numFmtId="0" fontId="17" fillId="4" borderId="15" xfId="2" applyFont="1" applyFill="1" applyBorder="1" applyAlignment="1">
      <alignment horizontal="center" vertical="top"/>
    </xf>
    <xf numFmtId="0" fontId="18" fillId="4" borderId="16" xfId="4" applyFont="1" applyFill="1" applyBorder="1" applyAlignment="1">
      <alignment vertical="top" wrapText="1"/>
    </xf>
    <xf numFmtId="0" fontId="17" fillId="4" borderId="15" xfId="2" applyFont="1" applyFill="1" applyBorder="1" applyAlignment="1">
      <alignment horizontal="center" vertical="top" wrapText="1"/>
    </xf>
    <xf numFmtId="0" fontId="17" fillId="4" borderId="5" xfId="2" applyFont="1" applyFill="1" applyBorder="1" applyAlignment="1">
      <alignment horizontal="center" vertical="center"/>
    </xf>
    <xf numFmtId="0" fontId="18" fillId="0" borderId="16" xfId="4" applyFont="1" applyBorder="1" applyAlignment="1">
      <alignment vertical="center"/>
    </xf>
    <xf numFmtId="0" fontId="18" fillId="0" borderId="2" xfId="4" applyFont="1" applyBorder="1"/>
    <xf numFmtId="0" fontId="18" fillId="0" borderId="20" xfId="4" applyFont="1" applyBorder="1"/>
    <xf numFmtId="0" fontId="18" fillId="0" borderId="21" xfId="4" applyFont="1" applyBorder="1"/>
    <xf numFmtId="0" fontId="18" fillId="4" borderId="22" xfId="4" applyFont="1" applyFill="1" applyBorder="1" applyAlignment="1">
      <alignment horizontal="left" vertical="center" wrapText="1"/>
    </xf>
    <xf numFmtId="4" fontId="18" fillId="0" borderId="14" xfId="4" applyNumberFormat="1" applyFont="1" applyBorder="1"/>
    <xf numFmtId="0" fontId="17" fillId="4" borderId="1" xfId="2" applyFont="1" applyFill="1" applyBorder="1" applyAlignment="1">
      <alignment horizontal="center" vertical="top"/>
    </xf>
    <xf numFmtId="0" fontId="18" fillId="0" borderId="22" xfId="4" applyFont="1" applyBorder="1" applyAlignment="1">
      <alignment vertical="center" wrapText="1"/>
    </xf>
    <xf numFmtId="0" fontId="18" fillId="0" borderId="4" xfId="4" applyFont="1" applyBorder="1"/>
    <xf numFmtId="0" fontId="18" fillId="0" borderId="23" xfId="4" applyFont="1" applyBorder="1"/>
    <xf numFmtId="0" fontId="17" fillId="4" borderId="3" xfId="2" applyFont="1" applyFill="1" applyBorder="1" applyAlignment="1">
      <alignment horizontal="center" vertical="top"/>
    </xf>
    <xf numFmtId="0" fontId="18" fillId="0" borderId="24" xfId="4" applyFont="1" applyBorder="1" applyAlignment="1">
      <alignment vertical="center" wrapText="1"/>
    </xf>
    <xf numFmtId="4" fontId="18" fillId="0" borderId="25" xfId="4" applyNumberFormat="1" applyFont="1" applyBorder="1"/>
    <xf numFmtId="0" fontId="18" fillId="0" borderId="25" xfId="4" applyFont="1" applyBorder="1" applyAlignment="1">
      <alignment vertical="center" wrapText="1"/>
    </xf>
    <xf numFmtId="0" fontId="18" fillId="0" borderId="25" xfId="4" applyFont="1" applyBorder="1"/>
    <xf numFmtId="0" fontId="18" fillId="0" borderId="11" xfId="4" applyFont="1" applyBorder="1" applyAlignment="1">
      <alignment wrapText="1"/>
    </xf>
    <xf numFmtId="0" fontId="18" fillId="0" borderId="6" xfId="4" applyFont="1" applyBorder="1"/>
    <xf numFmtId="0" fontId="17" fillId="4" borderId="5" xfId="2" applyFont="1" applyFill="1" applyBorder="1" applyAlignment="1">
      <alignment horizontal="center" vertical="top"/>
    </xf>
    <xf numFmtId="0" fontId="18" fillId="0" borderId="11" xfId="4" applyFont="1" applyBorder="1"/>
    <xf numFmtId="4" fontId="18" fillId="0" borderId="5" xfId="4" applyNumberFormat="1" applyFont="1" applyBorder="1"/>
    <xf numFmtId="0" fontId="18" fillId="0" borderId="16" xfId="4" applyFont="1" applyBorder="1"/>
    <xf numFmtId="0" fontId="18" fillId="0" borderId="17" xfId="4" applyFont="1" applyBorder="1"/>
    <xf numFmtId="0" fontId="18" fillId="4" borderId="11" xfId="4" applyFont="1" applyFill="1" applyBorder="1" applyAlignment="1">
      <alignment horizontal="left" wrapText="1"/>
    </xf>
    <xf numFmtId="0" fontId="18" fillId="0" borderId="11" xfId="4" applyFont="1" applyBorder="1" applyAlignment="1">
      <alignment horizontal="left" vertical="center" wrapText="1"/>
    </xf>
    <xf numFmtId="0" fontId="18" fillId="0" borderId="26" xfId="4" applyFont="1" applyBorder="1" applyAlignment="1">
      <alignment horizontal="left" vertical="center" wrapText="1"/>
    </xf>
    <xf numFmtId="0" fontId="22" fillId="0" borderId="15" xfId="5" applyFont="1" applyBorder="1" applyAlignment="1">
      <alignment vertical="top"/>
    </xf>
    <xf numFmtId="0" fontId="18" fillId="0" borderId="16" xfId="5" applyFont="1" applyBorder="1" applyAlignment="1">
      <alignment vertical="top" wrapText="1"/>
    </xf>
    <xf numFmtId="4" fontId="18" fillId="0" borderId="15" xfId="5" applyNumberFormat="1" applyFont="1" applyBorder="1" applyAlignment="1">
      <alignment vertical="center"/>
    </xf>
    <xf numFmtId="0" fontId="18" fillId="0" borderId="1" xfId="5" applyFont="1" applyBorder="1" applyAlignment="1">
      <alignment vertical="top"/>
    </xf>
    <xf numFmtId="0" fontId="18" fillId="0" borderId="27" xfId="5" applyFont="1" applyBorder="1" applyAlignment="1">
      <alignment vertical="center" wrapText="1"/>
    </xf>
    <xf numFmtId="3" fontId="18" fillId="0" borderId="14" xfId="5" applyNumberFormat="1" applyFont="1" applyBorder="1"/>
    <xf numFmtId="0" fontId="18" fillId="0" borderId="3" xfId="5" applyFont="1" applyBorder="1" applyAlignment="1">
      <alignment vertical="top"/>
    </xf>
    <xf numFmtId="0" fontId="18" fillId="0" borderId="22" xfId="5" applyFont="1" applyBorder="1" applyAlignment="1">
      <alignment vertical="center" wrapText="1"/>
    </xf>
    <xf numFmtId="3" fontId="18" fillId="0" borderId="25" xfId="5" applyNumberFormat="1" applyFont="1" applyBorder="1"/>
    <xf numFmtId="0" fontId="18" fillId="0" borderId="24" xfId="5" applyFont="1" applyBorder="1" applyAlignment="1">
      <alignment vertical="center" wrapText="1"/>
    </xf>
    <xf numFmtId="3" fontId="18" fillId="0" borderId="28" xfId="5" applyNumberFormat="1" applyFont="1" applyBorder="1"/>
    <xf numFmtId="0" fontId="18" fillId="0" borderId="5" xfId="5" applyFont="1" applyBorder="1" applyAlignment="1">
      <alignment vertical="top"/>
    </xf>
    <xf numFmtId="0" fontId="18" fillId="0" borderId="26" xfId="5" applyFont="1" applyBorder="1" applyAlignment="1">
      <alignment vertical="center" wrapText="1"/>
    </xf>
    <xf numFmtId="3" fontId="18" fillId="0" borderId="29" xfId="5" applyNumberFormat="1" applyFont="1" applyBorder="1"/>
    <xf numFmtId="0" fontId="18" fillId="4" borderId="5" xfId="4" applyFont="1" applyFill="1" applyBorder="1" applyAlignment="1">
      <alignment vertical="top"/>
    </xf>
    <xf numFmtId="0" fontId="18" fillId="4" borderId="6" xfId="4" applyFont="1" applyFill="1" applyBorder="1" applyAlignment="1">
      <alignment vertical="center" wrapText="1"/>
    </xf>
    <xf numFmtId="0" fontId="18" fillId="4" borderId="6" xfId="4" applyFont="1" applyFill="1" applyBorder="1" applyAlignment="1">
      <alignment vertical="top"/>
    </xf>
    <xf numFmtId="4" fontId="18" fillId="4" borderId="5" xfId="4" applyNumberFormat="1" applyFont="1" applyFill="1" applyBorder="1"/>
    <xf numFmtId="0" fontId="18" fillId="4" borderId="18" xfId="4" applyFont="1" applyFill="1" applyBorder="1" applyAlignment="1">
      <alignment vertical="top"/>
    </xf>
    <xf numFmtId="0" fontId="18" fillId="4" borderId="1" xfId="4" applyFont="1" applyFill="1" applyBorder="1" applyAlignment="1">
      <alignment vertical="top"/>
    </xf>
    <xf numFmtId="0" fontId="18" fillId="4" borderId="1" xfId="4" applyFont="1" applyFill="1" applyBorder="1" applyAlignment="1">
      <alignment horizontal="right" vertical="top"/>
    </xf>
    <xf numFmtId="0" fontId="18" fillId="4" borderId="21" xfId="4" applyFont="1" applyFill="1" applyBorder="1" applyAlignment="1">
      <alignment horizontal="right" vertical="top"/>
    </xf>
    <xf numFmtId="0" fontId="18" fillId="4" borderId="16" xfId="4" applyFont="1" applyFill="1" applyBorder="1" applyAlignment="1">
      <alignment wrapText="1"/>
    </xf>
    <xf numFmtId="49" fontId="18" fillId="4" borderId="1" xfId="4" applyNumberFormat="1" applyFont="1" applyFill="1" applyBorder="1" applyAlignment="1">
      <alignment horizontal="right"/>
    </xf>
    <xf numFmtId="4" fontId="1" fillId="4" borderId="15" xfId="4" applyNumberFormat="1" applyFont="1" applyFill="1" applyBorder="1" applyAlignment="1">
      <alignment vertical="center"/>
    </xf>
    <xf numFmtId="0" fontId="18" fillId="4" borderId="15" xfId="4" applyFont="1" applyFill="1" applyBorder="1"/>
    <xf numFmtId="0" fontId="17" fillId="4" borderId="15" xfId="2" applyFont="1" applyFill="1" applyBorder="1" applyAlignment="1">
      <alignment horizontal="center"/>
    </xf>
    <xf numFmtId="49" fontId="18" fillId="4" borderId="15" xfId="4" quotePrefix="1" applyNumberFormat="1" applyFont="1" applyFill="1" applyBorder="1" applyAlignment="1">
      <alignment horizontal="right" vertical="top"/>
    </xf>
    <xf numFmtId="0" fontId="18" fillId="4" borderId="16" xfId="4" quotePrefix="1" applyFont="1" applyFill="1" applyBorder="1" applyAlignment="1">
      <alignment vertical="top" wrapText="1"/>
    </xf>
    <xf numFmtId="4" fontId="1" fillId="4" borderId="15" xfId="4" applyNumberFormat="1" applyFont="1" applyFill="1" applyBorder="1" applyAlignment="1">
      <alignment horizontal="right" vertical="center"/>
    </xf>
    <xf numFmtId="0" fontId="18" fillId="4" borderId="16" xfId="4" applyFont="1" applyFill="1" applyBorder="1"/>
    <xf numFmtId="4" fontId="18" fillId="4" borderId="15" xfId="4" applyNumberFormat="1" applyFont="1" applyFill="1" applyBorder="1" applyAlignment="1">
      <alignment horizontal="right" vertical="center"/>
    </xf>
    <xf numFmtId="0" fontId="18" fillId="4" borderId="16" xfId="4" applyFont="1" applyFill="1" applyBorder="1" applyAlignment="1">
      <alignment vertical="top"/>
    </xf>
    <xf numFmtId="0" fontId="19" fillId="4" borderId="17" xfId="4" applyFont="1" applyFill="1" applyBorder="1" applyAlignment="1">
      <alignment horizontal="centerContinuous" vertical="center"/>
    </xf>
    <xf numFmtId="0" fontId="17" fillId="4" borderId="15" xfId="2" applyFont="1" applyFill="1" applyBorder="1" applyAlignment="1">
      <alignment horizontal="center" vertical="center" wrapText="1"/>
    </xf>
    <xf numFmtId="0" fontId="18" fillId="4" borderId="17" xfId="4" applyFont="1" applyFill="1" applyBorder="1" applyAlignment="1">
      <alignment vertical="top"/>
    </xf>
    <xf numFmtId="0" fontId="18" fillId="4" borderId="2" xfId="4" applyFont="1" applyFill="1" applyBorder="1"/>
    <xf numFmtId="0" fontId="18" fillId="4" borderId="20" xfId="4" applyFont="1" applyFill="1" applyBorder="1"/>
    <xf numFmtId="0" fontId="18" fillId="4" borderId="21" xfId="4" applyFont="1" applyFill="1" applyBorder="1"/>
    <xf numFmtId="0" fontId="18" fillId="4" borderId="30" xfId="4" applyFont="1" applyFill="1" applyBorder="1" applyAlignment="1">
      <alignment vertical="center" wrapText="1"/>
    </xf>
    <xf numFmtId="4" fontId="18" fillId="4" borderId="14" xfId="4" applyNumberFormat="1" applyFont="1" applyFill="1" applyBorder="1"/>
    <xf numFmtId="0" fontId="18" fillId="4" borderId="4" xfId="4" applyFont="1" applyFill="1" applyBorder="1"/>
    <xf numFmtId="0" fontId="18" fillId="4" borderId="0" xfId="4" applyFont="1" applyFill="1"/>
    <xf numFmtId="0" fontId="18" fillId="4" borderId="23" xfId="4" applyFont="1" applyFill="1" applyBorder="1"/>
    <xf numFmtId="0" fontId="18" fillId="4" borderId="31" xfId="4" applyFont="1" applyFill="1" applyBorder="1" applyAlignment="1">
      <alignment horizontal="left" wrapText="1"/>
    </xf>
    <xf numFmtId="4" fontId="18" fillId="4" borderId="25" xfId="4" applyNumberFormat="1" applyFont="1" applyFill="1" applyBorder="1"/>
    <xf numFmtId="0" fontId="26" fillId="0" borderId="0" xfId="4" applyFont="1"/>
    <xf numFmtId="0" fontId="18" fillId="4" borderId="31" xfId="4" applyFont="1" applyFill="1" applyBorder="1" applyAlignment="1">
      <alignment horizontal="left" vertical="center" wrapText="1"/>
    </xf>
    <xf numFmtId="0" fontId="18" fillId="4" borderId="31" xfId="4" applyFont="1" applyFill="1" applyBorder="1"/>
    <xf numFmtId="0" fontId="18" fillId="4" borderId="6" xfId="4" applyFont="1" applyFill="1" applyBorder="1"/>
    <xf numFmtId="0" fontId="18" fillId="4" borderId="13" xfId="4" applyFont="1" applyFill="1" applyBorder="1"/>
    <xf numFmtId="0" fontId="18" fillId="4" borderId="19" xfId="4" applyFont="1" applyFill="1" applyBorder="1"/>
    <xf numFmtId="0" fontId="18" fillId="4" borderId="13" xfId="4" applyFont="1" applyFill="1" applyBorder="1" applyAlignment="1">
      <alignment horizontal="left" wrapText="1"/>
    </xf>
    <xf numFmtId="0" fontId="18" fillId="4" borderId="17" xfId="4" applyFont="1" applyFill="1" applyBorder="1"/>
    <xf numFmtId="0" fontId="18" fillId="4" borderId="30" xfId="4" applyFont="1" applyFill="1" applyBorder="1" applyAlignment="1">
      <alignment horizontal="left" vertical="center" wrapText="1"/>
    </xf>
    <xf numFmtId="0" fontId="18" fillId="4" borderId="31" xfId="4" applyFont="1" applyFill="1" applyBorder="1" applyAlignment="1">
      <alignment vertical="center" wrapText="1"/>
    </xf>
    <xf numFmtId="0" fontId="18" fillId="4" borderId="32" xfId="4" applyFont="1" applyFill="1" applyBorder="1" applyAlignment="1">
      <alignment vertical="center" wrapText="1"/>
    </xf>
    <xf numFmtId="4" fontId="18" fillId="4" borderId="29" xfId="4" applyNumberFormat="1" applyFont="1" applyFill="1" applyBorder="1"/>
    <xf numFmtId="0" fontId="17" fillId="4" borderId="3" xfId="2" quotePrefix="1" applyFont="1" applyFill="1" applyBorder="1" applyAlignment="1">
      <alignment horizontal="center" vertical="top"/>
    </xf>
    <xf numFmtId="0" fontId="18" fillId="0" borderId="33" xfId="4" applyFont="1" applyBorder="1" applyAlignment="1">
      <alignment horizontal="left" vertical="center" wrapText="1"/>
    </xf>
    <xf numFmtId="4" fontId="18" fillId="4" borderId="12" xfId="4" applyNumberFormat="1" applyFont="1" applyFill="1" applyBorder="1"/>
    <xf numFmtId="0" fontId="18" fillId="4" borderId="22" xfId="4" applyFont="1" applyFill="1" applyBorder="1"/>
    <xf numFmtId="0" fontId="18" fillId="4" borderId="33" xfId="4" applyFont="1" applyFill="1" applyBorder="1"/>
    <xf numFmtId="0" fontId="18" fillId="4" borderId="13" xfId="4" applyFont="1" applyFill="1" applyBorder="1" applyAlignment="1">
      <alignment vertical="center" wrapText="1"/>
    </xf>
    <xf numFmtId="0" fontId="18" fillId="4" borderId="17" xfId="4" applyFont="1" applyFill="1" applyBorder="1" applyAlignment="1">
      <alignment vertical="top" wrapText="1"/>
    </xf>
    <xf numFmtId="0" fontId="18" fillId="4" borderId="34" xfId="4" applyFont="1" applyFill="1" applyBorder="1" applyAlignment="1">
      <alignment vertical="center" wrapText="1"/>
    </xf>
    <xf numFmtId="4" fontId="18" fillId="4" borderId="35" xfId="4" applyNumberFormat="1" applyFont="1" applyFill="1" applyBorder="1"/>
    <xf numFmtId="0" fontId="18" fillId="4" borderId="18" xfId="4" applyFont="1" applyFill="1" applyBorder="1"/>
    <xf numFmtId="0" fontId="18" fillId="4" borderId="17" xfId="4" applyFont="1" applyFill="1" applyBorder="1" applyAlignment="1">
      <alignment horizontal="left" vertical="center" wrapText="1"/>
    </xf>
    <xf numFmtId="0" fontId="22" fillId="4" borderId="30" xfId="4" applyFont="1" applyFill="1" applyBorder="1"/>
    <xf numFmtId="0" fontId="18" fillId="4" borderId="33" xfId="4" applyFont="1" applyFill="1" applyBorder="1" applyAlignment="1">
      <alignment horizontal="left" wrapText="1"/>
    </xf>
    <xf numFmtId="0" fontId="22" fillId="4" borderId="31" xfId="4" applyFont="1" applyFill="1" applyBorder="1"/>
    <xf numFmtId="0" fontId="22" fillId="4" borderId="33" xfId="4" applyFont="1" applyFill="1" applyBorder="1"/>
    <xf numFmtId="0" fontId="18" fillId="4" borderId="31" xfId="4" applyFont="1" applyFill="1" applyBorder="1" applyAlignment="1">
      <alignment horizontal="left" vertical="top" wrapText="1"/>
    </xf>
    <xf numFmtId="0" fontId="18" fillId="4" borderId="31" xfId="4" applyFont="1" applyFill="1" applyBorder="1" applyAlignment="1">
      <alignment wrapText="1"/>
    </xf>
    <xf numFmtId="0" fontId="18" fillId="4" borderId="33" xfId="4" applyFont="1" applyFill="1" applyBorder="1" applyAlignment="1">
      <alignment horizontal="left" vertical="center" wrapText="1"/>
    </xf>
    <xf numFmtId="0" fontId="17" fillId="4" borderId="1" xfId="2" quotePrefix="1" applyFont="1" applyFill="1" applyBorder="1" applyAlignment="1">
      <alignment horizontal="center" vertical="top"/>
    </xf>
    <xf numFmtId="0" fontId="18" fillId="0" borderId="30" xfId="4" applyFont="1" applyBorder="1" applyAlignment="1">
      <alignment horizontal="left" vertical="center" wrapText="1"/>
    </xf>
    <xf numFmtId="0" fontId="18" fillId="4" borderId="33" xfId="4" applyFont="1" applyFill="1" applyBorder="1" applyAlignment="1">
      <alignment vertical="center" wrapText="1"/>
    </xf>
    <xf numFmtId="0" fontId="12" fillId="4" borderId="3" xfId="2" quotePrefix="1" applyFont="1" applyFill="1" applyBorder="1" applyAlignment="1">
      <alignment horizontal="center" vertical="top"/>
    </xf>
    <xf numFmtId="0" fontId="18" fillId="4" borderId="13" xfId="4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center" vertical="top"/>
    </xf>
    <xf numFmtId="0" fontId="17" fillId="4" borderId="5" xfId="2" quotePrefix="1" applyFont="1" applyFill="1" applyBorder="1" applyAlignment="1">
      <alignment horizontal="center" vertical="top"/>
    </xf>
    <xf numFmtId="0" fontId="18" fillId="4" borderId="36" xfId="4" applyFont="1" applyFill="1" applyBorder="1" applyAlignment="1">
      <alignment horizontal="left" wrapText="1"/>
    </xf>
    <xf numFmtId="0" fontId="18" fillId="4" borderId="37" xfId="4" applyFont="1" applyFill="1" applyBorder="1" applyAlignment="1">
      <alignment horizontal="left" vertical="center" wrapText="1"/>
    </xf>
    <xf numFmtId="0" fontId="18" fillId="4" borderId="5" xfId="4" applyFont="1" applyFill="1" applyBorder="1"/>
    <xf numFmtId="0" fontId="18" fillId="4" borderId="37" xfId="4" applyFont="1" applyFill="1" applyBorder="1" applyAlignment="1">
      <alignment vertical="center" wrapText="1"/>
    </xf>
    <xf numFmtId="0" fontId="18" fillId="4" borderId="17" xfId="4" applyFont="1" applyFill="1" applyBorder="1" applyAlignment="1">
      <alignment horizontal="left" vertical="top" wrapText="1"/>
    </xf>
    <xf numFmtId="0" fontId="18" fillId="4" borderId="30" xfId="4" applyFont="1" applyFill="1" applyBorder="1" applyAlignment="1">
      <alignment vertical="top" wrapText="1"/>
    </xf>
    <xf numFmtId="0" fontId="18" fillId="4" borderId="13" xfId="4" applyFont="1" applyFill="1" applyBorder="1" applyAlignment="1">
      <alignment vertical="top" wrapText="1"/>
    </xf>
    <xf numFmtId="0" fontId="19" fillId="4" borderId="16" xfId="4" applyFont="1" applyFill="1" applyBorder="1" applyAlignment="1">
      <alignment horizontal="center" vertical="center"/>
    </xf>
    <xf numFmtId="0" fontId="19" fillId="4" borderId="17" xfId="4" applyFont="1" applyFill="1" applyBorder="1" applyAlignment="1">
      <alignment horizontal="center" vertical="center"/>
    </xf>
    <xf numFmtId="4" fontId="21" fillId="4" borderId="15" xfId="4" applyNumberFormat="1" applyFont="1" applyFill="1" applyBorder="1" applyAlignment="1">
      <alignment vertical="center"/>
    </xf>
    <xf numFmtId="3" fontId="17" fillId="0" borderId="0" xfId="4" applyNumberFormat="1" applyFont="1"/>
    <xf numFmtId="0" fontId="4" fillId="0" borderId="0" xfId="0" applyFont="1" applyAlignment="1">
      <alignment horizontal="centerContinuous" vertical="center"/>
    </xf>
    <xf numFmtId="0" fontId="16" fillId="0" borderId="0" xfId="0" applyFont="1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11" fillId="0" borderId="0" xfId="0" applyFont="1"/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3" fontId="27" fillId="0" borderId="35" xfId="0" applyNumberFormat="1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28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4" fontId="28" fillId="0" borderId="1" xfId="0" applyNumberFormat="1" applyFont="1" applyBorder="1" applyAlignment="1">
      <alignment vertical="center"/>
    </xf>
    <xf numFmtId="0" fontId="17" fillId="0" borderId="3" xfId="0" applyFont="1" applyBorder="1" applyAlignment="1">
      <alignment horizontal="left" vertical="center" indent="2"/>
    </xf>
    <xf numFmtId="4" fontId="28" fillId="0" borderId="3" xfId="0" applyNumberFormat="1" applyFont="1" applyBorder="1" applyAlignment="1">
      <alignment vertical="center"/>
    </xf>
    <xf numFmtId="4" fontId="28" fillId="0" borderId="3" xfId="0" applyNumberFormat="1" applyFont="1" applyBorder="1" applyAlignment="1">
      <alignment vertical="top"/>
    </xf>
    <xf numFmtId="4" fontId="28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top"/>
    </xf>
    <xf numFmtId="0" fontId="28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horizontal="left" vertical="top" wrapText="1" indent="2"/>
    </xf>
    <xf numFmtId="4" fontId="28" fillId="0" borderId="3" xfId="0" applyNumberFormat="1" applyFont="1" applyBorder="1"/>
    <xf numFmtId="0" fontId="28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left" vertical="center" indent="2"/>
    </xf>
    <xf numFmtId="4" fontId="28" fillId="0" borderId="15" xfId="0" applyNumberFormat="1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 indent="2"/>
    </xf>
    <xf numFmtId="0" fontId="17" fillId="0" borderId="5" xfId="0" applyFont="1" applyBorder="1" applyAlignment="1">
      <alignment horizontal="right" vertical="center"/>
    </xf>
    <xf numFmtId="0" fontId="2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indent="2"/>
    </xf>
    <xf numFmtId="4" fontId="28" fillId="0" borderId="5" xfId="0" applyNumberFormat="1" applyFont="1" applyBorder="1" applyAlignment="1">
      <alignment vertical="center"/>
    </xf>
    <xf numFmtId="4" fontId="28" fillId="0" borderId="5" xfId="0" applyNumberFormat="1" applyFont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vertical="center"/>
    </xf>
    <xf numFmtId="0" fontId="12" fillId="0" borderId="0" xfId="0" applyFont="1"/>
    <xf numFmtId="0" fontId="16" fillId="0" borderId="0" xfId="0" applyFont="1" applyAlignment="1">
      <alignment vertical="center"/>
    </xf>
    <xf numFmtId="0" fontId="29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vertical="center"/>
    </xf>
    <xf numFmtId="4" fontId="17" fillId="0" borderId="5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0" fillId="0" borderId="0" xfId="0" applyFont="1" applyAlignment="1">
      <alignment wrapText="1"/>
    </xf>
    <xf numFmtId="49" fontId="17" fillId="0" borderId="15" xfId="0" applyNumberFormat="1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vertical="center"/>
    </xf>
    <xf numFmtId="0" fontId="30" fillId="0" borderId="0" xfId="0" applyFont="1"/>
    <xf numFmtId="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49" fontId="17" fillId="0" borderId="19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vertical="center"/>
    </xf>
    <xf numFmtId="0" fontId="30" fillId="0" borderId="0" xfId="0" applyFont="1" applyAlignment="1">
      <alignment vertical="center" wrapText="1"/>
    </xf>
    <xf numFmtId="49" fontId="17" fillId="0" borderId="23" xfId="0" applyNumberFormat="1" applyFont="1" applyBorder="1" applyAlignment="1">
      <alignment horizontal="center" vertical="center"/>
    </xf>
    <xf numFmtId="4" fontId="31" fillId="0" borderId="0" xfId="0" applyNumberFormat="1" applyFont="1"/>
    <xf numFmtId="4" fontId="32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vertical="center"/>
    </xf>
    <xf numFmtId="0" fontId="0" fillId="4" borderId="0" xfId="0" applyFill="1"/>
    <xf numFmtId="4" fontId="0" fillId="0" borderId="0" xfId="0" applyNumberFormat="1"/>
    <xf numFmtId="0" fontId="33" fillId="0" borderId="11" xfId="0" applyFont="1" applyBorder="1" applyAlignment="1">
      <alignment vertical="center"/>
    </xf>
    <xf numFmtId="4" fontId="33" fillId="0" borderId="12" xfId="0" applyNumberFormat="1" applyFont="1" applyBorder="1"/>
    <xf numFmtId="4" fontId="33" fillId="0" borderId="12" xfId="0" applyNumberFormat="1" applyFont="1" applyBorder="1" applyAlignment="1">
      <alignment horizontal="right"/>
    </xf>
    <xf numFmtId="49" fontId="22" fillId="0" borderId="3" xfId="0" applyNumberFormat="1" applyFont="1" applyBorder="1" applyAlignment="1">
      <alignment horizontal="right"/>
    </xf>
    <xf numFmtId="0" fontId="33" fillId="0" borderId="12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22" fillId="0" borderId="3" xfId="0" applyFont="1" applyBorder="1" applyAlignment="1">
      <alignment horizontal="right"/>
    </xf>
    <xf numFmtId="0" fontId="22" fillId="0" borderId="3" xfId="0" applyFont="1" applyBorder="1"/>
    <xf numFmtId="49" fontId="33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33" fillId="0" borderId="3" xfId="0" applyFont="1" applyBorder="1" applyAlignment="1">
      <alignment horizontal="right"/>
    </xf>
    <xf numFmtId="0" fontId="33" fillId="0" borderId="11" xfId="0" applyFont="1" applyBorder="1"/>
    <xf numFmtId="4" fontId="34" fillId="0" borderId="12" xfId="0" applyNumberFormat="1" applyFont="1" applyBorder="1" applyAlignment="1">
      <alignment horizontal="right"/>
    </xf>
    <xf numFmtId="4" fontId="34" fillId="0" borderId="12" xfId="0" applyNumberFormat="1" applyFont="1" applyBorder="1"/>
    <xf numFmtId="3" fontId="2" fillId="0" borderId="4" xfId="0" applyNumberFormat="1" applyFont="1" applyBorder="1" applyAlignment="1">
      <alignment wrapText="1"/>
    </xf>
    <xf numFmtId="3" fontId="13" fillId="0" borderId="3" xfId="0" applyNumberFormat="1" applyFont="1" applyBorder="1"/>
    <xf numFmtId="49" fontId="13" fillId="0" borderId="3" xfId="0" applyNumberFormat="1" applyFont="1" applyBorder="1" applyAlignment="1">
      <alignment horizontal="right"/>
    </xf>
    <xf numFmtId="3" fontId="13" fillId="0" borderId="4" xfId="0" applyNumberFormat="1" applyFont="1" applyBorder="1"/>
    <xf numFmtId="3" fontId="34" fillId="0" borderId="3" xfId="0" applyNumberFormat="1" applyFont="1" applyBorder="1" applyAlignment="1">
      <alignment horizontal="right"/>
    </xf>
    <xf numFmtId="3" fontId="34" fillId="0" borderId="3" xfId="0" applyNumberFormat="1" applyFont="1" applyBorder="1"/>
    <xf numFmtId="0" fontId="34" fillId="0" borderId="11" xfId="0" applyFont="1" applyBorder="1"/>
    <xf numFmtId="0" fontId="34" fillId="0" borderId="3" xfId="0" applyFont="1" applyBorder="1"/>
    <xf numFmtId="0" fontId="34" fillId="0" borderId="4" xfId="0" applyFont="1" applyBorder="1" applyAlignment="1">
      <alignment horizontal="right"/>
    </xf>
    <xf numFmtId="0" fontId="33" fillId="0" borderId="4" xfId="0" applyFont="1" applyBorder="1"/>
    <xf numFmtId="0" fontId="33" fillId="0" borderId="12" xfId="0" applyFont="1" applyBorder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4" fontId="33" fillId="0" borderId="12" xfId="3" applyNumberFormat="1" applyFont="1" applyBorder="1" applyAlignment="1">
      <alignment horizontal="right"/>
    </xf>
    <xf numFmtId="0" fontId="33" fillId="0" borderId="11" xfId="0" applyFont="1" applyBorder="1" applyAlignment="1">
      <alignment wrapText="1"/>
    </xf>
    <xf numFmtId="0" fontId="33" fillId="0" borderId="4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4" fontId="33" fillId="0" borderId="14" xfId="0" applyNumberFormat="1" applyFont="1" applyBorder="1" applyAlignment="1">
      <alignment horizontal="right"/>
    </xf>
    <xf numFmtId="0" fontId="34" fillId="0" borderId="12" xfId="0" applyFont="1" applyBorder="1"/>
    <xf numFmtId="0" fontId="1" fillId="0" borderId="6" xfId="0" applyFont="1" applyBorder="1" applyAlignment="1">
      <alignment vertical="top"/>
    </xf>
    <xf numFmtId="4" fontId="33" fillId="0" borderId="14" xfId="0" applyNumberFormat="1" applyFont="1" applyBorder="1"/>
    <xf numFmtId="0" fontId="33" fillId="0" borderId="3" xfId="0" applyFont="1" applyBorder="1"/>
    <xf numFmtId="0" fontId="35" fillId="0" borderId="11" xfId="0" applyFont="1" applyBorder="1" applyAlignment="1">
      <alignment wrapText="1"/>
    </xf>
    <xf numFmtId="49" fontId="5" fillId="0" borderId="5" xfId="0" applyNumberFormat="1" applyFont="1" applyBorder="1" applyAlignment="1">
      <alignment horizontal="right"/>
    </xf>
    <xf numFmtId="0" fontId="34" fillId="0" borderId="4" xfId="0" applyFont="1" applyBorder="1"/>
    <xf numFmtId="0" fontId="2" fillId="0" borderId="5" xfId="0" applyFont="1" applyBorder="1" applyAlignment="1">
      <alignment horizontal="left"/>
    </xf>
    <xf numFmtId="3" fontId="36" fillId="0" borderId="3" xfId="0" applyNumberFormat="1" applyFont="1" applyBorder="1"/>
    <xf numFmtId="0" fontId="34" fillId="0" borderId="3" xfId="0" applyFont="1" applyBorder="1" applyAlignment="1">
      <alignment horizontal="right"/>
    </xf>
    <xf numFmtId="4" fontId="33" fillId="0" borderId="3" xfId="0" applyNumberFormat="1" applyFont="1" applyBorder="1"/>
    <xf numFmtId="4" fontId="34" fillId="0" borderId="3" xfId="0" applyNumberFormat="1" applyFont="1" applyBorder="1" applyAlignment="1">
      <alignment horizontal="right"/>
    </xf>
    <xf numFmtId="0" fontId="34" fillId="0" borderId="12" xfId="3" applyFont="1" applyBorder="1"/>
    <xf numFmtId="49" fontId="34" fillId="0" borderId="3" xfId="0" applyNumberFormat="1" applyFont="1" applyBorder="1" applyAlignment="1">
      <alignment horizontal="right"/>
    </xf>
    <xf numFmtId="0" fontId="34" fillId="0" borderId="27" xfId="0" applyFont="1" applyBorder="1"/>
    <xf numFmtId="0" fontId="34" fillId="0" borderId="11" xfId="0" applyFont="1" applyBorder="1" applyAlignment="1">
      <alignment vertical="center" wrapText="1"/>
    </xf>
    <xf numFmtId="0" fontId="33" fillId="0" borderId="27" xfId="0" applyFont="1" applyBorder="1"/>
    <xf numFmtId="0" fontId="33" fillId="0" borderId="12" xfId="0" applyFont="1" applyBorder="1" applyAlignment="1">
      <alignment wrapText="1"/>
    </xf>
    <xf numFmtId="0" fontId="33" fillId="0" borderId="12" xfId="3" applyFont="1" applyBorder="1" applyAlignment="1">
      <alignment wrapText="1"/>
    </xf>
    <xf numFmtId="0" fontId="33" fillId="0" borderId="14" xfId="3" applyFont="1" applyBorder="1"/>
    <xf numFmtId="0" fontId="34" fillId="0" borderId="12" xfId="3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37" fillId="0" borderId="35" xfId="0" applyFont="1" applyBorder="1" applyAlignment="1">
      <alignment vertical="center" wrapText="1"/>
    </xf>
    <xf numFmtId="0" fontId="37" fillId="4" borderId="15" xfId="0" applyFont="1" applyFill="1" applyBorder="1" applyAlignment="1">
      <alignment horizontal="left" vertical="center" indent="2"/>
    </xf>
    <xf numFmtId="4" fontId="37" fillId="4" borderId="5" xfId="0" applyNumberFormat="1" applyFont="1" applyFill="1" applyBorder="1" applyAlignment="1">
      <alignment vertical="center"/>
    </xf>
    <xf numFmtId="0" fontId="33" fillId="0" borderId="0" xfId="0" applyFont="1"/>
    <xf numFmtId="0" fontId="5" fillId="0" borderId="0" xfId="6" applyFont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1" fillId="0" borderId="0" xfId="6" applyFont="1"/>
    <xf numFmtId="0" fontId="1" fillId="0" borderId="0" xfId="6" applyFont="1" applyAlignment="1">
      <alignment horizontal="right" vertical="center"/>
    </xf>
    <xf numFmtId="0" fontId="1" fillId="0" borderId="0" xfId="6" applyFont="1" applyAlignment="1">
      <alignment horizontal="left" vertical="center"/>
    </xf>
    <xf numFmtId="0" fontId="1" fillId="0" borderId="0" xfId="6" applyFont="1" applyAlignment="1">
      <alignment horizontal="center"/>
    </xf>
    <xf numFmtId="0" fontId="39" fillId="0" borderId="0" xfId="6" applyFont="1"/>
    <xf numFmtId="0" fontId="5" fillId="0" borderId="0" xfId="6" applyFont="1" applyAlignment="1">
      <alignment horizontal="centerContinuous" vertical="center"/>
    </xf>
    <xf numFmtId="0" fontId="5" fillId="0" borderId="0" xfId="6" applyFont="1" applyAlignment="1">
      <alignment horizontal="center"/>
    </xf>
    <xf numFmtId="0" fontId="40" fillId="0" borderId="0" xfId="6" applyFont="1" applyAlignment="1">
      <alignment horizontal="left"/>
    </xf>
    <xf numFmtId="0" fontId="5" fillId="5" borderId="38" xfId="6" applyFont="1" applyFill="1" applyBorder="1" applyAlignment="1">
      <alignment horizontal="center" vertical="center"/>
    </xf>
    <xf numFmtId="0" fontId="1" fillId="5" borderId="38" xfId="6" applyFont="1" applyFill="1" applyBorder="1" applyAlignment="1">
      <alignment horizontal="center" vertical="center"/>
    </xf>
    <xf numFmtId="0" fontId="5" fillId="0" borderId="38" xfId="6" applyFont="1" applyBorder="1" applyAlignment="1">
      <alignment horizontal="center" vertical="center"/>
    </xf>
    <xf numFmtId="0" fontId="5" fillId="5" borderId="39" xfId="6" applyFont="1" applyFill="1" applyBorder="1" applyAlignment="1">
      <alignment horizontal="centerContinuous" vertical="center"/>
    </xf>
    <xf numFmtId="0" fontId="5" fillId="5" borderId="40" xfId="6" applyFont="1" applyFill="1" applyBorder="1" applyAlignment="1">
      <alignment horizontal="centerContinuous" vertical="center"/>
    </xf>
    <xf numFmtId="0" fontId="5" fillId="5" borderId="41" xfId="6" applyFont="1" applyFill="1" applyBorder="1" applyAlignment="1">
      <alignment horizontal="centerContinuous" vertical="center"/>
    </xf>
    <xf numFmtId="0" fontId="5" fillId="5" borderId="42" xfId="6" applyFont="1" applyFill="1" applyBorder="1" applyAlignment="1">
      <alignment horizontal="centerContinuous" vertical="center"/>
    </xf>
    <xf numFmtId="0" fontId="41" fillId="5" borderId="42" xfId="6" applyFont="1" applyFill="1" applyBorder="1" applyAlignment="1">
      <alignment horizontal="center" vertical="center"/>
    </xf>
    <xf numFmtId="0" fontId="41" fillId="5" borderId="38" xfId="6" applyFont="1" applyFill="1" applyBorder="1" applyAlignment="1">
      <alignment horizontal="center" vertical="center"/>
    </xf>
    <xf numFmtId="0" fontId="39" fillId="0" borderId="0" xfId="6" applyFont="1" applyAlignment="1">
      <alignment horizontal="center" vertical="center"/>
    </xf>
    <xf numFmtId="0" fontId="5" fillId="5" borderId="43" xfId="6" applyFont="1" applyFill="1" applyBorder="1" applyAlignment="1">
      <alignment horizontal="center" vertical="center"/>
    </xf>
    <xf numFmtId="0" fontId="5" fillId="5" borderId="44" xfId="6" applyFont="1" applyFill="1" applyBorder="1" applyAlignment="1">
      <alignment horizontal="center" vertical="center"/>
    </xf>
    <xf numFmtId="0" fontId="1" fillId="5" borderId="44" xfId="6" applyFont="1" applyFill="1" applyBorder="1" applyAlignment="1">
      <alignment horizontal="center" vertical="center"/>
    </xf>
    <xf numFmtId="0" fontId="5" fillId="0" borderId="44" xfId="6" applyFont="1" applyBorder="1" applyAlignment="1">
      <alignment horizontal="center" vertical="center"/>
    </xf>
    <xf numFmtId="0" fontId="5" fillId="5" borderId="0" xfId="6" applyFont="1" applyFill="1" applyAlignment="1">
      <alignment horizontal="center" vertical="center"/>
    </xf>
    <xf numFmtId="0" fontId="5" fillId="5" borderId="39" xfId="6" applyFont="1" applyFill="1" applyBorder="1" applyAlignment="1">
      <alignment horizontal="center" vertical="center"/>
    </xf>
    <xf numFmtId="0" fontId="1" fillId="0" borderId="45" xfId="6" applyFont="1" applyBorder="1" applyAlignment="1">
      <alignment horizontal="center" vertical="center" wrapText="1"/>
    </xf>
    <xf numFmtId="0" fontId="41" fillId="5" borderId="0" xfId="6" applyFont="1" applyFill="1" applyAlignment="1">
      <alignment horizontal="center" vertical="center"/>
    </xf>
    <xf numFmtId="0" fontId="41" fillId="5" borderId="43" xfId="6" applyFont="1" applyFill="1" applyBorder="1" applyAlignment="1">
      <alignment horizontal="center" vertical="center"/>
    </xf>
    <xf numFmtId="0" fontId="5" fillId="5" borderId="42" xfId="6" applyFont="1" applyFill="1" applyBorder="1" applyAlignment="1">
      <alignment horizontal="center" vertical="center"/>
    </xf>
    <xf numFmtId="0" fontId="41" fillId="5" borderId="44" xfId="6" applyFont="1" applyFill="1" applyBorder="1" applyAlignment="1">
      <alignment horizontal="center" vertical="center"/>
    </xf>
    <xf numFmtId="0" fontId="5" fillId="5" borderId="46" xfId="6" applyFont="1" applyFill="1" applyBorder="1" applyAlignment="1">
      <alignment horizontal="center" vertical="center"/>
    </xf>
    <xf numFmtId="0" fontId="5" fillId="5" borderId="47" xfId="6" applyFont="1" applyFill="1" applyBorder="1" applyAlignment="1">
      <alignment horizontal="center" vertical="center"/>
    </xf>
    <xf numFmtId="0" fontId="1" fillId="5" borderId="47" xfId="6" applyFont="1" applyFill="1" applyBorder="1" applyAlignment="1">
      <alignment horizontal="center" vertical="center"/>
    </xf>
    <xf numFmtId="0" fontId="5" fillId="0" borderId="47" xfId="6" applyFont="1" applyBorder="1" applyAlignment="1">
      <alignment horizontal="center" vertical="center"/>
    </xf>
    <xf numFmtId="0" fontId="5" fillId="5" borderId="48" xfId="6" applyFont="1" applyFill="1" applyBorder="1" applyAlignment="1" applyProtection="1">
      <alignment horizontal="center" vertical="center"/>
      <protection locked="0"/>
    </xf>
    <xf numFmtId="0" fontId="1" fillId="5" borderId="48" xfId="6" applyFont="1" applyFill="1" applyBorder="1" applyAlignment="1" applyProtection="1">
      <alignment horizontal="center" vertical="center"/>
      <protection locked="0"/>
    </xf>
    <xf numFmtId="0" fontId="1" fillId="0" borderId="48" xfId="6" applyFont="1" applyBorder="1" applyAlignment="1" applyProtection="1">
      <alignment horizontal="center" vertical="center"/>
      <protection locked="0"/>
    </xf>
    <xf numFmtId="0" fontId="1" fillId="0" borderId="39" xfId="6" applyFont="1" applyBorder="1" applyAlignment="1" applyProtection="1">
      <alignment horizontal="center" vertical="center"/>
      <protection locked="0"/>
    </xf>
    <xf numFmtId="0" fontId="1" fillId="5" borderId="42" xfId="6" applyFont="1" applyFill="1" applyBorder="1" applyAlignment="1" applyProtection="1">
      <alignment horizontal="center" vertical="center"/>
      <protection locked="0"/>
    </xf>
    <xf numFmtId="0" fontId="1" fillId="5" borderId="45" xfId="6" applyFont="1" applyFill="1" applyBorder="1" applyAlignment="1" applyProtection="1">
      <alignment horizontal="center" vertical="center"/>
      <protection locked="0"/>
    </xf>
    <xf numFmtId="0" fontId="1" fillId="5" borderId="41" xfId="6" applyFont="1" applyFill="1" applyBorder="1" applyAlignment="1" applyProtection="1">
      <alignment horizontal="center" vertical="center"/>
      <protection locked="0"/>
    </xf>
    <xf numFmtId="0" fontId="39" fillId="0" borderId="0" xfId="6" applyFont="1" applyProtection="1">
      <protection locked="0"/>
    </xf>
    <xf numFmtId="0" fontId="36" fillId="0" borderId="48" xfId="6" applyFont="1" applyBorder="1" applyAlignment="1">
      <alignment horizontal="center" vertical="center" wrapText="1"/>
    </xf>
    <xf numFmtId="0" fontId="34" fillId="0" borderId="48" xfId="6" applyFont="1" applyBorder="1" applyAlignment="1">
      <alignment horizontal="center" vertical="center" wrapText="1"/>
    </xf>
    <xf numFmtId="4" fontId="42" fillId="0" borderId="48" xfId="7" applyNumberFormat="1" applyFont="1" applyFill="1" applyBorder="1" applyAlignment="1">
      <alignment horizontal="right" vertical="center"/>
    </xf>
    <xf numFmtId="43" fontId="42" fillId="0" borderId="48" xfId="7" applyFont="1" applyFill="1" applyBorder="1" applyAlignment="1">
      <alignment horizontal="right" vertical="center"/>
    </xf>
    <xf numFmtId="43" fontId="13" fillId="0" borderId="48" xfId="7" applyFont="1" applyFill="1" applyBorder="1" applyAlignment="1">
      <alignment horizontal="right" vertical="center" wrapText="1"/>
    </xf>
    <xf numFmtId="2" fontId="13" fillId="0" borderId="48" xfId="7" applyNumberFormat="1" applyFont="1" applyFill="1" applyBorder="1" applyAlignment="1">
      <alignment horizontal="right" vertical="center"/>
    </xf>
    <xf numFmtId="3" fontId="43" fillId="0" borderId="48" xfId="6" applyNumberFormat="1" applyFont="1" applyBorder="1" applyAlignment="1">
      <alignment horizontal="center" vertical="center" wrapText="1"/>
    </xf>
    <xf numFmtId="0" fontId="44" fillId="0" borderId="0" xfId="6" applyFont="1"/>
    <xf numFmtId="3" fontId="44" fillId="0" borderId="0" xfId="6" applyNumberFormat="1" applyFont="1"/>
    <xf numFmtId="0" fontId="45" fillId="0" borderId="48" xfId="6" applyFont="1" applyBorder="1" applyAlignment="1">
      <alignment horizontal="center" vertical="center"/>
    </xf>
    <xf numFmtId="0" fontId="5" fillId="0" borderId="48" xfId="6" applyFont="1" applyBorder="1" applyAlignment="1">
      <alignment horizontal="center" vertical="center"/>
    </xf>
    <xf numFmtId="0" fontId="1" fillId="0" borderId="48" xfId="6" applyFont="1" applyBorder="1" applyAlignment="1">
      <alignment horizontal="center" vertical="center"/>
    </xf>
    <xf numFmtId="0" fontId="45" fillId="0" borderId="46" xfId="6" applyFont="1" applyBorder="1" applyAlignment="1">
      <alignment vertical="center" wrapText="1"/>
    </xf>
    <xf numFmtId="43" fontId="42" fillId="0" borderId="48" xfId="7" applyFont="1" applyBorder="1" applyAlignment="1">
      <alignment horizontal="right" vertical="center"/>
    </xf>
    <xf numFmtId="43" fontId="13" fillId="0" borderId="48" xfId="7" applyFont="1" applyBorder="1" applyAlignment="1">
      <alignment horizontal="right" vertical="center"/>
    </xf>
    <xf numFmtId="2" fontId="13" fillId="0" borderId="48" xfId="7" applyNumberFormat="1" applyFont="1" applyBorder="1" applyAlignment="1">
      <alignment horizontal="right" vertical="center"/>
    </xf>
    <xf numFmtId="3" fontId="46" fillId="0" borderId="48" xfId="6" applyNumberFormat="1" applyFont="1" applyBorder="1" applyAlignment="1">
      <alignment horizontal="center" vertical="center" wrapText="1"/>
    </xf>
    <xf numFmtId="0" fontId="39" fillId="0" borderId="0" xfId="6" applyFont="1" applyAlignment="1">
      <alignment vertical="center"/>
    </xf>
    <xf numFmtId="0" fontId="5" fillId="0" borderId="48" xfId="6" applyFont="1" applyBorder="1" applyAlignment="1">
      <alignment horizontal="left" vertical="center" wrapText="1"/>
    </xf>
    <xf numFmtId="43" fontId="42" fillId="0" borderId="38" xfId="7" applyFont="1" applyBorder="1" applyAlignment="1">
      <alignment horizontal="right" vertical="center"/>
    </xf>
    <xf numFmtId="43" fontId="13" fillId="0" borderId="38" xfId="7" applyFont="1" applyBorder="1" applyAlignment="1">
      <alignment horizontal="right" vertical="center"/>
    </xf>
    <xf numFmtId="2" fontId="13" fillId="0" borderId="38" xfId="7" applyNumberFormat="1" applyFont="1" applyBorder="1" applyAlignment="1">
      <alignment horizontal="right" vertical="center"/>
    </xf>
    <xf numFmtId="3" fontId="43" fillId="0" borderId="38" xfId="6" applyNumberFormat="1" applyFont="1" applyBorder="1" applyAlignment="1">
      <alignment horizontal="center" vertical="center" wrapText="1"/>
    </xf>
    <xf numFmtId="0" fontId="1" fillId="0" borderId="48" xfId="6" applyFont="1" applyBorder="1" applyAlignment="1">
      <alignment horizontal="left" vertical="center" wrapText="1"/>
    </xf>
    <xf numFmtId="43" fontId="2" fillId="0" borderId="48" xfId="7" applyFont="1" applyBorder="1" applyAlignment="1">
      <alignment horizontal="right" vertical="center" wrapText="1"/>
    </xf>
    <xf numFmtId="4" fontId="1" fillId="0" borderId="48" xfId="6" applyNumberFormat="1" applyFont="1" applyBorder="1" applyAlignment="1">
      <alignment horizontal="right" vertical="center"/>
    </xf>
    <xf numFmtId="4" fontId="1" fillId="0" borderId="48" xfId="6" applyNumberFormat="1" applyFont="1" applyBorder="1" applyAlignment="1">
      <alignment horizontal="center" vertical="center"/>
    </xf>
    <xf numFmtId="4" fontId="1" fillId="0" borderId="48" xfId="6" applyNumberFormat="1" applyFont="1" applyBorder="1" applyAlignment="1">
      <alignment vertical="center"/>
    </xf>
    <xf numFmtId="3" fontId="47" fillId="0" borderId="48" xfId="6" applyNumberFormat="1" applyFont="1" applyBorder="1" applyAlignment="1">
      <alignment horizontal="center" vertical="center" wrapText="1"/>
    </xf>
    <xf numFmtId="0" fontId="1" fillId="0" borderId="40" xfId="6" applyFont="1" applyBorder="1" applyAlignment="1">
      <alignment horizontal="center" vertical="center"/>
    </xf>
    <xf numFmtId="0" fontId="1" fillId="0" borderId="0" xfId="6" applyFont="1" applyAlignment="1">
      <alignment horizontal="left" vertical="center" wrapText="1"/>
    </xf>
    <xf numFmtId="4" fontId="1" fillId="0" borderId="0" xfId="6" applyNumberFormat="1" applyFont="1" applyAlignment="1">
      <alignment horizontal="right" vertical="center"/>
    </xf>
    <xf numFmtId="3" fontId="47" fillId="0" borderId="0" xfId="6" applyNumberFormat="1" applyFont="1" applyAlignment="1">
      <alignment horizontal="center" vertical="center" wrapText="1"/>
    </xf>
    <xf numFmtId="0" fontId="40" fillId="0" borderId="0" xfId="6" applyFont="1" applyAlignment="1">
      <alignment horizontal="center" vertical="center"/>
    </xf>
    <xf numFmtId="4" fontId="39" fillId="0" borderId="0" xfId="6" applyNumberFormat="1" applyFont="1" applyAlignment="1">
      <alignment horizontal="right" vertical="center"/>
    </xf>
    <xf numFmtId="0" fontId="39" fillId="0" borderId="0" xfId="6" applyFont="1" applyAlignment="1">
      <alignment horizontal="center"/>
    </xf>
    <xf numFmtId="0" fontId="39" fillId="0" borderId="0" xfId="6" applyFont="1" applyAlignment="1">
      <alignment horizontal="right" vertical="center"/>
    </xf>
    <xf numFmtId="0" fontId="48" fillId="0" borderId="0" xfId="8"/>
    <xf numFmtId="0" fontId="12" fillId="0" borderId="0" xfId="8" applyFont="1"/>
    <xf numFmtId="0" fontId="1" fillId="0" borderId="0" xfId="3" applyFont="1"/>
    <xf numFmtId="0" fontId="1" fillId="0" borderId="0" xfId="3" applyFont="1" applyAlignment="1">
      <alignment horizontal="left"/>
    </xf>
    <xf numFmtId="0" fontId="49" fillId="0" borderId="0" xfId="8" applyFont="1" applyAlignment="1">
      <alignment horizontal="centerContinuous" vertical="center"/>
    </xf>
    <xf numFmtId="0" fontId="42" fillId="0" borderId="1" xfId="8" applyFont="1" applyBorder="1" applyAlignment="1">
      <alignment horizontal="center" vertical="center"/>
    </xf>
    <xf numFmtId="0" fontId="42" fillId="0" borderId="1" xfId="8" applyFont="1" applyBorder="1" applyAlignment="1">
      <alignment horizontal="center" vertical="center" wrapText="1"/>
    </xf>
    <xf numFmtId="0" fontId="50" fillId="0" borderId="1" xfId="8" applyFont="1" applyBorder="1" applyAlignment="1">
      <alignment horizontal="center" vertical="top" wrapText="1"/>
    </xf>
    <xf numFmtId="0" fontId="42" fillId="0" borderId="16" xfId="8" applyFont="1" applyBorder="1" applyAlignment="1">
      <alignment horizontal="centerContinuous" vertical="center"/>
    </xf>
    <xf numFmtId="0" fontId="42" fillId="0" borderId="18" xfId="8" applyFont="1" applyBorder="1" applyAlignment="1">
      <alignment horizontal="centerContinuous" vertical="center"/>
    </xf>
    <xf numFmtId="0" fontId="42" fillId="0" borderId="17" xfId="8" applyFont="1" applyBorder="1" applyAlignment="1">
      <alignment horizontal="centerContinuous" vertical="center"/>
    </xf>
    <xf numFmtId="0" fontId="42" fillId="0" borderId="3" xfId="8" applyFont="1" applyBorder="1" applyAlignment="1">
      <alignment horizontal="center" vertical="center"/>
    </xf>
    <xf numFmtId="0" fontId="42" fillId="0" borderId="3" xfId="8" applyFont="1" applyBorder="1" applyAlignment="1">
      <alignment horizontal="center" vertical="center" wrapText="1"/>
    </xf>
    <xf numFmtId="0" fontId="50" fillId="0" borderId="3" xfId="8" applyFont="1" applyBorder="1" applyAlignment="1">
      <alignment horizontal="center" vertical="center" wrapText="1"/>
    </xf>
    <xf numFmtId="0" fontId="42" fillId="0" borderId="5" xfId="8" applyFont="1" applyBorder="1" applyAlignment="1">
      <alignment horizontal="center" vertical="center"/>
    </xf>
    <xf numFmtId="0" fontId="50" fillId="0" borderId="5" xfId="8" applyFont="1" applyBorder="1" applyAlignment="1">
      <alignment horizontal="center" vertical="center" wrapText="1"/>
    </xf>
    <xf numFmtId="0" fontId="42" fillId="0" borderId="5" xfId="8" applyFont="1" applyBorder="1" applyAlignment="1">
      <alignment horizontal="center" vertical="center" wrapText="1"/>
    </xf>
    <xf numFmtId="0" fontId="51" fillId="0" borderId="15" xfId="8" applyFont="1" applyBorder="1" applyAlignment="1">
      <alignment horizontal="center" vertical="center"/>
    </xf>
    <xf numFmtId="0" fontId="51" fillId="0" borderId="18" xfId="8" applyFont="1" applyBorder="1" applyAlignment="1">
      <alignment horizontal="center" vertical="center"/>
    </xf>
    <xf numFmtId="0" fontId="49" fillId="0" borderId="1" xfId="8" applyFont="1" applyBorder="1" applyAlignment="1">
      <alignment horizontal="center" vertical="center"/>
    </xf>
    <xf numFmtId="0" fontId="49" fillId="0" borderId="15" xfId="8" applyFont="1" applyBorder="1" applyAlignment="1">
      <alignment vertical="center"/>
    </xf>
    <xf numFmtId="4" fontId="42" fillId="0" borderId="18" xfId="8" applyNumberFormat="1" applyFont="1" applyBorder="1" applyAlignment="1">
      <alignment horizontal="center" vertical="center"/>
    </xf>
    <xf numFmtId="4" fontId="42" fillId="0" borderId="15" xfId="8" applyNumberFormat="1" applyFont="1" applyBorder="1" applyAlignment="1">
      <alignment vertical="center"/>
    </xf>
    <xf numFmtId="4" fontId="12" fillId="0" borderId="0" xfId="8" applyNumberFormat="1" applyFont="1" applyAlignment="1">
      <alignment horizontal="right" vertical="center"/>
    </xf>
    <xf numFmtId="4" fontId="42" fillId="0" borderId="0" xfId="8" applyNumberFormat="1" applyFont="1"/>
    <xf numFmtId="0" fontId="42" fillId="0" borderId="0" xfId="8" applyFont="1"/>
    <xf numFmtId="0" fontId="49" fillId="0" borderId="3" xfId="8" applyFont="1" applyBorder="1" applyAlignment="1">
      <alignment horizontal="center" vertical="center"/>
    </xf>
    <xf numFmtId="0" fontId="35" fillId="0" borderId="49" xfId="8" applyFont="1" applyBorder="1" applyAlignment="1">
      <alignment vertical="center"/>
    </xf>
    <xf numFmtId="4" fontId="35" fillId="0" borderId="49" xfId="8" applyNumberFormat="1" applyFont="1" applyBorder="1" applyAlignment="1">
      <alignment horizontal="center" vertical="center"/>
    </xf>
    <xf numFmtId="4" fontId="35" fillId="0" borderId="49" xfId="8" applyNumberFormat="1" applyFont="1" applyBorder="1" applyAlignment="1">
      <alignment vertical="center"/>
    </xf>
    <xf numFmtId="4" fontId="12" fillId="0" borderId="0" xfId="8" applyNumberFormat="1" applyFont="1"/>
    <xf numFmtId="3" fontId="42" fillId="0" borderId="0" xfId="8" applyNumberFormat="1" applyFont="1"/>
    <xf numFmtId="0" fontId="35" fillId="0" borderId="50" xfId="8" applyFont="1" applyBorder="1" applyAlignment="1">
      <alignment vertical="center"/>
    </xf>
    <xf numFmtId="4" fontId="35" fillId="0" borderId="50" xfId="8" applyNumberFormat="1" applyFont="1" applyBorder="1" applyAlignment="1">
      <alignment horizontal="center" vertical="center"/>
    </xf>
    <xf numFmtId="4" fontId="35" fillId="0" borderId="50" xfId="8" applyNumberFormat="1" applyFont="1" applyBorder="1" applyAlignment="1">
      <alignment vertical="center"/>
    </xf>
    <xf numFmtId="49" fontId="42" fillId="0" borderId="51" xfId="8" applyNumberFormat="1" applyFont="1" applyBorder="1" applyAlignment="1">
      <alignment horizontal="center" vertical="center"/>
    </xf>
    <xf numFmtId="0" fontId="42" fillId="0" borderId="52" xfId="8" applyFont="1" applyBorder="1" applyAlignment="1">
      <alignment vertical="center" wrapText="1"/>
    </xf>
    <xf numFmtId="4" fontId="49" fillId="0" borderId="53" xfId="3" applyNumberFormat="1" applyFont="1" applyBorder="1" applyAlignment="1">
      <alignment horizontal="center" vertical="center"/>
    </xf>
    <xf numFmtId="4" fontId="42" fillId="0" borderId="54" xfId="3" applyNumberFormat="1" applyFont="1" applyBorder="1" applyAlignment="1">
      <alignment horizontal="right" vertical="center"/>
    </xf>
    <xf numFmtId="3" fontId="12" fillId="0" borderId="0" xfId="8" applyNumberFormat="1" applyFont="1"/>
    <xf numFmtId="49" fontId="12" fillId="0" borderId="49" xfId="8" applyNumberFormat="1" applyFont="1" applyBorder="1" applyAlignment="1">
      <alignment horizontal="center" vertical="center"/>
    </xf>
    <xf numFmtId="0" fontId="13" fillId="0" borderId="49" xfId="3" applyFont="1" applyBorder="1" applyAlignment="1">
      <alignment horizontal="left" vertical="center" wrapText="1"/>
    </xf>
    <xf numFmtId="4" fontId="14" fillId="0" borderId="55" xfId="3" applyNumberFormat="1" applyBorder="1" applyAlignment="1">
      <alignment horizontal="center" vertical="center"/>
    </xf>
    <xf numFmtId="4" fontId="14" fillId="0" borderId="56" xfId="3" applyNumberFormat="1" applyBorder="1" applyAlignment="1">
      <alignment horizontal="center" vertical="center"/>
    </xf>
    <xf numFmtId="0" fontId="12" fillId="0" borderId="0" xfId="8" applyFont="1" applyAlignment="1">
      <alignment horizontal="right" vertical="center"/>
    </xf>
    <xf numFmtId="0" fontId="12" fillId="0" borderId="57" xfId="8" applyFont="1" applyBorder="1" applyAlignment="1">
      <alignment horizontal="center" vertical="top"/>
    </xf>
    <xf numFmtId="0" fontId="12" fillId="0" borderId="57" xfId="8" applyFont="1" applyBorder="1" applyAlignment="1">
      <alignment vertical="top" wrapText="1"/>
    </xf>
    <xf numFmtId="4" fontId="14" fillId="0" borderId="34" xfId="3" applyNumberFormat="1" applyBorder="1" applyAlignment="1">
      <alignment horizontal="center"/>
    </xf>
    <xf numFmtId="4" fontId="14" fillId="0" borderId="58" xfId="3" applyNumberFormat="1" applyBorder="1" applyAlignment="1">
      <alignment horizontal="center"/>
    </xf>
    <xf numFmtId="0" fontId="12" fillId="0" borderId="57" xfId="8" applyFont="1" applyBorder="1" applyAlignment="1">
      <alignment horizontal="center" vertical="center"/>
    </xf>
    <xf numFmtId="0" fontId="35" fillId="0" borderId="59" xfId="8" applyFont="1" applyBorder="1"/>
    <xf numFmtId="4" fontId="12" fillId="0" borderId="57" xfId="8" applyNumberFormat="1" applyFont="1" applyBorder="1" applyAlignment="1">
      <alignment horizontal="center"/>
    </xf>
    <xf numFmtId="4" fontId="12" fillId="0" borderId="57" xfId="8" applyNumberFormat="1" applyFont="1" applyBorder="1"/>
    <xf numFmtId="4" fontId="12" fillId="0" borderId="59" xfId="8" applyNumberFormat="1" applyFont="1" applyBorder="1"/>
    <xf numFmtId="4" fontId="12" fillId="0" borderId="60" xfId="8" applyNumberFormat="1" applyFont="1" applyBorder="1"/>
    <xf numFmtId="0" fontId="12" fillId="0" borderId="50" xfId="8" applyFont="1" applyBorder="1" applyAlignment="1">
      <alignment horizontal="center" vertical="center"/>
    </xf>
    <xf numFmtId="0" fontId="35" fillId="0" borderId="50" xfId="8" applyFont="1" applyBorder="1"/>
    <xf numFmtId="4" fontId="12" fillId="0" borderId="50" xfId="8" applyNumberFormat="1" applyFont="1" applyBorder="1" applyAlignment="1">
      <alignment horizontal="center"/>
    </xf>
    <xf numFmtId="4" fontId="12" fillId="0" borderId="50" xfId="8" applyNumberFormat="1" applyFont="1" applyBorder="1"/>
    <xf numFmtId="4" fontId="12" fillId="0" borderId="61" xfId="8" applyNumberFormat="1" applyFont="1" applyBorder="1"/>
    <xf numFmtId="0" fontId="52" fillId="0" borderId="0" xfId="8" applyFont="1"/>
    <xf numFmtId="0" fontId="12" fillId="0" borderId="0" xfId="8" applyFont="1" applyAlignment="1">
      <alignment horizontal="center" vertical="center"/>
    </xf>
    <xf numFmtId="0" fontId="35" fillId="0" borderId="0" xfId="8" applyFont="1"/>
    <xf numFmtId="0" fontId="16" fillId="0" borderId="0" xfId="4" applyAlignment="1">
      <alignment vertical="center"/>
    </xf>
    <xf numFmtId="0" fontId="1" fillId="0" borderId="0" xfId="4" applyFont="1"/>
    <xf numFmtId="0" fontId="16" fillId="0" borderId="0" xfId="4"/>
    <xf numFmtId="0" fontId="4" fillId="0" borderId="0" xfId="4" applyFont="1" applyAlignment="1">
      <alignment horizontal="centerContinuous" vertical="center" wrapText="1"/>
    </xf>
    <xf numFmtId="0" fontId="4" fillId="0" borderId="0" xfId="4" applyFont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9" fillId="3" borderId="1" xfId="4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 wrapText="1"/>
    </xf>
    <xf numFmtId="0" fontId="19" fillId="3" borderId="16" xfId="4" applyFont="1" applyFill="1" applyBorder="1" applyAlignment="1">
      <alignment horizontal="centerContinuous" vertical="center" wrapText="1"/>
    </xf>
    <xf numFmtId="0" fontId="19" fillId="3" borderId="17" xfId="4" applyFont="1" applyFill="1" applyBorder="1" applyAlignment="1">
      <alignment horizontal="centerContinuous" vertical="center" wrapText="1"/>
    </xf>
    <xf numFmtId="0" fontId="19" fillId="3" borderId="18" xfId="4" applyFont="1" applyFill="1" applyBorder="1" applyAlignment="1">
      <alignment horizontal="centerContinuous" vertical="center" wrapText="1"/>
    </xf>
    <xf numFmtId="0" fontId="19" fillId="3" borderId="3" xfId="4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 wrapText="1"/>
    </xf>
    <xf numFmtId="0" fontId="19" fillId="3" borderId="5" xfId="4" applyFont="1" applyFill="1" applyBorder="1" applyAlignment="1">
      <alignment horizontal="center" vertical="center"/>
    </xf>
    <xf numFmtId="0" fontId="19" fillId="3" borderId="5" xfId="4" applyFont="1" applyFill="1" applyBorder="1" applyAlignment="1">
      <alignment horizontal="center" vertical="center" wrapText="1"/>
    </xf>
    <xf numFmtId="0" fontId="19" fillId="3" borderId="5" xfId="4" applyFont="1" applyFill="1" applyBorder="1" applyAlignment="1">
      <alignment horizontal="center" vertical="top" wrapText="1"/>
    </xf>
    <xf numFmtId="0" fontId="19" fillId="3" borderId="15" xfId="4" applyFont="1" applyFill="1" applyBorder="1" applyAlignment="1">
      <alignment horizontal="center" vertical="center" wrapText="1"/>
    </xf>
    <xf numFmtId="0" fontId="17" fillId="0" borderId="15" xfId="4" applyFont="1" applyBorder="1" applyAlignment="1">
      <alignment vertical="center"/>
    </xf>
    <xf numFmtId="4" fontId="17" fillId="0" borderId="15" xfId="4" applyNumberFormat="1" applyFont="1" applyBorder="1" applyAlignment="1">
      <alignment vertical="center"/>
    </xf>
    <xf numFmtId="0" fontId="17" fillId="0" borderId="19" xfId="4" applyFont="1" applyBorder="1" applyAlignment="1">
      <alignment vertical="center"/>
    </xf>
    <xf numFmtId="4" fontId="17" fillId="0" borderId="5" xfId="4" applyNumberFormat="1" applyFont="1" applyBorder="1" applyAlignment="1">
      <alignment vertical="center"/>
    </xf>
    <xf numFmtId="4" fontId="37" fillId="0" borderId="5" xfId="4" applyNumberFormat="1" applyFont="1" applyBorder="1" applyAlignment="1">
      <alignment vertical="center"/>
    </xf>
    <xf numFmtId="0" fontId="55" fillId="4" borderId="16" xfId="4" applyFont="1" applyFill="1" applyBorder="1" applyAlignment="1">
      <alignment horizontal="left" vertical="center"/>
    </xf>
    <xf numFmtId="0" fontId="55" fillId="4" borderId="17" xfId="4" applyFont="1" applyFill="1" applyBorder="1" applyAlignment="1">
      <alignment horizontal="left" vertical="center"/>
    </xf>
    <xf numFmtId="0" fontId="55" fillId="4" borderId="18" xfId="4" applyFont="1" applyFill="1" applyBorder="1" applyAlignment="1">
      <alignment horizontal="left" vertical="center"/>
    </xf>
    <xf numFmtId="0" fontId="17" fillId="0" borderId="5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top"/>
    </xf>
    <xf numFmtId="0" fontId="17" fillId="0" borderId="3" xfId="2" applyFont="1" applyFill="1" applyBorder="1" applyAlignment="1">
      <alignment horizontal="center" vertical="top"/>
    </xf>
    <xf numFmtId="0" fontId="17" fillId="0" borderId="5" xfId="2" applyFont="1" applyFill="1" applyBorder="1" applyAlignment="1">
      <alignment horizontal="center" vertical="top"/>
    </xf>
    <xf numFmtId="0" fontId="56" fillId="4" borderId="16" xfId="4" applyFont="1" applyFill="1" applyBorder="1" applyAlignment="1">
      <alignment horizontal="center"/>
    </xf>
    <xf numFmtId="0" fontId="56" fillId="4" borderId="17" xfId="4" applyFont="1" applyFill="1" applyBorder="1" applyAlignment="1">
      <alignment horizontal="center"/>
    </xf>
    <xf numFmtId="4" fontId="56" fillId="4" borderId="15" xfId="4" applyNumberFormat="1" applyFont="1" applyFill="1" applyBorder="1"/>
    <xf numFmtId="0" fontId="56" fillId="0" borderId="0" xfId="4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49" fontId="57" fillId="0" borderId="3" xfId="0" applyNumberFormat="1" applyFont="1" applyBorder="1" applyAlignment="1">
      <alignment horizontal="center" vertical="center"/>
    </xf>
    <xf numFmtId="4" fontId="57" fillId="0" borderId="3" xfId="0" applyNumberFormat="1" applyFont="1" applyBorder="1" applyAlignment="1">
      <alignment horizontal="center" vertical="center"/>
    </xf>
    <xf numFmtId="4" fontId="58" fillId="0" borderId="3" xfId="0" applyNumberFormat="1" applyFont="1" applyBorder="1" applyAlignment="1">
      <alignment vertical="center"/>
    </xf>
    <xf numFmtId="0" fontId="57" fillId="0" borderId="3" xfId="0" applyFont="1" applyBorder="1" applyAlignment="1">
      <alignment horizontal="center" vertical="center"/>
    </xf>
    <xf numFmtId="0" fontId="57" fillId="0" borderId="3" xfId="0" applyFont="1" applyBorder="1"/>
    <xf numFmtId="0" fontId="57" fillId="0" borderId="3" xfId="0" applyFont="1" applyBorder="1" applyAlignment="1">
      <alignment wrapText="1"/>
    </xf>
    <xf numFmtId="4" fontId="52" fillId="0" borderId="0" xfId="0" applyNumberFormat="1" applyFont="1"/>
    <xf numFmtId="49" fontId="57" fillId="0" borderId="23" xfId="0" applyNumberFormat="1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5" xfId="0" applyFont="1" applyBorder="1"/>
    <xf numFmtId="49" fontId="57" fillId="0" borderId="19" xfId="0" applyNumberFormat="1" applyFont="1" applyBorder="1" applyAlignment="1">
      <alignment horizontal="center" vertical="center"/>
    </xf>
    <xf numFmtId="49" fontId="57" fillId="0" borderId="5" xfId="0" applyNumberFormat="1" applyFont="1" applyBorder="1" applyAlignment="1">
      <alignment horizontal="center" vertical="center"/>
    </xf>
    <xf numFmtId="4" fontId="57" fillId="0" borderId="5" xfId="0" applyNumberFormat="1" applyFont="1" applyBorder="1" applyAlignment="1">
      <alignment horizontal="center" vertical="center"/>
    </xf>
    <xf numFmtId="4" fontId="58" fillId="0" borderId="5" xfId="0" applyNumberFormat="1" applyFont="1" applyBorder="1" applyAlignment="1">
      <alignment vertical="center"/>
    </xf>
    <xf numFmtId="0" fontId="59" fillId="0" borderId="16" xfId="0" applyFont="1" applyBorder="1" applyAlignment="1">
      <alignment horizontal="center" vertical="center"/>
    </xf>
    <xf numFmtId="0" fontId="60" fillId="0" borderId="17" xfId="0" applyFont="1" applyBorder="1" applyAlignment="1">
      <alignment horizontal="right" vertical="center"/>
    </xf>
    <xf numFmtId="0" fontId="61" fillId="0" borderId="17" xfId="0" applyFont="1" applyBorder="1" applyAlignment="1">
      <alignment horizontal="center" vertical="center"/>
    </xf>
    <xf numFmtId="4" fontId="59" fillId="0" borderId="18" xfId="0" applyNumberFormat="1" applyFont="1" applyBorder="1" applyAlignment="1">
      <alignment vertical="center"/>
    </xf>
    <xf numFmtId="4" fontId="59" fillId="0" borderId="15" xfId="0" applyNumberFormat="1" applyFont="1" applyBorder="1" applyAlignment="1">
      <alignment vertical="center"/>
    </xf>
    <xf numFmtId="0" fontId="57" fillId="0" borderId="0" xfId="0" applyFont="1"/>
    <xf numFmtId="0" fontId="57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37" fillId="0" borderId="6" xfId="4" applyFont="1" applyBorder="1" applyAlignment="1">
      <alignment horizontal="center" vertical="center"/>
    </xf>
    <xf numFmtId="0" fontId="37" fillId="0" borderId="13" xfId="4" applyFont="1" applyBorder="1" applyAlignment="1">
      <alignment horizontal="center" vertical="center"/>
    </xf>
    <xf numFmtId="0" fontId="37" fillId="0" borderId="19" xfId="4" applyFont="1" applyBorder="1" applyAlignment="1">
      <alignment horizontal="center" vertical="center"/>
    </xf>
  </cellXfs>
  <cellStyles count="9">
    <cellStyle name="Dziesiętny" xfId="1" builtinId="3"/>
    <cellStyle name="Dziesiętny 2" xfId="7" xr:uid="{7F4554F3-6310-4D34-9B5C-512A2B8D35DE}"/>
    <cellStyle name="Excel Built-in Normal" xfId="6" xr:uid="{78992048-54F7-4FBD-9D32-20E51C2B8F27}"/>
    <cellStyle name="Normalny" xfId="0" builtinId="0"/>
    <cellStyle name="Normalny 2" xfId="3" xr:uid="{7ACF4185-F2FA-4E59-9690-85EF7FD26848}"/>
    <cellStyle name="Normalny 3 2" xfId="4" xr:uid="{ACE898EE-73CF-49FF-AEA9-B692FEBD0A8D}"/>
    <cellStyle name="Normalny 5" xfId="5" xr:uid="{E4D9DAB8-C16C-469C-988E-D299E943D54A}"/>
    <cellStyle name="Normalny_zal_Szczecin" xfId="8" xr:uid="{A2664D69-D956-4EDB-82A8-FE1F8CBA5EB8}"/>
    <cellStyle name="Zły" xfId="2" builtinId="27"/>
  </cellStyles>
  <dxfs count="0"/>
  <tableStyles count="0" defaultTableStyle="TableStyleMedium2" defaultPivotStyle="PivotStyleLight16"/>
  <colors>
    <mruColors>
      <color rgb="FFFF0000"/>
      <color rgb="FF00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596310</xdr:colOff>
      <xdr:row>19</xdr:row>
      <xdr:rowOff>0</xdr:rowOff>
    </xdr:from>
    <xdr:to>
      <xdr:col>4</xdr:col>
      <xdr:colOff>170670</xdr:colOff>
      <xdr:row>20</xdr:row>
      <xdr:rowOff>159105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CD75947-C050-4E71-8B6C-948EC72E9932}"/>
            </a:ext>
          </a:extLst>
        </xdr:cNvPr>
        <xdr:cNvSpPr/>
      </xdr:nvSpPr>
      <xdr:spPr>
        <a:xfrm>
          <a:off x="1358310" y="3800475"/>
          <a:ext cx="3689160" cy="46390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 editAs="oneCell">
    <xdr:from>
      <xdr:col>3</xdr:col>
      <xdr:colOff>596310</xdr:colOff>
      <xdr:row>19</xdr:row>
      <xdr:rowOff>0</xdr:rowOff>
    </xdr:from>
    <xdr:to>
      <xdr:col>4</xdr:col>
      <xdr:colOff>170670</xdr:colOff>
      <xdr:row>20</xdr:row>
      <xdr:rowOff>159105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ECF39D0-D74B-48AD-B60E-29215E87E598}"/>
            </a:ext>
          </a:extLst>
        </xdr:cNvPr>
        <xdr:cNvSpPr/>
      </xdr:nvSpPr>
      <xdr:spPr>
        <a:xfrm>
          <a:off x="1358310" y="3800475"/>
          <a:ext cx="3689160" cy="46390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47FD-51F7-439D-B0C6-8D07986905A4}">
  <sheetPr>
    <tabColor rgb="FFFFFF00"/>
  </sheetPr>
  <dimension ref="A1:H826"/>
  <sheetViews>
    <sheetView tabSelected="1" zoomScale="160" zoomScaleNormal="16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17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449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450</v>
      </c>
      <c r="G4" s="1"/>
      <c r="H4" s="1"/>
    </row>
    <row r="5" spans="1:8" ht="18" customHeight="1" x14ac:dyDescent="0.25">
      <c r="A5" s="4" t="s">
        <v>1</v>
      </c>
      <c r="B5" s="359"/>
      <c r="C5" s="5"/>
      <c r="D5" s="5"/>
      <c r="E5" s="359"/>
      <c r="F5" s="359"/>
      <c r="G5" s="6"/>
      <c r="H5" s="359"/>
    </row>
    <row r="6" spans="1:8" ht="23.25" customHeight="1" x14ac:dyDescent="0.25">
      <c r="A6" s="1"/>
      <c r="B6" s="1"/>
      <c r="C6" s="2"/>
      <c r="D6" s="2"/>
      <c r="E6" s="7"/>
      <c r="F6" s="1"/>
      <c r="G6" s="8"/>
      <c r="H6" s="9" t="s">
        <v>2</v>
      </c>
    </row>
    <row r="7" spans="1:8" s="16" customFormat="1" ht="11.25" x14ac:dyDescent="0.2">
      <c r="A7" s="10"/>
      <c r="B7" s="10"/>
      <c r="C7" s="11"/>
      <c r="D7" s="12"/>
      <c r="E7" s="13" t="s">
        <v>3</v>
      </c>
      <c r="F7" s="14"/>
      <c r="G7" s="15"/>
      <c r="H7" s="13" t="s">
        <v>3</v>
      </c>
    </row>
    <row r="8" spans="1:8" s="16" customFormat="1" ht="11.25" x14ac:dyDescent="0.2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20" t="s">
        <v>9</v>
      </c>
      <c r="G8" s="17" t="s">
        <v>10</v>
      </c>
      <c r="H8" s="17" t="s">
        <v>11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49"/>
      <c r="B10" s="49"/>
      <c r="C10" s="26"/>
      <c r="D10" s="27" t="s">
        <v>18</v>
      </c>
      <c r="E10" s="28">
        <v>871179908.92999983</v>
      </c>
      <c r="F10" s="28">
        <f>SUM(F11,F55,F97)</f>
        <v>4677198.75</v>
      </c>
      <c r="G10" s="28">
        <f>SUM(G11,G55,G97)</f>
        <v>24033.929999999997</v>
      </c>
      <c r="H10" s="28">
        <f t="shared" ref="H10:H23" si="0">SUM(E10+F10-G10)</f>
        <v>875833073.74999988</v>
      </c>
    </row>
    <row r="11" spans="1:8" s="16" customFormat="1" ht="17.25" customHeight="1" thickBot="1" x14ac:dyDescent="0.25">
      <c r="A11" s="49"/>
      <c r="B11" s="49"/>
      <c r="C11" s="26"/>
      <c r="D11" s="29" t="s">
        <v>19</v>
      </c>
      <c r="E11" s="30">
        <v>806300801.11999989</v>
      </c>
      <c r="F11" s="30">
        <f>SUM(F12,F16,F20,F24,F42,F47,F51)</f>
        <v>572955.64</v>
      </c>
      <c r="G11" s="30">
        <f>SUM(G12,G16,G20,G24,G42,G47,G51)</f>
        <v>3.09</v>
      </c>
      <c r="H11" s="30">
        <f t="shared" si="0"/>
        <v>806873753.66999984</v>
      </c>
    </row>
    <row r="12" spans="1:8" s="16" customFormat="1" ht="17.25" customHeight="1" thickTop="1" thickBot="1" x14ac:dyDescent="0.25">
      <c r="A12" s="31">
        <v>710</v>
      </c>
      <c r="B12" s="32"/>
      <c r="C12" s="33"/>
      <c r="D12" s="34" t="s">
        <v>168</v>
      </c>
      <c r="E12" s="30">
        <v>4720100</v>
      </c>
      <c r="F12" s="35">
        <f>SUM(F13)</f>
        <v>45000</v>
      </c>
      <c r="G12" s="35">
        <f>SUM(G13)</f>
        <v>0</v>
      </c>
      <c r="H12" s="30">
        <f t="shared" si="0"/>
        <v>4765100</v>
      </c>
    </row>
    <row r="13" spans="1:8" s="16" customFormat="1" ht="12" customHeight="1" thickTop="1" x14ac:dyDescent="0.2">
      <c r="A13" s="20"/>
      <c r="B13" s="26" t="s">
        <v>377</v>
      </c>
      <c r="C13" s="51"/>
      <c r="D13" s="38" t="s">
        <v>378</v>
      </c>
      <c r="E13" s="39">
        <v>4320000</v>
      </c>
      <c r="F13" s="40">
        <f>SUM(F15)</f>
        <v>45000</v>
      </c>
      <c r="G13" s="40">
        <f>SUM(G15)</f>
        <v>0</v>
      </c>
      <c r="H13" s="39">
        <f t="shared" si="0"/>
        <v>4365000</v>
      </c>
    </row>
    <row r="14" spans="1:8" s="16" customFormat="1" ht="12" customHeight="1" x14ac:dyDescent="0.2">
      <c r="A14" s="49"/>
      <c r="B14" s="49"/>
      <c r="C14" s="26"/>
      <c r="D14" s="363" t="s">
        <v>42</v>
      </c>
      <c r="E14" s="364">
        <v>20000</v>
      </c>
      <c r="F14" s="365">
        <f>SUM(F15:F15)</f>
        <v>45000</v>
      </c>
      <c r="G14" s="365">
        <f>SUM(G15:G15)</f>
        <v>0</v>
      </c>
      <c r="H14" s="364">
        <f t="shared" si="0"/>
        <v>65000</v>
      </c>
    </row>
    <row r="15" spans="1:8" s="16" customFormat="1" ht="35.25" customHeight="1" x14ac:dyDescent="0.2">
      <c r="A15" s="49"/>
      <c r="B15" s="49"/>
      <c r="C15" s="53" t="s">
        <v>379</v>
      </c>
      <c r="D15" s="106" t="s">
        <v>380</v>
      </c>
      <c r="E15" s="43">
        <v>20000</v>
      </c>
      <c r="F15" s="44">
        <v>45000</v>
      </c>
      <c r="G15" s="74"/>
      <c r="H15" s="43">
        <f t="shared" si="0"/>
        <v>65000</v>
      </c>
    </row>
    <row r="16" spans="1:8" s="16" customFormat="1" ht="12" customHeight="1" thickBot="1" x14ac:dyDescent="0.25">
      <c r="A16" s="31">
        <v>750</v>
      </c>
      <c r="B16" s="31"/>
      <c r="C16" s="33"/>
      <c r="D16" s="34" t="s">
        <v>14</v>
      </c>
      <c r="E16" s="30">
        <v>23673890.609999999</v>
      </c>
      <c r="F16" s="35">
        <f t="shared" ref="F16:G16" si="1">SUM(F17)</f>
        <v>0</v>
      </c>
      <c r="G16" s="35">
        <f t="shared" si="1"/>
        <v>3.09</v>
      </c>
      <c r="H16" s="30">
        <f t="shared" si="0"/>
        <v>23673887.52</v>
      </c>
    </row>
    <row r="17" spans="1:8" s="16" customFormat="1" ht="12" customHeight="1" thickTop="1" x14ac:dyDescent="0.2">
      <c r="A17" s="31"/>
      <c r="B17" s="26" t="s">
        <v>381</v>
      </c>
      <c r="C17" s="25"/>
      <c r="D17" s="38" t="s">
        <v>382</v>
      </c>
      <c r="E17" s="39">
        <v>2508222.1</v>
      </c>
      <c r="F17" s="39">
        <f>SUM(F18)</f>
        <v>0</v>
      </c>
      <c r="G17" s="39">
        <f>SUM(G18)</f>
        <v>3.09</v>
      </c>
      <c r="H17" s="39">
        <f t="shared" si="0"/>
        <v>2508219.0100000002</v>
      </c>
    </row>
    <row r="18" spans="1:8" s="16" customFormat="1" ht="12" customHeight="1" x14ac:dyDescent="0.2">
      <c r="A18" s="31"/>
      <c r="B18" s="25"/>
      <c r="C18" s="366"/>
      <c r="D18" s="367" t="s">
        <v>383</v>
      </c>
      <c r="E18" s="364">
        <v>657370</v>
      </c>
      <c r="F18" s="365">
        <f>SUM(F19:F19)</f>
        <v>0</v>
      </c>
      <c r="G18" s="365">
        <f t="shared" ref="G18" si="2">SUM(G19)</f>
        <v>3.09</v>
      </c>
      <c r="H18" s="364">
        <f>SUM(E18+F18-G18)</f>
        <v>657366.91</v>
      </c>
    </row>
    <row r="19" spans="1:8" s="16" customFormat="1" ht="33" customHeight="1" x14ac:dyDescent="0.2">
      <c r="A19" s="31"/>
      <c r="B19" s="25"/>
      <c r="C19" s="53" t="s">
        <v>379</v>
      </c>
      <c r="D19" s="106" t="s">
        <v>384</v>
      </c>
      <c r="E19" s="43">
        <v>657370</v>
      </c>
      <c r="F19" s="43"/>
      <c r="G19" s="44">
        <v>3.09</v>
      </c>
      <c r="H19" s="43">
        <f t="shared" ref="H19" si="3">SUM(E19+F19-G19)</f>
        <v>657366.91</v>
      </c>
    </row>
    <row r="20" spans="1:8" s="16" customFormat="1" ht="12" customHeight="1" thickBot="1" x14ac:dyDescent="0.25">
      <c r="A20" s="36">
        <v>758</v>
      </c>
      <c r="B20" s="17"/>
      <c r="C20" s="17"/>
      <c r="D20" s="50" t="s">
        <v>20</v>
      </c>
      <c r="E20" s="30">
        <v>220217964</v>
      </c>
      <c r="F20" s="35">
        <f>SUM(F21)</f>
        <v>288525</v>
      </c>
      <c r="G20" s="35">
        <f t="shared" ref="F20:G21" si="4">SUM(G21)</f>
        <v>0</v>
      </c>
      <c r="H20" s="30">
        <f t="shared" si="0"/>
        <v>220506489</v>
      </c>
    </row>
    <row r="21" spans="1:8" s="16" customFormat="1" ht="12.75" customHeight="1" thickTop="1" x14ac:dyDescent="0.2">
      <c r="A21" s="36"/>
      <c r="B21" s="26" t="s">
        <v>21</v>
      </c>
      <c r="C21" s="51"/>
      <c r="D21" s="38" t="s">
        <v>22</v>
      </c>
      <c r="E21" s="39">
        <v>2338724</v>
      </c>
      <c r="F21" s="40">
        <f t="shared" si="4"/>
        <v>288525</v>
      </c>
      <c r="G21" s="40">
        <f t="shared" si="4"/>
        <v>0</v>
      </c>
      <c r="H21" s="39">
        <f t="shared" si="0"/>
        <v>2627249</v>
      </c>
    </row>
    <row r="22" spans="1:8" s="16" customFormat="1" ht="20.25" customHeight="1" x14ac:dyDescent="0.2">
      <c r="A22" s="49"/>
      <c r="B22" s="52"/>
      <c r="C22" s="26"/>
      <c r="D22" s="368" t="s">
        <v>23</v>
      </c>
      <c r="E22" s="364">
        <v>2038724</v>
      </c>
      <c r="F22" s="365">
        <f>SUM(F23:F23)</f>
        <v>288525</v>
      </c>
      <c r="G22" s="365">
        <f>SUM(G23:G23)</f>
        <v>0</v>
      </c>
      <c r="H22" s="364">
        <f t="shared" si="0"/>
        <v>2327249</v>
      </c>
    </row>
    <row r="23" spans="1:8" s="16" customFormat="1" ht="36" customHeight="1" x14ac:dyDescent="0.2">
      <c r="A23" s="49"/>
      <c r="B23" s="52"/>
      <c r="C23" s="53" t="s">
        <v>24</v>
      </c>
      <c r="D23" s="54" t="s">
        <v>25</v>
      </c>
      <c r="E23" s="43">
        <v>2038724</v>
      </c>
      <c r="F23" s="43">
        <f>233620+54905</f>
        <v>288525</v>
      </c>
      <c r="G23" s="44"/>
      <c r="H23" s="43">
        <f t="shared" si="0"/>
        <v>2327249</v>
      </c>
    </row>
    <row r="24" spans="1:8" s="16" customFormat="1" ht="12" customHeight="1" thickBot="1" x14ac:dyDescent="0.25">
      <c r="A24" s="31">
        <v>801</v>
      </c>
      <c r="B24" s="31"/>
      <c r="C24" s="33"/>
      <c r="D24" s="34" t="s">
        <v>38</v>
      </c>
      <c r="E24" s="35">
        <v>20069662.039999999</v>
      </c>
      <c r="F24" s="35">
        <f>SUM(F25,F28,F31,F36,F39)</f>
        <v>199498.64</v>
      </c>
      <c r="G24" s="35">
        <f>SUM(G25,G28,G31,G36,G39)</f>
        <v>0</v>
      </c>
      <c r="H24" s="35">
        <f>SUM(E24+F24-G24)</f>
        <v>20269160.68</v>
      </c>
    </row>
    <row r="25" spans="1:8" s="16" customFormat="1" ht="12" customHeight="1" thickTop="1" x14ac:dyDescent="0.2">
      <c r="A25" s="31"/>
      <c r="B25" s="37">
        <v>80101</v>
      </c>
      <c r="C25" s="26"/>
      <c r="D25" s="38" t="s">
        <v>70</v>
      </c>
      <c r="E25" s="39">
        <v>125124.7</v>
      </c>
      <c r="F25" s="40">
        <f t="shared" ref="F25:G25" si="5">SUM(F26)</f>
        <v>32460.799999999999</v>
      </c>
      <c r="G25" s="40">
        <f t="shared" si="5"/>
        <v>0</v>
      </c>
      <c r="H25" s="39">
        <f>SUM(E25+F25-G25)</f>
        <v>157585.5</v>
      </c>
    </row>
    <row r="26" spans="1:8" s="16" customFormat="1" ht="12" customHeight="1" x14ac:dyDescent="0.2">
      <c r="A26" s="31"/>
      <c r="B26" s="369"/>
      <c r="C26" s="366"/>
      <c r="D26" s="367" t="s">
        <v>42</v>
      </c>
      <c r="E26" s="364">
        <v>54000</v>
      </c>
      <c r="F26" s="365">
        <f>SUM(F27:F27)</f>
        <v>32460.799999999999</v>
      </c>
      <c r="G26" s="365">
        <f>SUM(G27:G27)</f>
        <v>0</v>
      </c>
      <c r="H26" s="364">
        <f>SUM(E26+F26-G26)</f>
        <v>86460.800000000003</v>
      </c>
    </row>
    <row r="27" spans="1:8" s="16" customFormat="1" ht="34.5" customHeight="1" x14ac:dyDescent="0.2">
      <c r="A27" s="31"/>
      <c r="B27" s="31"/>
      <c r="C27" s="53" t="s">
        <v>385</v>
      </c>
      <c r="D27" s="54" t="s">
        <v>386</v>
      </c>
      <c r="E27" s="43">
        <v>54000</v>
      </c>
      <c r="F27" s="43">
        <v>32460.799999999999</v>
      </c>
      <c r="G27" s="44"/>
      <c r="H27" s="43">
        <f t="shared" ref="H27" si="6">SUM(E27+F27-G27)</f>
        <v>86460.800000000003</v>
      </c>
    </row>
    <row r="28" spans="1:8" s="16" customFormat="1" ht="12" customHeight="1" x14ac:dyDescent="0.2">
      <c r="A28" s="31"/>
      <c r="B28" s="37">
        <v>80117</v>
      </c>
      <c r="C28" s="26"/>
      <c r="D28" s="38" t="s">
        <v>103</v>
      </c>
      <c r="E28" s="39">
        <v>0</v>
      </c>
      <c r="F28" s="40">
        <f t="shared" ref="F28:G28" si="7">SUM(F29)</f>
        <v>28000</v>
      </c>
      <c r="G28" s="40">
        <f t="shared" si="7"/>
        <v>0</v>
      </c>
      <c r="H28" s="39">
        <f>SUM(E28+F28-G28)</f>
        <v>28000</v>
      </c>
    </row>
    <row r="29" spans="1:8" s="16" customFormat="1" ht="12" customHeight="1" x14ac:dyDescent="0.2">
      <c r="A29" s="31"/>
      <c r="B29" s="369"/>
      <c r="C29" s="366"/>
      <c r="D29" s="367" t="s">
        <v>42</v>
      </c>
      <c r="E29" s="364">
        <v>0</v>
      </c>
      <c r="F29" s="365">
        <f>SUM(F30:F30)</f>
        <v>28000</v>
      </c>
      <c r="G29" s="365">
        <f>SUM(G30:G30)</f>
        <v>0</v>
      </c>
      <c r="H29" s="364">
        <f>SUM(E29+F29-G29)</f>
        <v>28000</v>
      </c>
    </row>
    <row r="30" spans="1:8" s="16" customFormat="1" ht="22.5" customHeight="1" x14ac:dyDescent="0.2">
      <c r="A30" s="31"/>
      <c r="B30" s="31"/>
      <c r="C30" s="53" t="s">
        <v>387</v>
      </c>
      <c r="D30" s="106" t="s">
        <v>388</v>
      </c>
      <c r="E30" s="43">
        <v>0</v>
      </c>
      <c r="F30" s="43">
        <v>28000</v>
      </c>
      <c r="G30" s="44"/>
      <c r="H30" s="43">
        <f t="shared" ref="H30" si="8">SUM(E30+F30-G30)</f>
        <v>28000</v>
      </c>
    </row>
    <row r="31" spans="1:8" s="16" customFormat="1" ht="12" customHeight="1" x14ac:dyDescent="0.2">
      <c r="A31" s="31"/>
      <c r="B31" s="69">
        <v>80146</v>
      </c>
      <c r="C31" s="81"/>
      <c r="D31" s="38" t="s">
        <v>109</v>
      </c>
      <c r="E31" s="39">
        <v>380960</v>
      </c>
      <c r="F31" s="40">
        <f t="shared" ref="F31:G31" si="9">SUM(F32)</f>
        <v>65007</v>
      </c>
      <c r="G31" s="40">
        <f t="shared" si="9"/>
        <v>0</v>
      </c>
      <c r="H31" s="39">
        <f>SUM(E31+F31-G31)</f>
        <v>445967</v>
      </c>
    </row>
    <row r="32" spans="1:8" s="16" customFormat="1" ht="12" customHeight="1" x14ac:dyDescent="0.2">
      <c r="A32" s="31"/>
      <c r="B32" s="370"/>
      <c r="C32" s="366"/>
      <c r="D32" s="367" t="s">
        <v>42</v>
      </c>
      <c r="E32" s="364">
        <v>328000</v>
      </c>
      <c r="F32" s="365">
        <f>SUM(F33:F33)</f>
        <v>65007</v>
      </c>
      <c r="G32" s="365">
        <f>SUM(G33:G33)</f>
        <v>0</v>
      </c>
      <c r="H32" s="364">
        <f>SUM(E32+F32-G32)</f>
        <v>393007</v>
      </c>
    </row>
    <row r="33" spans="1:8" s="16" customFormat="1" ht="33.75" customHeight="1" x14ac:dyDescent="0.2">
      <c r="A33" s="31"/>
      <c r="B33" s="32"/>
      <c r="C33" s="53" t="s">
        <v>389</v>
      </c>
      <c r="D33" s="106" t="s">
        <v>390</v>
      </c>
      <c r="E33" s="43">
        <v>328000</v>
      </c>
      <c r="F33" s="43">
        <v>65007</v>
      </c>
      <c r="G33" s="44"/>
      <c r="H33" s="43">
        <f t="shared" ref="H33" si="10">SUM(E33+F33-G33)</f>
        <v>393007</v>
      </c>
    </row>
    <row r="34" spans="1:8" s="16" customFormat="1" ht="12" customHeight="1" x14ac:dyDescent="0.2">
      <c r="A34" s="31"/>
      <c r="B34" s="37">
        <v>80153</v>
      </c>
      <c r="C34" s="33"/>
      <c r="D34" s="62" t="s">
        <v>39</v>
      </c>
      <c r="E34" s="56"/>
      <c r="F34" s="56"/>
      <c r="G34" s="56"/>
      <c r="H34" s="56"/>
    </row>
    <row r="35" spans="1:8" s="16" customFormat="1" ht="12" customHeight="1" x14ac:dyDescent="0.2">
      <c r="A35" s="31"/>
      <c r="B35" s="32"/>
      <c r="C35" s="33"/>
      <c r="D35" s="62" t="s">
        <v>40</v>
      </c>
      <c r="E35" s="56"/>
      <c r="F35" s="56"/>
      <c r="G35" s="56"/>
      <c r="H35" s="56"/>
    </row>
    <row r="36" spans="1:8" s="16" customFormat="1" ht="12" customHeight="1" x14ac:dyDescent="0.2">
      <c r="A36" s="31"/>
      <c r="B36" s="37"/>
      <c r="C36" s="26"/>
      <c r="D36" s="38" t="s">
        <v>41</v>
      </c>
      <c r="E36" s="39">
        <v>0</v>
      </c>
      <c r="F36" s="39">
        <f>SUM(F37)</f>
        <v>24030.839999999997</v>
      </c>
      <c r="G36" s="39">
        <f>SUM(G37)</f>
        <v>0</v>
      </c>
      <c r="H36" s="39">
        <f>SUM(E36+F36-G36)</f>
        <v>24030.839999999997</v>
      </c>
    </row>
    <row r="37" spans="1:8" s="16" customFormat="1" ht="33.75" customHeight="1" x14ac:dyDescent="0.2">
      <c r="A37" s="31"/>
      <c r="B37" s="32"/>
      <c r="C37" s="371"/>
      <c r="D37" s="367" t="s">
        <v>45</v>
      </c>
      <c r="E37" s="364">
        <v>0</v>
      </c>
      <c r="F37" s="365">
        <f>SUM(F38:F38)</f>
        <v>24030.839999999997</v>
      </c>
      <c r="G37" s="365">
        <f>SUM(G38:G38)</f>
        <v>0</v>
      </c>
      <c r="H37" s="364">
        <f t="shared" ref="H37:H41" si="11">SUM(E37+F37-G37)</f>
        <v>24030.839999999997</v>
      </c>
    </row>
    <row r="38" spans="1:8" s="16" customFormat="1" ht="33.75" customHeight="1" x14ac:dyDescent="0.2">
      <c r="A38" s="31"/>
      <c r="B38" s="32"/>
      <c r="C38" s="53" t="s">
        <v>24</v>
      </c>
      <c r="D38" s="54" t="s">
        <v>25</v>
      </c>
      <c r="E38" s="43">
        <v>0</v>
      </c>
      <c r="F38" s="43">
        <f>23088.67+942.17</f>
        <v>24030.839999999997</v>
      </c>
      <c r="G38" s="44"/>
      <c r="H38" s="43">
        <f t="shared" si="11"/>
        <v>24030.839999999997</v>
      </c>
    </row>
    <row r="39" spans="1:8" s="16" customFormat="1" ht="12" customHeight="1" x14ac:dyDescent="0.2">
      <c r="A39" s="49"/>
      <c r="B39" s="37">
        <v>80195</v>
      </c>
      <c r="C39" s="26"/>
      <c r="D39" s="38" t="s">
        <v>15</v>
      </c>
      <c r="E39" s="39">
        <v>13233098.339999998</v>
      </c>
      <c r="F39" s="40">
        <f>SUM(F40)</f>
        <v>50000</v>
      </c>
      <c r="G39" s="40">
        <f>SUM(G40)</f>
        <v>0</v>
      </c>
      <c r="H39" s="39">
        <f t="shared" si="11"/>
        <v>13283098.339999998</v>
      </c>
    </row>
    <row r="40" spans="1:8" s="16" customFormat="1" ht="21.75" customHeight="1" x14ac:dyDescent="0.2">
      <c r="A40" s="49"/>
      <c r="B40" s="37"/>
      <c r="C40" s="371"/>
      <c r="D40" s="367" t="s">
        <v>391</v>
      </c>
      <c r="E40" s="364">
        <v>10000</v>
      </c>
      <c r="F40" s="365">
        <f>SUM(F41:F41)</f>
        <v>50000</v>
      </c>
      <c r="G40" s="365">
        <f>SUM(G41:G41)</f>
        <v>0</v>
      </c>
      <c r="H40" s="364">
        <f t="shared" si="11"/>
        <v>60000</v>
      </c>
    </row>
    <row r="41" spans="1:8" s="16" customFormat="1" ht="57" customHeight="1" x14ac:dyDescent="0.2">
      <c r="A41" s="72"/>
      <c r="B41" s="372"/>
      <c r="C41" s="64" t="s">
        <v>392</v>
      </c>
      <c r="D41" s="373" t="s">
        <v>393</v>
      </c>
      <c r="E41" s="39">
        <v>10000</v>
      </c>
      <c r="F41" s="39">
        <v>50000</v>
      </c>
      <c r="G41" s="40"/>
      <c r="H41" s="39">
        <f t="shared" si="11"/>
        <v>60000</v>
      </c>
    </row>
    <row r="42" spans="1:8" s="16" customFormat="1" ht="12.75" customHeight="1" thickBot="1" x14ac:dyDescent="0.25">
      <c r="A42" s="32">
        <v>852</v>
      </c>
      <c r="B42" s="32"/>
      <c r="C42" s="33"/>
      <c r="D42" s="34" t="s">
        <v>26</v>
      </c>
      <c r="E42" s="35">
        <v>22032769.150000002</v>
      </c>
      <c r="F42" s="35">
        <f>SUM(F44)</f>
        <v>623</v>
      </c>
      <c r="G42" s="35">
        <f>SUM(G44)</f>
        <v>0</v>
      </c>
      <c r="H42" s="35">
        <f>SUM(E42+F42-G42)</f>
        <v>22033392.150000002</v>
      </c>
    </row>
    <row r="43" spans="1:8" s="16" customFormat="1" ht="12" customHeight="1" thickTop="1" x14ac:dyDescent="0.2">
      <c r="A43" s="32"/>
      <c r="B43" s="37">
        <v>85214</v>
      </c>
      <c r="C43" s="26"/>
      <c r="D43" s="55" t="s">
        <v>27</v>
      </c>
      <c r="E43" s="56"/>
      <c r="F43" s="57"/>
      <c r="G43" s="57"/>
      <c r="H43" s="56"/>
    </row>
    <row r="44" spans="1:8" s="16" customFormat="1" ht="12" customHeight="1" x14ac:dyDescent="0.2">
      <c r="A44" s="32"/>
      <c r="B44" s="37"/>
      <c r="C44" s="26"/>
      <c r="D44" s="58" t="s">
        <v>28</v>
      </c>
      <c r="E44" s="39">
        <v>6806711</v>
      </c>
      <c r="F44" s="40">
        <f>SUM(F45)</f>
        <v>623</v>
      </c>
      <c r="G44" s="40">
        <f>SUM(G45)</f>
        <v>0</v>
      </c>
      <c r="H44" s="39">
        <f>SUM(E44+F44-G44)</f>
        <v>6807334</v>
      </c>
    </row>
    <row r="45" spans="1:8" s="16" customFormat="1" ht="12" customHeight="1" x14ac:dyDescent="0.2">
      <c r="A45" s="32"/>
      <c r="B45" s="32"/>
      <c r="C45" s="371"/>
      <c r="D45" s="367" t="s">
        <v>29</v>
      </c>
      <c r="E45" s="364">
        <v>4820</v>
      </c>
      <c r="F45" s="365">
        <f>SUM(F46:F46)</f>
        <v>623</v>
      </c>
      <c r="G45" s="365">
        <f>SUM(G46:G46)</f>
        <v>0</v>
      </c>
      <c r="H45" s="364">
        <f t="shared" ref="H45:H46" si="12">SUM(E45+F45-G45)</f>
        <v>5443</v>
      </c>
    </row>
    <row r="46" spans="1:8" s="16" customFormat="1" ht="34.5" customHeight="1" x14ac:dyDescent="0.2">
      <c r="A46" s="32"/>
      <c r="B46" s="32"/>
      <c r="C46" s="53" t="s">
        <v>24</v>
      </c>
      <c r="D46" s="54" t="s">
        <v>25</v>
      </c>
      <c r="E46" s="43">
        <v>4820</v>
      </c>
      <c r="F46" s="43">
        <v>623</v>
      </c>
      <c r="G46" s="44"/>
      <c r="H46" s="43">
        <f t="shared" si="12"/>
        <v>5443</v>
      </c>
    </row>
    <row r="47" spans="1:8" s="16" customFormat="1" ht="11.25" customHeight="1" thickBot="1" x14ac:dyDescent="0.25">
      <c r="A47" s="32">
        <v>855</v>
      </c>
      <c r="B47" s="32"/>
      <c r="C47" s="33"/>
      <c r="D47" s="34" t="s">
        <v>30</v>
      </c>
      <c r="E47" s="35">
        <v>27851951.66</v>
      </c>
      <c r="F47" s="35">
        <f>SUM(F48)</f>
        <v>19309</v>
      </c>
      <c r="G47" s="35">
        <f>SUM(G48)</f>
        <v>0</v>
      </c>
      <c r="H47" s="35">
        <f t="shared" ref="H47:H55" si="13">SUM(E47+F47-G47)</f>
        <v>27871260.66</v>
      </c>
    </row>
    <row r="48" spans="1:8" s="16" customFormat="1" ht="11.25" customHeight="1" thickTop="1" x14ac:dyDescent="0.2">
      <c r="A48" s="25"/>
      <c r="B48" s="59">
        <v>85595</v>
      </c>
      <c r="C48" s="26"/>
      <c r="D48" s="38" t="s">
        <v>15</v>
      </c>
      <c r="E48" s="39">
        <v>3505837.66</v>
      </c>
      <c r="F48" s="40">
        <f t="shared" ref="F48:G48" si="14">SUM(F49)</f>
        <v>19309</v>
      </c>
      <c r="G48" s="40">
        <f t="shared" si="14"/>
        <v>0</v>
      </c>
      <c r="H48" s="39">
        <f t="shared" si="13"/>
        <v>3525146.66</v>
      </c>
    </row>
    <row r="49" spans="1:8" s="16" customFormat="1" ht="12" customHeight="1" x14ac:dyDescent="0.2">
      <c r="A49" s="60"/>
      <c r="B49" s="32"/>
      <c r="C49" s="371"/>
      <c r="D49" s="367" t="s">
        <v>31</v>
      </c>
      <c r="E49" s="364">
        <v>140771</v>
      </c>
      <c r="F49" s="365">
        <f>SUM(F50:F50)</f>
        <v>19309</v>
      </c>
      <c r="G49" s="365">
        <f>SUM(G50:G50)</f>
        <v>0</v>
      </c>
      <c r="H49" s="364">
        <f t="shared" si="13"/>
        <v>160080</v>
      </c>
    </row>
    <row r="50" spans="1:8" s="16" customFormat="1" ht="34.5" customHeight="1" x14ac:dyDescent="0.2">
      <c r="A50" s="60"/>
      <c r="B50" s="32"/>
      <c r="C50" s="53" t="s">
        <v>24</v>
      </c>
      <c r="D50" s="54" t="s">
        <v>25</v>
      </c>
      <c r="E50" s="43">
        <v>140771</v>
      </c>
      <c r="F50" s="43">
        <v>19309</v>
      </c>
      <c r="G50" s="44"/>
      <c r="H50" s="43">
        <f t="shared" si="13"/>
        <v>160080</v>
      </c>
    </row>
    <row r="51" spans="1:8" s="16" customFormat="1" ht="12" customHeight="1" thickBot="1" x14ac:dyDescent="0.25">
      <c r="A51" s="31">
        <v>921</v>
      </c>
      <c r="B51" s="31"/>
      <c r="C51" s="33"/>
      <c r="D51" s="34" t="s">
        <v>149</v>
      </c>
      <c r="E51" s="30">
        <v>0</v>
      </c>
      <c r="F51" s="35">
        <f>SUM(F52)</f>
        <v>20000</v>
      </c>
      <c r="G51" s="35">
        <f>SUM(G52)</f>
        <v>0</v>
      </c>
      <c r="H51" s="30">
        <f t="shared" si="13"/>
        <v>20000</v>
      </c>
    </row>
    <row r="52" spans="1:8" s="16" customFormat="1" ht="12" customHeight="1" thickTop="1" x14ac:dyDescent="0.2">
      <c r="A52" s="60"/>
      <c r="B52" s="78">
        <v>92195</v>
      </c>
      <c r="C52" s="79"/>
      <c r="D52" s="98" t="s">
        <v>15</v>
      </c>
      <c r="E52" s="39">
        <v>0</v>
      </c>
      <c r="F52" s="39">
        <f>SUM(F53)</f>
        <v>20000</v>
      </c>
      <c r="G52" s="39">
        <f>SUM(G53)</f>
        <v>0</v>
      </c>
      <c r="H52" s="39">
        <f t="shared" si="13"/>
        <v>20000</v>
      </c>
    </row>
    <row r="53" spans="1:8" s="16" customFormat="1" ht="12" customHeight="1" x14ac:dyDescent="0.2">
      <c r="A53" s="60"/>
      <c r="B53" s="102"/>
      <c r="C53" s="374"/>
      <c r="D53" s="375" t="s">
        <v>394</v>
      </c>
      <c r="E53" s="364">
        <v>0</v>
      </c>
      <c r="F53" s="376">
        <f>SUM(F54:F54)</f>
        <v>20000</v>
      </c>
      <c r="G53" s="376">
        <f>SUM(G54:G54)</f>
        <v>0</v>
      </c>
      <c r="H53" s="377">
        <f t="shared" si="13"/>
        <v>20000</v>
      </c>
    </row>
    <row r="54" spans="1:8" s="16" customFormat="1" ht="34.5" customHeight="1" x14ac:dyDescent="0.2">
      <c r="A54" s="60"/>
      <c r="B54" s="102"/>
      <c r="C54" s="86">
        <v>2440</v>
      </c>
      <c r="D54" s="378" t="s">
        <v>395</v>
      </c>
      <c r="E54" s="45">
        <v>0</v>
      </c>
      <c r="F54" s="42">
        <v>20000</v>
      </c>
      <c r="G54" s="42"/>
      <c r="H54" s="44">
        <f t="shared" si="13"/>
        <v>20000</v>
      </c>
    </row>
    <row r="55" spans="1:8" s="16" customFormat="1" ht="23.25" customHeight="1" thickBot="1" x14ac:dyDescent="0.25">
      <c r="A55" s="49"/>
      <c r="B55" s="49"/>
      <c r="C55" s="26"/>
      <c r="D55" s="29" t="s">
        <v>32</v>
      </c>
      <c r="E55" s="30">
        <v>44325041.649999999</v>
      </c>
      <c r="F55" s="35">
        <f>SUM(F56,F61,F65,F71,F77,F81,F85)</f>
        <v>3124451.07</v>
      </c>
      <c r="G55" s="35">
        <f>SUM(G56,G61,G65,G71,G77,G81,G85)</f>
        <v>23088.67</v>
      </c>
      <c r="H55" s="30">
        <f t="shared" si="13"/>
        <v>47426404.049999997</v>
      </c>
    </row>
    <row r="56" spans="1:8" s="16" customFormat="1" ht="19.5" customHeight="1" thickTop="1" thickBot="1" x14ac:dyDescent="0.25">
      <c r="A56" s="31">
        <v>750</v>
      </c>
      <c r="B56" s="32"/>
      <c r="C56" s="33"/>
      <c r="D56" s="34" t="s">
        <v>14</v>
      </c>
      <c r="E56" s="35">
        <v>1909194.22</v>
      </c>
      <c r="F56" s="35">
        <f t="shared" ref="F56:G56" si="15">SUM(F57)</f>
        <v>479.07</v>
      </c>
      <c r="G56" s="35">
        <f t="shared" si="15"/>
        <v>0</v>
      </c>
      <c r="H56" s="35">
        <f t="shared" ref="H56:H59" si="16">SUM(E56+F56-G56)</f>
        <v>1909673.29</v>
      </c>
    </row>
    <row r="57" spans="1:8" s="16" customFormat="1" ht="12" customHeight="1" thickTop="1" x14ac:dyDescent="0.2">
      <c r="A57" s="31"/>
      <c r="B57" s="25">
        <v>75011</v>
      </c>
      <c r="C57" s="51"/>
      <c r="D57" s="61" t="s">
        <v>33</v>
      </c>
      <c r="E57" s="39">
        <v>1909194.22</v>
      </c>
      <c r="F57" s="40">
        <f>SUM(F58)</f>
        <v>479.07</v>
      </c>
      <c r="G57" s="40">
        <f>SUM(G58)</f>
        <v>0</v>
      </c>
      <c r="H57" s="39">
        <f t="shared" si="16"/>
        <v>1909673.29</v>
      </c>
    </row>
    <row r="58" spans="1:8" s="16" customFormat="1" ht="45" customHeight="1" x14ac:dyDescent="0.2">
      <c r="A58" s="31"/>
      <c r="B58" s="32"/>
      <c r="C58" s="26"/>
      <c r="D58" s="367" t="s">
        <v>34</v>
      </c>
      <c r="E58" s="364">
        <v>2345.98</v>
      </c>
      <c r="F58" s="365">
        <f>SUM(F59:F59)</f>
        <v>479.07</v>
      </c>
      <c r="G58" s="365">
        <f>SUM(G59:G59)</f>
        <v>0</v>
      </c>
      <c r="H58" s="364">
        <f t="shared" si="16"/>
        <v>2825.05</v>
      </c>
    </row>
    <row r="59" spans="1:8" s="16" customFormat="1" ht="33.75" customHeight="1" x14ac:dyDescent="0.2">
      <c r="A59" s="31"/>
      <c r="B59" s="32"/>
      <c r="C59" s="53" t="s">
        <v>24</v>
      </c>
      <c r="D59" s="54" t="s">
        <v>25</v>
      </c>
      <c r="E59" s="43">
        <v>2345.98</v>
      </c>
      <c r="F59" s="43">
        <f>84.66+24.65+84.42+285.34</f>
        <v>479.07</v>
      </c>
      <c r="G59" s="44"/>
      <c r="H59" s="43">
        <f t="shared" si="16"/>
        <v>2825.05</v>
      </c>
    </row>
    <row r="60" spans="1:8" s="16" customFormat="1" ht="12" customHeight="1" x14ac:dyDescent="0.2">
      <c r="A60" s="379">
        <v>751</v>
      </c>
      <c r="B60" s="379"/>
      <c r="C60" s="380"/>
      <c r="D60" s="381" t="s">
        <v>396</v>
      </c>
      <c r="E60" s="43"/>
      <c r="F60" s="43"/>
      <c r="G60" s="44"/>
      <c r="H60" s="43"/>
    </row>
    <row r="61" spans="1:8" s="16" customFormat="1" ht="12" customHeight="1" thickBot="1" x14ac:dyDescent="0.25">
      <c r="A61" s="379"/>
      <c r="B61" s="379"/>
      <c r="C61" s="380"/>
      <c r="D61" s="381" t="s">
        <v>397</v>
      </c>
      <c r="E61" s="30">
        <v>15950</v>
      </c>
      <c r="F61" s="35">
        <f>SUM(F62)</f>
        <v>207953</v>
      </c>
      <c r="G61" s="35">
        <f>SUM(G62)</f>
        <v>0</v>
      </c>
      <c r="H61" s="35">
        <f>SUM(E61+F61-G61)</f>
        <v>223903</v>
      </c>
    </row>
    <row r="62" spans="1:8" s="16" customFormat="1" ht="12" customHeight="1" thickTop="1" x14ac:dyDescent="0.2">
      <c r="A62" s="379"/>
      <c r="B62" s="69">
        <v>75108</v>
      </c>
      <c r="C62" s="81"/>
      <c r="D62" s="58" t="s">
        <v>398</v>
      </c>
      <c r="E62" s="39">
        <v>0</v>
      </c>
      <c r="F62" s="40">
        <f t="shared" ref="F62:G63" si="17">SUM(F63)</f>
        <v>207953</v>
      </c>
      <c r="G62" s="40">
        <f t="shared" si="17"/>
        <v>0</v>
      </c>
      <c r="H62" s="39">
        <f t="shared" ref="H62:H64" si="18">SUM(E62+F62-G62)</f>
        <v>207953</v>
      </c>
    </row>
    <row r="63" spans="1:8" s="16" customFormat="1" ht="12" customHeight="1" x14ac:dyDescent="0.2">
      <c r="A63" s="49"/>
      <c r="B63" s="37"/>
      <c r="C63" s="26"/>
      <c r="D63" s="363" t="s">
        <v>42</v>
      </c>
      <c r="E63" s="364">
        <v>0</v>
      </c>
      <c r="F63" s="365">
        <f>SUM(F64)</f>
        <v>207953</v>
      </c>
      <c r="G63" s="365">
        <f t="shared" si="17"/>
        <v>0</v>
      </c>
      <c r="H63" s="364">
        <f t="shared" si="18"/>
        <v>207953</v>
      </c>
    </row>
    <row r="64" spans="1:8" s="16" customFormat="1" ht="47.25" customHeight="1" x14ac:dyDescent="0.2">
      <c r="A64" s="49"/>
      <c r="B64" s="32"/>
      <c r="C64" s="53" t="s">
        <v>43</v>
      </c>
      <c r="D64" s="67" t="s">
        <v>44</v>
      </c>
      <c r="E64" s="42">
        <v>0</v>
      </c>
      <c r="F64" s="43">
        <v>207953</v>
      </c>
      <c r="G64" s="43"/>
      <c r="H64" s="42">
        <f t="shared" si="18"/>
        <v>207953</v>
      </c>
    </row>
    <row r="65" spans="1:8" s="16" customFormat="1" ht="12" customHeight="1" thickBot="1" x14ac:dyDescent="0.25">
      <c r="A65" s="32">
        <v>754</v>
      </c>
      <c r="B65" s="32"/>
      <c r="C65" s="33"/>
      <c r="D65" s="34" t="s">
        <v>35</v>
      </c>
      <c r="E65" s="35">
        <v>1686276</v>
      </c>
      <c r="F65" s="35">
        <f>SUM(F66)</f>
        <v>147240</v>
      </c>
      <c r="G65" s="35">
        <f>SUM(G66)</f>
        <v>0</v>
      </c>
      <c r="H65" s="35">
        <f>SUM(E65+F65-G65)</f>
        <v>1833516</v>
      </c>
    </row>
    <row r="66" spans="1:8" s="16" customFormat="1" ht="12" customHeight="1" thickTop="1" x14ac:dyDescent="0.2">
      <c r="A66" s="37"/>
      <c r="B66" s="37">
        <v>75495</v>
      </c>
      <c r="C66" s="26"/>
      <c r="D66" s="38" t="s">
        <v>15</v>
      </c>
      <c r="E66" s="39">
        <v>1686276</v>
      </c>
      <c r="F66" s="40">
        <f>SUM(F67,F69)</f>
        <v>147240</v>
      </c>
      <c r="G66" s="40">
        <f>SUM(G69)</f>
        <v>0</v>
      </c>
      <c r="H66" s="39">
        <f>SUM(E66+F66-G66)</f>
        <v>1833516</v>
      </c>
    </row>
    <row r="67" spans="1:8" s="16" customFormat="1" ht="24.75" customHeight="1" x14ac:dyDescent="0.2">
      <c r="A67" s="37"/>
      <c r="B67" s="37"/>
      <c r="C67" s="371"/>
      <c r="D67" s="367" t="s">
        <v>36</v>
      </c>
      <c r="E67" s="364">
        <v>260696</v>
      </c>
      <c r="F67" s="365">
        <f>SUM(F68:F68)</f>
        <v>9240</v>
      </c>
      <c r="G67" s="365">
        <f>SUM(G68:G68)</f>
        <v>0</v>
      </c>
      <c r="H67" s="364">
        <f t="shared" ref="H67:H70" si="19">SUM(E67+F67-G67)</f>
        <v>269936</v>
      </c>
    </row>
    <row r="68" spans="1:8" s="16" customFormat="1" ht="33.75" customHeight="1" x14ac:dyDescent="0.2">
      <c r="A68" s="37"/>
      <c r="B68" s="37"/>
      <c r="C68" s="53" t="s">
        <v>24</v>
      </c>
      <c r="D68" s="54" t="s">
        <v>25</v>
      </c>
      <c r="E68" s="43">
        <v>260696</v>
      </c>
      <c r="F68" s="43">
        <v>9240</v>
      </c>
      <c r="G68" s="44"/>
      <c r="H68" s="43">
        <f t="shared" si="19"/>
        <v>269936</v>
      </c>
    </row>
    <row r="69" spans="1:8" s="16" customFormat="1" ht="25.5" customHeight="1" x14ac:dyDescent="0.2">
      <c r="A69" s="49"/>
      <c r="B69" s="49"/>
      <c r="C69" s="53"/>
      <c r="D69" s="367" t="s">
        <v>37</v>
      </c>
      <c r="E69" s="364">
        <v>1425580</v>
      </c>
      <c r="F69" s="365">
        <f>SUM(F70:F70)</f>
        <v>138000</v>
      </c>
      <c r="G69" s="365">
        <f>SUM(G70:G70)</f>
        <v>0</v>
      </c>
      <c r="H69" s="364">
        <f t="shared" si="19"/>
        <v>1563580</v>
      </c>
    </row>
    <row r="70" spans="1:8" s="16" customFormat="1" ht="35.25" customHeight="1" x14ac:dyDescent="0.2">
      <c r="A70" s="49"/>
      <c r="B70" s="49"/>
      <c r="C70" s="53" t="s">
        <v>24</v>
      </c>
      <c r="D70" s="54" t="s">
        <v>25</v>
      </c>
      <c r="E70" s="43">
        <v>1425580</v>
      </c>
      <c r="F70" s="43">
        <v>138000</v>
      </c>
      <c r="G70" s="44"/>
      <c r="H70" s="43">
        <f t="shared" si="19"/>
        <v>1563580</v>
      </c>
    </row>
    <row r="71" spans="1:8" s="16" customFormat="1" ht="12" customHeight="1" thickBot="1" x14ac:dyDescent="0.25">
      <c r="A71" s="31">
        <v>801</v>
      </c>
      <c r="B71" s="32"/>
      <c r="C71" s="33"/>
      <c r="D71" s="34" t="s">
        <v>38</v>
      </c>
      <c r="E71" s="30">
        <v>848993.96000000008</v>
      </c>
      <c r="F71" s="30">
        <f>SUM(F74)</f>
        <v>0</v>
      </c>
      <c r="G71" s="30">
        <f>SUM(G74)</f>
        <v>23088.67</v>
      </c>
      <c r="H71" s="30">
        <f>SUM(E71+F71-G71)</f>
        <v>825905.29</v>
      </c>
    </row>
    <row r="72" spans="1:8" s="16" customFormat="1" ht="12" customHeight="1" thickTop="1" x14ac:dyDescent="0.2">
      <c r="A72" s="31"/>
      <c r="B72" s="37">
        <v>80153</v>
      </c>
      <c r="C72" s="33"/>
      <c r="D72" s="62" t="s">
        <v>39</v>
      </c>
      <c r="E72" s="56"/>
      <c r="F72" s="56"/>
      <c r="G72" s="56"/>
      <c r="H72" s="56"/>
    </row>
    <row r="73" spans="1:8" s="16" customFormat="1" ht="12" customHeight="1" x14ac:dyDescent="0.2">
      <c r="A73" s="31"/>
      <c r="B73" s="32"/>
      <c r="C73" s="33"/>
      <c r="D73" s="62" t="s">
        <v>40</v>
      </c>
      <c r="E73" s="56"/>
      <c r="F73" s="56"/>
      <c r="G73" s="56"/>
      <c r="H73" s="56"/>
    </row>
    <row r="74" spans="1:8" s="16" customFormat="1" ht="12" customHeight="1" x14ac:dyDescent="0.2">
      <c r="A74" s="32"/>
      <c r="B74" s="37"/>
      <c r="C74" s="26"/>
      <c r="D74" s="38" t="s">
        <v>41</v>
      </c>
      <c r="E74" s="39">
        <v>848993.96000000008</v>
      </c>
      <c r="F74" s="39">
        <f>SUM(F75)</f>
        <v>0</v>
      </c>
      <c r="G74" s="39">
        <f>SUM(G75)</f>
        <v>23088.67</v>
      </c>
      <c r="H74" s="39">
        <f>SUM(E74+F74-G74)</f>
        <v>825905.29</v>
      </c>
    </row>
    <row r="75" spans="1:8" s="16" customFormat="1" ht="43.5" customHeight="1" x14ac:dyDescent="0.2">
      <c r="A75" s="32"/>
      <c r="B75" s="32"/>
      <c r="C75" s="371"/>
      <c r="D75" s="367" t="s">
        <v>45</v>
      </c>
      <c r="E75" s="364">
        <v>23088.67</v>
      </c>
      <c r="F75" s="365">
        <f>SUM(F76:F76)</f>
        <v>0</v>
      </c>
      <c r="G75" s="365">
        <f>SUM(G76:G76)</f>
        <v>23088.67</v>
      </c>
      <c r="H75" s="364">
        <f t="shared" ref="H75:H76" si="20">SUM(E75+F75-G75)</f>
        <v>0</v>
      </c>
    </row>
    <row r="76" spans="1:8" s="16" customFormat="1" ht="35.25" customHeight="1" x14ac:dyDescent="0.2">
      <c r="A76" s="63"/>
      <c r="B76" s="63"/>
      <c r="C76" s="64" t="s">
        <v>24</v>
      </c>
      <c r="D76" s="373" t="s">
        <v>25</v>
      </c>
      <c r="E76" s="39">
        <v>23088.67</v>
      </c>
      <c r="F76" s="39"/>
      <c r="G76" s="40">
        <v>23088.67</v>
      </c>
      <c r="H76" s="39">
        <f t="shared" si="20"/>
        <v>0</v>
      </c>
    </row>
    <row r="77" spans="1:8" s="16" customFormat="1" ht="12" customHeight="1" thickBot="1" x14ac:dyDescent="0.25">
      <c r="A77" s="32">
        <v>852</v>
      </c>
      <c r="B77" s="32"/>
      <c r="C77" s="33"/>
      <c r="D77" s="34" t="s">
        <v>26</v>
      </c>
      <c r="E77" s="30">
        <v>4175773</v>
      </c>
      <c r="F77" s="35">
        <f>SUM(F78)</f>
        <v>2361</v>
      </c>
      <c r="G77" s="35">
        <f>SUM(G78)</f>
        <v>0</v>
      </c>
      <c r="H77" s="35">
        <f>SUM(E77+F77-G77)</f>
        <v>4178134</v>
      </c>
    </row>
    <row r="78" spans="1:8" s="16" customFormat="1" ht="12" customHeight="1" thickTop="1" x14ac:dyDescent="0.2">
      <c r="A78" s="49"/>
      <c r="B78" s="37">
        <v>85219</v>
      </c>
      <c r="C78" s="26"/>
      <c r="D78" s="38" t="s">
        <v>399</v>
      </c>
      <c r="E78" s="39">
        <v>43070</v>
      </c>
      <c r="F78" s="40">
        <f t="shared" ref="F78:G79" si="21">SUM(F79)</f>
        <v>2361</v>
      </c>
      <c r="G78" s="40">
        <f t="shared" si="21"/>
        <v>0</v>
      </c>
      <c r="H78" s="39">
        <f t="shared" ref="H78:H84" si="22">SUM(E78+F78-G78)</f>
        <v>45431</v>
      </c>
    </row>
    <row r="79" spans="1:8" s="16" customFormat="1" ht="12" customHeight="1" x14ac:dyDescent="0.2">
      <c r="A79" s="49"/>
      <c r="B79" s="37"/>
      <c r="C79" s="26"/>
      <c r="D79" s="363" t="s">
        <v>42</v>
      </c>
      <c r="E79" s="364">
        <v>43070</v>
      </c>
      <c r="F79" s="365">
        <f t="shared" si="21"/>
        <v>2361</v>
      </c>
      <c r="G79" s="365">
        <f t="shared" si="21"/>
        <v>0</v>
      </c>
      <c r="H79" s="364">
        <f t="shared" si="22"/>
        <v>45431</v>
      </c>
    </row>
    <row r="80" spans="1:8" s="16" customFormat="1" ht="46.5" customHeight="1" x14ac:dyDescent="0.2">
      <c r="A80" s="49"/>
      <c r="B80" s="32"/>
      <c r="C80" s="53" t="s">
        <v>43</v>
      </c>
      <c r="D80" s="67" t="s">
        <v>44</v>
      </c>
      <c r="E80" s="42">
        <v>43070</v>
      </c>
      <c r="F80" s="43">
        <v>2361</v>
      </c>
      <c r="G80" s="43"/>
      <c r="H80" s="42">
        <f t="shared" si="22"/>
        <v>45431</v>
      </c>
    </row>
    <row r="81" spans="1:8" s="16" customFormat="1" ht="12" customHeight="1" thickBot="1" x14ac:dyDescent="0.25">
      <c r="A81" s="32">
        <v>853</v>
      </c>
      <c r="B81" s="32"/>
      <c r="C81" s="33"/>
      <c r="D81" s="34" t="s">
        <v>46</v>
      </c>
      <c r="E81" s="35">
        <v>395322.69999999995</v>
      </c>
      <c r="F81" s="35">
        <f>SUM(F82)</f>
        <v>3978</v>
      </c>
      <c r="G81" s="35">
        <f>SUM(G82)</f>
        <v>0</v>
      </c>
      <c r="H81" s="35">
        <f t="shared" si="22"/>
        <v>399300.69999999995</v>
      </c>
    </row>
    <row r="82" spans="1:8" s="16" customFormat="1" ht="12" customHeight="1" thickTop="1" x14ac:dyDescent="0.2">
      <c r="A82" s="32"/>
      <c r="B82" s="37">
        <v>85395</v>
      </c>
      <c r="C82" s="26"/>
      <c r="D82" s="38" t="s">
        <v>15</v>
      </c>
      <c r="E82" s="39">
        <v>395322.69999999995</v>
      </c>
      <c r="F82" s="40">
        <f t="shared" ref="F82:G82" si="23">SUM(F83)</f>
        <v>3978</v>
      </c>
      <c r="G82" s="40">
        <f t="shared" si="23"/>
        <v>0</v>
      </c>
      <c r="H82" s="39">
        <f t="shared" si="22"/>
        <v>399300.69999999995</v>
      </c>
    </row>
    <row r="83" spans="1:8" s="16" customFormat="1" ht="24" customHeight="1" x14ac:dyDescent="0.2">
      <c r="A83" s="32"/>
      <c r="B83" s="37"/>
      <c r="C83" s="26"/>
      <c r="D83" s="368" t="s">
        <v>47</v>
      </c>
      <c r="E83" s="364">
        <v>22950</v>
      </c>
      <c r="F83" s="365">
        <f>SUM(F84:F84)</f>
        <v>3978</v>
      </c>
      <c r="G83" s="365">
        <f>SUM(G84:G84)</f>
        <v>0</v>
      </c>
      <c r="H83" s="364">
        <f t="shared" si="22"/>
        <v>26928</v>
      </c>
    </row>
    <row r="84" spans="1:8" s="16" customFormat="1" ht="35.25" customHeight="1" x14ac:dyDescent="0.2">
      <c r="A84" s="32"/>
      <c r="B84" s="37"/>
      <c r="C84" s="53" t="s">
        <v>24</v>
      </c>
      <c r="D84" s="54" t="s">
        <v>25</v>
      </c>
      <c r="E84" s="43">
        <v>22950</v>
      </c>
      <c r="F84" s="43">
        <v>3978</v>
      </c>
      <c r="G84" s="44"/>
      <c r="H84" s="43">
        <f t="shared" si="22"/>
        <v>26928</v>
      </c>
    </row>
    <row r="85" spans="1:8" s="16" customFormat="1" ht="12" customHeight="1" thickBot="1" x14ac:dyDescent="0.25">
      <c r="A85" s="32">
        <v>855</v>
      </c>
      <c r="B85" s="32"/>
      <c r="C85" s="33"/>
      <c r="D85" s="34" t="s">
        <v>30</v>
      </c>
      <c r="E85" s="35">
        <v>35282073</v>
      </c>
      <c r="F85" s="35">
        <f>SUM(F86,F89,F94)</f>
        <v>2762440</v>
      </c>
      <c r="G85" s="35">
        <f>SUM(G94)</f>
        <v>0</v>
      </c>
      <c r="H85" s="35">
        <f>SUM(E85+F85-G85)</f>
        <v>38044513</v>
      </c>
    </row>
    <row r="86" spans="1:8" s="16" customFormat="1" ht="35.25" customHeight="1" thickTop="1" x14ac:dyDescent="0.2">
      <c r="A86" s="32"/>
      <c r="B86" s="59">
        <v>85502</v>
      </c>
      <c r="C86" s="26"/>
      <c r="D86" s="68" t="s">
        <v>48</v>
      </c>
      <c r="E86" s="39">
        <v>34879875</v>
      </c>
      <c r="F86" s="40">
        <f t="shared" ref="F86:G86" si="24">SUM(F87)</f>
        <v>2710544</v>
      </c>
      <c r="G86" s="40">
        <f t="shared" si="24"/>
        <v>0</v>
      </c>
      <c r="H86" s="39">
        <f>SUM(E86+F86-G86)</f>
        <v>37590419</v>
      </c>
    </row>
    <row r="87" spans="1:8" s="16" customFormat="1" ht="12" customHeight="1" x14ac:dyDescent="0.2">
      <c r="A87" s="32"/>
      <c r="B87" s="37"/>
      <c r="C87" s="26"/>
      <c r="D87" s="363" t="s">
        <v>42</v>
      </c>
      <c r="E87" s="364">
        <v>34879875</v>
      </c>
      <c r="F87" s="365">
        <f>SUM(F88)</f>
        <v>2710544</v>
      </c>
      <c r="G87" s="365">
        <f>SUM(G88)</f>
        <v>0</v>
      </c>
      <c r="H87" s="364">
        <f>SUM(E87+F87-G87)</f>
        <v>37590419</v>
      </c>
    </row>
    <row r="88" spans="1:8" s="16" customFormat="1" ht="47.25" customHeight="1" x14ac:dyDescent="0.2">
      <c r="A88" s="32"/>
      <c r="B88" s="32"/>
      <c r="C88" s="53" t="s">
        <v>43</v>
      </c>
      <c r="D88" s="67" t="s">
        <v>44</v>
      </c>
      <c r="E88" s="42">
        <v>34779500</v>
      </c>
      <c r="F88" s="44">
        <v>2710544</v>
      </c>
      <c r="G88" s="44"/>
      <c r="H88" s="42">
        <f t="shared" ref="H88" si="25">SUM(E88+F88-G88)</f>
        <v>37490044</v>
      </c>
    </row>
    <row r="89" spans="1:8" s="16" customFormat="1" ht="12" customHeight="1" x14ac:dyDescent="0.2">
      <c r="A89" s="32"/>
      <c r="B89" s="25">
        <v>85503</v>
      </c>
      <c r="C89" s="37"/>
      <c r="D89" s="38" t="s">
        <v>49</v>
      </c>
      <c r="E89" s="39">
        <v>10725</v>
      </c>
      <c r="F89" s="40">
        <f t="shared" ref="F89:G89" si="26">SUM(F90)</f>
        <v>962</v>
      </c>
      <c r="G89" s="40">
        <f t="shared" si="26"/>
        <v>0</v>
      </c>
      <c r="H89" s="39">
        <f>SUM(E89+F89-G89)</f>
        <v>11687</v>
      </c>
    </row>
    <row r="90" spans="1:8" s="16" customFormat="1" ht="12" customHeight="1" x14ac:dyDescent="0.2">
      <c r="A90" s="32"/>
      <c r="B90" s="37"/>
      <c r="C90" s="26"/>
      <c r="D90" s="363" t="s">
        <v>42</v>
      </c>
      <c r="E90" s="364">
        <v>10725</v>
      </c>
      <c r="F90" s="365">
        <f>SUM(F91)</f>
        <v>962</v>
      </c>
      <c r="G90" s="365">
        <f>SUM(G91)</f>
        <v>0</v>
      </c>
      <c r="H90" s="364">
        <f>SUM(E90+F90-G90)</f>
        <v>11687</v>
      </c>
    </row>
    <row r="91" spans="1:8" s="16" customFormat="1" ht="46.5" customHeight="1" x14ac:dyDescent="0.2">
      <c r="A91" s="32"/>
      <c r="B91" s="32"/>
      <c r="C91" s="53" t="s">
        <v>43</v>
      </c>
      <c r="D91" s="67" t="s">
        <v>44</v>
      </c>
      <c r="E91" s="42">
        <v>10725</v>
      </c>
      <c r="F91" s="44">
        <v>962</v>
      </c>
      <c r="G91" s="44"/>
      <c r="H91" s="42">
        <f t="shared" ref="H91" si="27">SUM(E91+F91-G91)</f>
        <v>11687</v>
      </c>
    </row>
    <row r="92" spans="1:8" s="16" customFormat="1" ht="12" customHeight="1" x14ac:dyDescent="0.2">
      <c r="A92" s="32"/>
      <c r="B92" s="37">
        <v>85513</v>
      </c>
      <c r="C92" s="26"/>
      <c r="D92" s="69" t="s">
        <v>50</v>
      </c>
      <c r="E92" s="42"/>
      <c r="F92" s="43"/>
      <c r="G92" s="43"/>
      <c r="H92" s="42"/>
    </row>
    <row r="93" spans="1:8" s="16" customFormat="1" ht="12" customHeight="1" x14ac:dyDescent="0.2">
      <c r="A93" s="32"/>
      <c r="B93" s="49"/>
      <c r="C93" s="26"/>
      <c r="D93" s="55" t="s">
        <v>51</v>
      </c>
      <c r="E93" s="42"/>
      <c r="F93" s="43"/>
      <c r="G93" s="43"/>
      <c r="H93" s="42"/>
    </row>
    <row r="94" spans="1:8" s="16" customFormat="1" ht="12" customHeight="1" x14ac:dyDescent="0.2">
      <c r="A94" s="32"/>
      <c r="B94" s="37"/>
      <c r="C94" s="26"/>
      <c r="D94" s="38" t="s">
        <v>52</v>
      </c>
      <c r="E94" s="39">
        <v>391473</v>
      </c>
      <c r="F94" s="40">
        <f t="shared" ref="F94:G95" si="28">SUM(F95)</f>
        <v>50934</v>
      </c>
      <c r="G94" s="40">
        <f t="shared" si="28"/>
        <v>0</v>
      </c>
      <c r="H94" s="39">
        <f t="shared" ref="H94:H110" si="29">SUM(E94+F94-G94)</f>
        <v>442407</v>
      </c>
    </row>
    <row r="95" spans="1:8" s="16" customFormat="1" ht="12" customHeight="1" x14ac:dyDescent="0.2">
      <c r="A95" s="32"/>
      <c r="B95" s="37"/>
      <c r="C95" s="26"/>
      <c r="D95" s="363" t="s">
        <v>42</v>
      </c>
      <c r="E95" s="364">
        <v>391473</v>
      </c>
      <c r="F95" s="365">
        <f t="shared" si="28"/>
        <v>50934</v>
      </c>
      <c r="G95" s="365">
        <f t="shared" si="28"/>
        <v>0</v>
      </c>
      <c r="H95" s="364">
        <f t="shared" si="29"/>
        <v>442407</v>
      </c>
    </row>
    <row r="96" spans="1:8" s="16" customFormat="1" ht="46.5" customHeight="1" x14ac:dyDescent="0.2">
      <c r="A96" s="32"/>
      <c r="B96" s="32"/>
      <c r="C96" s="53" t="s">
        <v>43</v>
      </c>
      <c r="D96" s="67" t="s">
        <v>44</v>
      </c>
      <c r="E96" s="42">
        <v>391473</v>
      </c>
      <c r="F96" s="43">
        <v>50934</v>
      </c>
      <c r="G96" s="43"/>
      <c r="H96" s="42">
        <f t="shared" si="29"/>
        <v>442407</v>
      </c>
    </row>
    <row r="97" spans="1:8" s="16" customFormat="1" ht="18.75" customHeight="1" thickBot="1" x14ac:dyDescent="0.25">
      <c r="A97" s="49"/>
      <c r="B97" s="49"/>
      <c r="C97" s="26"/>
      <c r="D97" s="29" t="s">
        <v>53</v>
      </c>
      <c r="E97" s="30">
        <v>20554066.16</v>
      </c>
      <c r="F97" s="30">
        <f>SUM(F99,F103)</f>
        <v>979792.04</v>
      </c>
      <c r="G97" s="30">
        <f>SUM(G99,G103)</f>
        <v>942.17</v>
      </c>
      <c r="H97" s="30">
        <f t="shared" si="29"/>
        <v>21532916.029999997</v>
      </c>
    </row>
    <row r="98" spans="1:8" s="16" customFormat="1" ht="20.25" customHeight="1" thickTop="1" x14ac:dyDescent="0.2">
      <c r="A98" s="31">
        <v>754</v>
      </c>
      <c r="B98" s="32"/>
      <c r="C98" s="33"/>
      <c r="D98" s="34" t="s">
        <v>54</v>
      </c>
      <c r="E98" s="56"/>
      <c r="F98" s="56"/>
      <c r="G98" s="56"/>
      <c r="H98" s="56"/>
    </row>
    <row r="99" spans="1:8" s="16" customFormat="1" ht="12" customHeight="1" thickBot="1" x14ac:dyDescent="0.25">
      <c r="A99" s="31"/>
      <c r="B99" s="32"/>
      <c r="C99" s="33"/>
      <c r="D99" s="34" t="s">
        <v>55</v>
      </c>
      <c r="E99" s="30">
        <v>17123093.539999999</v>
      </c>
      <c r="F99" s="30">
        <f t="shared" ref="F99:G101" si="30">SUM(F100)</f>
        <v>979792.04</v>
      </c>
      <c r="G99" s="30">
        <f t="shared" si="30"/>
        <v>0</v>
      </c>
      <c r="H99" s="30">
        <f>SUM(E99+F99-G99)</f>
        <v>18102885.579999998</v>
      </c>
    </row>
    <row r="100" spans="1:8" s="16" customFormat="1" ht="12" customHeight="1" thickTop="1" x14ac:dyDescent="0.2">
      <c r="A100" s="382"/>
      <c r="B100" s="37">
        <v>75411</v>
      </c>
      <c r="C100" s="26"/>
      <c r="D100" s="66" t="s">
        <v>56</v>
      </c>
      <c r="E100" s="39">
        <v>17123093.539999999</v>
      </c>
      <c r="F100" s="39">
        <f t="shared" si="30"/>
        <v>979792.04</v>
      </c>
      <c r="G100" s="39">
        <f t="shared" si="30"/>
        <v>0</v>
      </c>
      <c r="H100" s="39">
        <f>SUM(E100+F100-G100)</f>
        <v>18102885.579999998</v>
      </c>
    </row>
    <row r="101" spans="1:8" s="16" customFormat="1" ht="12" customHeight="1" x14ac:dyDescent="0.2">
      <c r="A101" s="383"/>
      <c r="B101" s="37"/>
      <c r="C101" s="26"/>
      <c r="D101" s="363" t="s">
        <v>42</v>
      </c>
      <c r="E101" s="364">
        <v>17123093.539999999</v>
      </c>
      <c r="F101" s="365">
        <f t="shared" si="30"/>
        <v>979792.04</v>
      </c>
      <c r="G101" s="365">
        <f t="shared" si="30"/>
        <v>0</v>
      </c>
      <c r="H101" s="364">
        <f>SUM(E101+F101-G101)</f>
        <v>18102885.579999998</v>
      </c>
    </row>
    <row r="102" spans="1:8" s="16" customFormat="1" ht="33" customHeight="1" x14ac:dyDescent="0.2">
      <c r="A102" s="32"/>
      <c r="B102" s="49"/>
      <c r="C102" s="59">
        <v>2110</v>
      </c>
      <c r="D102" s="70" t="s">
        <v>57</v>
      </c>
      <c r="E102" s="42">
        <v>17123093.539999999</v>
      </c>
      <c r="F102" s="43">
        <f>163719.36+163295.68+652777</f>
        <v>979792.04</v>
      </c>
      <c r="G102" s="43"/>
      <c r="H102" s="42">
        <f t="shared" ref="H102" si="31">SUM(E102+F102-G102)</f>
        <v>18102885.579999998</v>
      </c>
    </row>
    <row r="103" spans="1:8" s="16" customFormat="1" ht="12" customHeight="1" thickBot="1" x14ac:dyDescent="0.25">
      <c r="A103" s="31">
        <v>801</v>
      </c>
      <c r="B103" s="32"/>
      <c r="C103" s="33"/>
      <c r="D103" s="34" t="s">
        <v>38</v>
      </c>
      <c r="E103" s="30">
        <v>53437.619999999995</v>
      </c>
      <c r="F103" s="30">
        <f>SUM(F106)</f>
        <v>0</v>
      </c>
      <c r="G103" s="30">
        <f>SUM(G106)</f>
        <v>942.17</v>
      </c>
      <c r="H103" s="30">
        <f>SUM(E103+F103-G103)</f>
        <v>52495.45</v>
      </c>
    </row>
    <row r="104" spans="1:8" s="16" customFormat="1" ht="12" customHeight="1" thickTop="1" x14ac:dyDescent="0.2">
      <c r="A104" s="31"/>
      <c r="B104" s="37">
        <v>80153</v>
      </c>
      <c r="C104" s="33"/>
      <c r="D104" s="62" t="s">
        <v>39</v>
      </c>
      <c r="E104" s="56"/>
      <c r="F104" s="56"/>
      <c r="G104" s="56"/>
      <c r="H104" s="56"/>
    </row>
    <row r="105" spans="1:8" s="16" customFormat="1" ht="12" customHeight="1" x14ac:dyDescent="0.2">
      <c r="A105" s="31"/>
      <c r="B105" s="32"/>
      <c r="C105" s="33"/>
      <c r="D105" s="62" t="s">
        <v>40</v>
      </c>
      <c r="E105" s="56"/>
      <c r="F105" s="56"/>
      <c r="G105" s="56"/>
      <c r="H105" s="56"/>
    </row>
    <row r="106" spans="1:8" s="16" customFormat="1" ht="12" customHeight="1" x14ac:dyDescent="0.2">
      <c r="A106" s="32"/>
      <c r="B106" s="37"/>
      <c r="C106" s="26"/>
      <c r="D106" s="38" t="s">
        <v>41</v>
      </c>
      <c r="E106" s="39">
        <v>53437.619999999995</v>
      </c>
      <c r="F106" s="39">
        <f>SUM(F107)</f>
        <v>0</v>
      </c>
      <c r="G106" s="39">
        <f>SUM(G107)</f>
        <v>942.17</v>
      </c>
      <c r="H106" s="39">
        <f t="shared" ref="H106:H108" si="32">SUM(E106+F106-G106)</f>
        <v>52495.45</v>
      </c>
    </row>
    <row r="107" spans="1:8" s="16" customFormat="1" ht="42.75" customHeight="1" x14ac:dyDescent="0.2">
      <c r="A107" s="31"/>
      <c r="B107" s="49"/>
      <c r="C107" s="371"/>
      <c r="D107" s="367" t="s">
        <v>45</v>
      </c>
      <c r="E107" s="364">
        <v>942.17</v>
      </c>
      <c r="F107" s="365">
        <f>SUM(F108:F108)</f>
        <v>0</v>
      </c>
      <c r="G107" s="365">
        <f>SUM(G108:G108)</f>
        <v>942.17</v>
      </c>
      <c r="H107" s="364">
        <f t="shared" si="32"/>
        <v>0</v>
      </c>
    </row>
    <row r="108" spans="1:8" s="16" customFormat="1" ht="36" customHeight="1" x14ac:dyDescent="0.2">
      <c r="A108" s="71"/>
      <c r="B108" s="72"/>
      <c r="C108" s="64" t="s">
        <v>24</v>
      </c>
      <c r="D108" s="373" t="s">
        <v>25</v>
      </c>
      <c r="E108" s="39">
        <v>942.17</v>
      </c>
      <c r="F108" s="39"/>
      <c r="G108" s="40">
        <v>942.17</v>
      </c>
      <c r="H108" s="39">
        <f t="shared" si="32"/>
        <v>0</v>
      </c>
    </row>
    <row r="109" spans="1:8" s="16" customFormat="1" ht="20.25" customHeight="1" thickBot="1" x14ac:dyDescent="0.25">
      <c r="A109" s="37"/>
      <c r="B109" s="37"/>
      <c r="C109" s="26"/>
      <c r="D109" s="27" t="s">
        <v>12</v>
      </c>
      <c r="E109" s="28">
        <v>1010986379.9100003</v>
      </c>
      <c r="F109" s="28">
        <f>SUM(F110,F492,F559)</f>
        <v>6202517.96</v>
      </c>
      <c r="G109" s="28">
        <f>SUM(G110,G492,G559)</f>
        <v>1549353.14</v>
      </c>
      <c r="H109" s="28">
        <f t="shared" si="29"/>
        <v>1015639544.7300004</v>
      </c>
    </row>
    <row r="110" spans="1:8" s="16" customFormat="1" ht="17.25" customHeight="1" thickBot="1" x14ac:dyDescent="0.25">
      <c r="A110" s="37"/>
      <c r="B110" s="37"/>
      <c r="C110" s="26"/>
      <c r="D110" s="29" t="s">
        <v>13</v>
      </c>
      <c r="E110" s="30">
        <v>945713964.98000026</v>
      </c>
      <c r="F110" s="30">
        <f>SUM(F111,F125,F130,F137,F306,F324,F399,F405,F417,F457,F483,F487)</f>
        <v>2018365.8199999998</v>
      </c>
      <c r="G110" s="30">
        <f>SUM(G111,G125,G130,G137,G306,G324,G399,G405,G417,G457,G483,G487)</f>
        <v>1445413.27</v>
      </c>
      <c r="H110" s="30">
        <f t="shared" si="29"/>
        <v>946286917.53000033</v>
      </c>
    </row>
    <row r="111" spans="1:8" s="16" customFormat="1" ht="18.75" customHeight="1" thickTop="1" thickBot="1" x14ac:dyDescent="0.25">
      <c r="A111" s="32">
        <v>600</v>
      </c>
      <c r="B111" s="32"/>
      <c r="C111" s="33"/>
      <c r="D111" s="34" t="s">
        <v>59</v>
      </c>
      <c r="E111" s="30">
        <v>139466459.07999998</v>
      </c>
      <c r="F111" s="30">
        <f>SUM(F112,F116,F119)</f>
        <v>142409</v>
      </c>
      <c r="G111" s="30">
        <f>SUM(G112,G116,G119)</f>
        <v>142409</v>
      </c>
      <c r="H111" s="30">
        <f>SUM(E111+F111-G111)</f>
        <v>139466459.07999998</v>
      </c>
    </row>
    <row r="112" spans="1:8" s="16" customFormat="1" ht="12" customHeight="1" thickTop="1" x14ac:dyDescent="0.2">
      <c r="A112" s="32"/>
      <c r="B112" s="37">
        <v>60004</v>
      </c>
      <c r="C112" s="26"/>
      <c r="D112" s="38" t="s">
        <v>60</v>
      </c>
      <c r="E112" s="75">
        <v>33713603.660000004</v>
      </c>
      <c r="F112" s="75">
        <f>SUM(F113)</f>
        <v>100000</v>
      </c>
      <c r="G112" s="75">
        <f>SUM(G113)</f>
        <v>100000</v>
      </c>
      <c r="H112" s="39">
        <f>SUM(E112+F112-G112)</f>
        <v>33713603.660000004</v>
      </c>
    </row>
    <row r="113" spans="1:8" s="16" customFormat="1" ht="12" customHeight="1" x14ac:dyDescent="0.2">
      <c r="A113" s="32"/>
      <c r="B113" s="37"/>
      <c r="C113" s="76"/>
      <c r="D113" s="384" t="s">
        <v>61</v>
      </c>
      <c r="E113" s="364">
        <v>534530</v>
      </c>
      <c r="F113" s="364">
        <f>SUM(F114:F115)</f>
        <v>100000</v>
      </c>
      <c r="G113" s="364">
        <f>SUM(G114:G115)</f>
        <v>100000</v>
      </c>
      <c r="H113" s="364">
        <f>SUM(E113+F113-G113)</f>
        <v>534530</v>
      </c>
    </row>
    <row r="114" spans="1:8" s="16" customFormat="1" ht="12" customHeight="1" x14ac:dyDescent="0.2">
      <c r="A114" s="32"/>
      <c r="B114" s="37"/>
      <c r="C114" s="25">
        <v>4270</v>
      </c>
      <c r="D114" s="41" t="s">
        <v>68</v>
      </c>
      <c r="E114" s="45">
        <v>30910</v>
      </c>
      <c r="F114" s="45">
        <v>100000</v>
      </c>
      <c r="G114" s="45"/>
      <c r="H114" s="43">
        <f t="shared" ref="H114:H115" si="33">SUM(E114+F114-G114)</f>
        <v>130910</v>
      </c>
    </row>
    <row r="115" spans="1:8" s="16" customFormat="1" ht="12" customHeight="1" x14ac:dyDescent="0.2">
      <c r="A115" s="32"/>
      <c r="B115" s="37"/>
      <c r="C115" s="25">
        <v>4300</v>
      </c>
      <c r="D115" s="41" t="s">
        <v>16</v>
      </c>
      <c r="E115" s="45">
        <v>338067</v>
      </c>
      <c r="F115" s="45"/>
      <c r="G115" s="45">
        <v>100000</v>
      </c>
      <c r="H115" s="43">
        <f t="shared" si="33"/>
        <v>238067</v>
      </c>
    </row>
    <row r="116" spans="1:8" s="16" customFormat="1" ht="12" customHeight="1" x14ac:dyDescent="0.2">
      <c r="A116" s="32"/>
      <c r="B116" s="37">
        <v>60015</v>
      </c>
      <c r="C116" s="26"/>
      <c r="D116" s="38" t="s">
        <v>63</v>
      </c>
      <c r="E116" s="75">
        <v>37355613.659999996</v>
      </c>
      <c r="F116" s="75">
        <f>SUM(F117)</f>
        <v>0</v>
      </c>
      <c r="G116" s="75">
        <f>SUM(G117)</f>
        <v>38409</v>
      </c>
      <c r="H116" s="39">
        <f>SUM(E116+F116-G116)</f>
        <v>37317204.659999996</v>
      </c>
    </row>
    <row r="117" spans="1:8" s="16" customFormat="1" ht="12" customHeight="1" x14ac:dyDescent="0.2">
      <c r="A117" s="32"/>
      <c r="B117" s="37"/>
      <c r="C117" s="26"/>
      <c r="D117" s="384" t="s">
        <v>61</v>
      </c>
      <c r="E117" s="377">
        <v>12264775.77</v>
      </c>
      <c r="F117" s="365">
        <f>SUM(F118:F118)</f>
        <v>0</v>
      </c>
      <c r="G117" s="365">
        <f>SUM(G118:G118)</f>
        <v>38409</v>
      </c>
      <c r="H117" s="364">
        <f>SUM(E117+F117-G117)</f>
        <v>12226366.77</v>
      </c>
    </row>
    <row r="118" spans="1:8" s="16" customFormat="1" ht="12" customHeight="1" x14ac:dyDescent="0.2">
      <c r="A118" s="32"/>
      <c r="B118" s="37"/>
      <c r="C118" s="25">
        <v>4300</v>
      </c>
      <c r="D118" s="41" t="s">
        <v>16</v>
      </c>
      <c r="E118" s="45">
        <v>5385576</v>
      </c>
      <c r="F118" s="45"/>
      <c r="G118" s="45">
        <v>38409</v>
      </c>
      <c r="H118" s="43">
        <f t="shared" ref="H118:H119" si="34">SUM(E118+F118-G118)</f>
        <v>5347167</v>
      </c>
    </row>
    <row r="119" spans="1:8" s="16" customFormat="1" ht="12" customHeight="1" x14ac:dyDescent="0.2">
      <c r="A119" s="32"/>
      <c r="B119" s="37">
        <v>60095</v>
      </c>
      <c r="C119" s="26"/>
      <c r="D119" s="38" t="s">
        <v>15</v>
      </c>
      <c r="E119" s="75">
        <v>5028273</v>
      </c>
      <c r="F119" s="40">
        <f>SUM(F120)</f>
        <v>42409</v>
      </c>
      <c r="G119" s="40">
        <f>SUM(G120)</f>
        <v>4000</v>
      </c>
      <c r="H119" s="39">
        <f t="shared" si="34"/>
        <v>5066682</v>
      </c>
    </row>
    <row r="120" spans="1:8" s="16" customFormat="1" ht="12" customHeight="1" x14ac:dyDescent="0.2">
      <c r="A120" s="32"/>
      <c r="B120" s="385"/>
      <c r="C120" s="386"/>
      <c r="D120" s="384" t="s">
        <v>61</v>
      </c>
      <c r="E120" s="364">
        <v>4821813</v>
      </c>
      <c r="F120" s="364">
        <f>SUM(F121:F124)</f>
        <v>42409</v>
      </c>
      <c r="G120" s="364">
        <f>SUM(G121:G124)</f>
        <v>4000</v>
      </c>
      <c r="H120" s="364">
        <f>SUM(E120+F120-G120)</f>
        <v>4860222</v>
      </c>
    </row>
    <row r="121" spans="1:8" s="16" customFormat="1" ht="12" customHeight="1" x14ac:dyDescent="0.2">
      <c r="A121" s="32"/>
      <c r="B121" s="37"/>
      <c r="C121" s="25">
        <v>4010</v>
      </c>
      <c r="D121" s="41" t="s">
        <v>106</v>
      </c>
      <c r="E121" s="45">
        <v>3013735</v>
      </c>
      <c r="F121" s="45">
        <v>32800</v>
      </c>
      <c r="G121" s="45"/>
      <c r="H121" s="43">
        <f t="shared" ref="H121:H130" si="35">SUM(E121+F121-G121)</f>
        <v>3046535</v>
      </c>
    </row>
    <row r="122" spans="1:8" s="16" customFormat="1" ht="12" customHeight="1" x14ac:dyDescent="0.2">
      <c r="A122" s="32"/>
      <c r="B122" s="37"/>
      <c r="C122" s="78">
        <v>4110</v>
      </c>
      <c r="D122" s="69" t="s">
        <v>118</v>
      </c>
      <c r="E122" s="45">
        <v>576879</v>
      </c>
      <c r="F122" s="45">
        <v>5609</v>
      </c>
      <c r="G122" s="45"/>
      <c r="H122" s="43">
        <f t="shared" si="35"/>
        <v>582488</v>
      </c>
    </row>
    <row r="123" spans="1:8" s="16" customFormat="1" ht="12" customHeight="1" x14ac:dyDescent="0.2">
      <c r="A123" s="32"/>
      <c r="B123" s="37"/>
      <c r="C123" s="25">
        <v>4270</v>
      </c>
      <c r="D123" s="41" t="s">
        <v>68</v>
      </c>
      <c r="E123" s="45">
        <v>12500</v>
      </c>
      <c r="F123" s="45">
        <v>4000</v>
      </c>
      <c r="G123" s="45"/>
      <c r="H123" s="43">
        <f t="shared" si="35"/>
        <v>16500</v>
      </c>
    </row>
    <row r="124" spans="1:8" s="16" customFormat="1" ht="23.25" customHeight="1" x14ac:dyDescent="0.2">
      <c r="A124" s="32"/>
      <c r="B124" s="37"/>
      <c r="C124" s="59">
        <v>4600</v>
      </c>
      <c r="D124" s="70" t="s">
        <v>400</v>
      </c>
      <c r="E124" s="45">
        <v>67000</v>
      </c>
      <c r="F124" s="45"/>
      <c r="G124" s="45">
        <v>4000</v>
      </c>
      <c r="H124" s="43">
        <f t="shared" si="35"/>
        <v>63000</v>
      </c>
    </row>
    <row r="125" spans="1:8" s="16" customFormat="1" ht="12" customHeight="1" thickBot="1" x14ac:dyDescent="0.25">
      <c r="A125" s="31">
        <v>710</v>
      </c>
      <c r="B125" s="32"/>
      <c r="C125" s="33"/>
      <c r="D125" s="34" t="s">
        <v>168</v>
      </c>
      <c r="E125" s="30">
        <v>3820500</v>
      </c>
      <c r="F125" s="35">
        <f>SUM(F126)</f>
        <v>45000</v>
      </c>
      <c r="G125" s="35">
        <f>SUM(G126)</f>
        <v>0</v>
      </c>
      <c r="H125" s="30">
        <f>SUM(E125+F125-G125)</f>
        <v>3865500</v>
      </c>
    </row>
    <row r="126" spans="1:8" s="16" customFormat="1" ht="12" customHeight="1" thickTop="1" x14ac:dyDescent="0.2">
      <c r="A126" s="20"/>
      <c r="B126" s="26" t="s">
        <v>377</v>
      </c>
      <c r="C126" s="51"/>
      <c r="D126" s="80" t="s">
        <v>401</v>
      </c>
      <c r="E126" s="39">
        <v>20000</v>
      </c>
      <c r="F126" s="40">
        <f>SUM(F128)</f>
        <v>45000</v>
      </c>
      <c r="G126" s="40">
        <f>SUM(G128)</f>
        <v>0</v>
      </c>
      <c r="H126" s="39">
        <f>SUM(E126+F126-G126)</f>
        <v>65000</v>
      </c>
    </row>
    <row r="127" spans="1:8" s="16" customFormat="1" ht="12" customHeight="1" x14ac:dyDescent="0.2">
      <c r="A127" s="31"/>
      <c r="B127" s="32"/>
      <c r="C127" s="25"/>
      <c r="D127" s="387" t="s">
        <v>402</v>
      </c>
      <c r="E127" s="42"/>
      <c r="F127" s="44"/>
      <c r="G127" s="44"/>
      <c r="H127" s="43"/>
    </row>
    <row r="128" spans="1:8" s="16" customFormat="1" ht="12" customHeight="1" x14ac:dyDescent="0.2">
      <c r="A128" s="31"/>
      <c r="B128" s="32"/>
      <c r="C128" s="78"/>
      <c r="D128" s="388" t="s">
        <v>403</v>
      </c>
      <c r="E128" s="377">
        <v>20000</v>
      </c>
      <c r="F128" s="365">
        <f>SUM(F129:F129)</f>
        <v>45000</v>
      </c>
      <c r="G128" s="365">
        <f>SUM(G129:G129)</f>
        <v>0</v>
      </c>
      <c r="H128" s="364">
        <f>SUM(E128+F128-G128)</f>
        <v>65000</v>
      </c>
    </row>
    <row r="129" spans="1:8" s="16" customFormat="1" ht="12" customHeight="1" x14ac:dyDescent="0.2">
      <c r="A129" s="31"/>
      <c r="B129" s="32"/>
      <c r="C129" s="25">
        <v>4270</v>
      </c>
      <c r="D129" s="41" t="s">
        <v>68</v>
      </c>
      <c r="E129" s="45">
        <v>20000</v>
      </c>
      <c r="F129" s="42">
        <v>45000</v>
      </c>
      <c r="G129" s="42"/>
      <c r="H129" s="43">
        <f t="shared" ref="H129" si="36">SUM(E129+F129-G129)</f>
        <v>65000</v>
      </c>
    </row>
    <row r="130" spans="1:8" s="16" customFormat="1" ht="12" customHeight="1" thickBot="1" x14ac:dyDescent="0.25">
      <c r="A130" s="31">
        <v>750</v>
      </c>
      <c r="B130" s="31"/>
      <c r="C130" s="33"/>
      <c r="D130" s="34" t="s">
        <v>14</v>
      </c>
      <c r="E130" s="30">
        <v>73848210.350000009</v>
      </c>
      <c r="F130" s="35">
        <f>SUM(F131)</f>
        <v>123</v>
      </c>
      <c r="G130" s="35">
        <f>SUM(G131)</f>
        <v>126.09</v>
      </c>
      <c r="H130" s="82">
        <f t="shared" si="35"/>
        <v>73848207.260000005</v>
      </c>
    </row>
    <row r="131" spans="1:8" s="16" customFormat="1" ht="12" customHeight="1" thickTop="1" x14ac:dyDescent="0.2">
      <c r="A131" s="31"/>
      <c r="B131" s="26" t="s">
        <v>381</v>
      </c>
      <c r="C131" s="25"/>
      <c r="D131" s="38" t="s">
        <v>382</v>
      </c>
      <c r="E131" s="39">
        <v>35991581.800000004</v>
      </c>
      <c r="F131" s="40">
        <f>SUM(F132)</f>
        <v>123</v>
      </c>
      <c r="G131" s="40">
        <f>SUM(G132)</f>
        <v>126.09</v>
      </c>
      <c r="H131" s="39">
        <f>SUM(E131+F131-G131)</f>
        <v>35991578.710000001</v>
      </c>
    </row>
    <row r="132" spans="1:8" s="16" customFormat="1" ht="12" customHeight="1" x14ac:dyDescent="0.2">
      <c r="A132" s="31"/>
      <c r="B132" s="26"/>
      <c r="C132" s="25"/>
      <c r="D132" s="384" t="s">
        <v>404</v>
      </c>
      <c r="E132" s="364">
        <v>657370</v>
      </c>
      <c r="F132" s="377">
        <f>SUM(F133:F136)</f>
        <v>123</v>
      </c>
      <c r="G132" s="377">
        <f>SUM(G133:G136)</f>
        <v>126.09</v>
      </c>
      <c r="H132" s="377">
        <f t="shared" ref="H132:H136" si="37">SUM(E132+F132-G132)</f>
        <v>657366.91</v>
      </c>
    </row>
    <row r="133" spans="1:8" s="16" customFormat="1" ht="12" customHeight="1" x14ac:dyDescent="0.2">
      <c r="A133" s="31"/>
      <c r="B133" s="26"/>
      <c r="C133" s="25">
        <v>4010</v>
      </c>
      <c r="D133" s="41" t="s">
        <v>106</v>
      </c>
      <c r="E133" s="45">
        <v>35412</v>
      </c>
      <c r="F133" s="45"/>
      <c r="G133" s="45">
        <v>61</v>
      </c>
      <c r="H133" s="44">
        <f t="shared" si="37"/>
        <v>35351</v>
      </c>
    </row>
    <row r="134" spans="1:8" s="16" customFormat="1" ht="12" customHeight="1" x14ac:dyDescent="0.2">
      <c r="A134" s="31"/>
      <c r="B134" s="26"/>
      <c r="C134" s="78">
        <v>4110</v>
      </c>
      <c r="D134" s="69" t="s">
        <v>118</v>
      </c>
      <c r="E134" s="45">
        <v>6089</v>
      </c>
      <c r="F134" s="45"/>
      <c r="G134" s="45">
        <v>9.68</v>
      </c>
      <c r="H134" s="44">
        <f t="shared" si="37"/>
        <v>6079.32</v>
      </c>
    </row>
    <row r="135" spans="1:8" s="16" customFormat="1" ht="12" customHeight="1" x14ac:dyDescent="0.2">
      <c r="A135" s="31"/>
      <c r="B135" s="26"/>
      <c r="C135" s="78">
        <v>4120</v>
      </c>
      <c r="D135" s="69" t="s">
        <v>119</v>
      </c>
      <c r="E135" s="42">
        <v>869</v>
      </c>
      <c r="F135" s="42"/>
      <c r="G135" s="42">
        <v>55.41</v>
      </c>
      <c r="H135" s="44">
        <f t="shared" si="37"/>
        <v>813.59</v>
      </c>
    </row>
    <row r="136" spans="1:8" s="16" customFormat="1" ht="12" customHeight="1" x14ac:dyDescent="0.2">
      <c r="A136" s="31"/>
      <c r="B136" s="26"/>
      <c r="C136" s="59">
        <v>4710</v>
      </c>
      <c r="D136" s="84" t="s">
        <v>67</v>
      </c>
      <c r="E136" s="42">
        <v>0</v>
      </c>
      <c r="F136" s="42">
        <v>123</v>
      </c>
      <c r="G136" s="42"/>
      <c r="H136" s="44">
        <f t="shared" si="37"/>
        <v>123</v>
      </c>
    </row>
    <row r="137" spans="1:8" s="16" customFormat="1" ht="12" customHeight="1" thickBot="1" x14ac:dyDescent="0.25">
      <c r="A137" s="32">
        <v>801</v>
      </c>
      <c r="B137" s="32"/>
      <c r="C137" s="33"/>
      <c r="D137" s="34" t="s">
        <v>38</v>
      </c>
      <c r="E137" s="30">
        <v>320613930.29999995</v>
      </c>
      <c r="F137" s="35">
        <f>SUM(F138,F157,F160,F163,F178,F181,F188,F193,F208,F223,F235,F238,F243,F252,F263,F268,F279,F287,F293)</f>
        <v>636493.64</v>
      </c>
      <c r="G137" s="35">
        <f>SUM(G138,G157,G160,G163,G178,G181,G188,G193,G208,G223,G235,G238,G243,G252,G263,G268,G279,G287,G293)</f>
        <v>148470</v>
      </c>
      <c r="H137" s="30">
        <f>SUM(E137+F137-G137)</f>
        <v>321101953.93999994</v>
      </c>
    </row>
    <row r="138" spans="1:8" s="16" customFormat="1" ht="12" customHeight="1" thickTop="1" x14ac:dyDescent="0.2">
      <c r="A138" s="32"/>
      <c r="B138" s="37">
        <v>80101</v>
      </c>
      <c r="C138" s="26"/>
      <c r="D138" s="38" t="s">
        <v>70</v>
      </c>
      <c r="E138" s="39">
        <v>85150214.13000001</v>
      </c>
      <c r="F138" s="40">
        <f>SUM(F139,F151,F155)</f>
        <v>233050.8</v>
      </c>
      <c r="G138" s="40">
        <f>SUM(G139,G151,G155)</f>
        <v>8519</v>
      </c>
      <c r="H138" s="39">
        <f>SUM(E138+F138-G138)</f>
        <v>85374745.930000007</v>
      </c>
    </row>
    <row r="139" spans="1:8" s="16" customFormat="1" ht="12" customHeight="1" x14ac:dyDescent="0.2">
      <c r="A139" s="32"/>
      <c r="B139" s="37"/>
      <c r="C139" s="26"/>
      <c r="D139" s="384" t="s">
        <v>71</v>
      </c>
      <c r="E139" s="377">
        <v>74987992</v>
      </c>
      <c r="F139" s="377">
        <f>SUM(F140:F150)</f>
        <v>62269.8</v>
      </c>
      <c r="G139" s="377">
        <f>SUM(G140:G150)</f>
        <v>8519</v>
      </c>
      <c r="H139" s="364">
        <f>SUM(E139+F139-G139)</f>
        <v>75041742.799999997</v>
      </c>
    </row>
    <row r="140" spans="1:8" s="16" customFormat="1" ht="12" customHeight="1" x14ac:dyDescent="0.2">
      <c r="A140" s="32"/>
      <c r="B140" s="37"/>
      <c r="C140" s="25">
        <v>3020</v>
      </c>
      <c r="D140" s="41" t="s">
        <v>96</v>
      </c>
      <c r="E140" s="45">
        <v>445887</v>
      </c>
      <c r="F140" s="45"/>
      <c r="G140" s="45">
        <v>430</v>
      </c>
      <c r="H140" s="43">
        <f t="shared" ref="H140:H150" si="38">SUM(E140+F140-G140)</f>
        <v>445457</v>
      </c>
    </row>
    <row r="141" spans="1:8" s="16" customFormat="1" ht="12" customHeight="1" x14ac:dyDescent="0.2">
      <c r="A141" s="32"/>
      <c r="B141" s="37"/>
      <c r="C141" s="25">
        <v>4040</v>
      </c>
      <c r="D141" s="41" t="s">
        <v>72</v>
      </c>
      <c r="E141" s="45">
        <v>720711</v>
      </c>
      <c r="F141" s="45"/>
      <c r="G141" s="45">
        <v>87</v>
      </c>
      <c r="H141" s="43">
        <f t="shared" si="38"/>
        <v>720624</v>
      </c>
    </row>
    <row r="142" spans="1:8" s="16" customFormat="1" ht="12" customHeight="1" x14ac:dyDescent="0.2">
      <c r="A142" s="32"/>
      <c r="B142" s="37"/>
      <c r="C142" s="81" t="s">
        <v>65</v>
      </c>
      <c r="D142" s="62" t="s">
        <v>66</v>
      </c>
      <c r="E142" s="45">
        <v>586197</v>
      </c>
      <c r="F142" s="45">
        <v>10334</v>
      </c>
      <c r="G142" s="45"/>
      <c r="H142" s="43">
        <f t="shared" si="38"/>
        <v>596531</v>
      </c>
    </row>
    <row r="143" spans="1:8" s="16" customFormat="1" ht="12" customHeight="1" x14ac:dyDescent="0.2">
      <c r="A143" s="32"/>
      <c r="B143" s="37"/>
      <c r="C143" s="25">
        <v>4240</v>
      </c>
      <c r="D143" s="41" t="s">
        <v>76</v>
      </c>
      <c r="E143" s="45">
        <v>336184</v>
      </c>
      <c r="F143" s="45">
        <v>32460.799999999999</v>
      </c>
      <c r="G143" s="45">
        <v>1000</v>
      </c>
      <c r="H143" s="43">
        <f t="shared" si="38"/>
        <v>367644.8</v>
      </c>
    </row>
    <row r="144" spans="1:8" s="16" customFormat="1" ht="12" customHeight="1" x14ac:dyDescent="0.2">
      <c r="A144" s="32"/>
      <c r="B144" s="37"/>
      <c r="C144" s="25">
        <v>4270</v>
      </c>
      <c r="D144" s="41" t="s">
        <v>68</v>
      </c>
      <c r="E144" s="45">
        <v>236031</v>
      </c>
      <c r="F144" s="45"/>
      <c r="G144" s="45">
        <v>1958</v>
      </c>
      <c r="H144" s="43">
        <f t="shared" si="38"/>
        <v>234073</v>
      </c>
    </row>
    <row r="145" spans="1:8" s="16" customFormat="1" ht="12" customHeight="1" x14ac:dyDescent="0.2">
      <c r="A145" s="32"/>
      <c r="B145" s="37"/>
      <c r="C145" s="25">
        <v>4280</v>
      </c>
      <c r="D145" s="41" t="s">
        <v>78</v>
      </c>
      <c r="E145" s="45">
        <v>74880</v>
      </c>
      <c r="F145" s="45">
        <v>4700</v>
      </c>
      <c r="G145" s="45"/>
      <c r="H145" s="43">
        <f t="shared" si="38"/>
        <v>79580</v>
      </c>
    </row>
    <row r="146" spans="1:8" s="16" customFormat="1" ht="12" customHeight="1" x14ac:dyDescent="0.2">
      <c r="A146" s="32"/>
      <c r="B146" s="37"/>
      <c r="C146" s="25">
        <v>4300</v>
      </c>
      <c r="D146" s="41" t="s">
        <v>16</v>
      </c>
      <c r="E146" s="42">
        <v>859668</v>
      </c>
      <c r="F146" s="42">
        <v>10000</v>
      </c>
      <c r="G146" s="42"/>
      <c r="H146" s="43">
        <f t="shared" si="38"/>
        <v>869668</v>
      </c>
    </row>
    <row r="147" spans="1:8" s="16" customFormat="1" ht="12" customHeight="1" x14ac:dyDescent="0.2">
      <c r="A147" s="32"/>
      <c r="B147" s="37"/>
      <c r="C147" s="25">
        <v>4360</v>
      </c>
      <c r="D147" s="41" t="s">
        <v>101</v>
      </c>
      <c r="E147" s="42">
        <v>56649</v>
      </c>
      <c r="F147" s="42">
        <v>700</v>
      </c>
      <c r="G147" s="42"/>
      <c r="H147" s="43">
        <f t="shared" si="38"/>
        <v>57349</v>
      </c>
    </row>
    <row r="148" spans="1:8" s="16" customFormat="1" ht="21.75" customHeight="1" x14ac:dyDescent="0.2">
      <c r="A148" s="32"/>
      <c r="B148" s="37"/>
      <c r="C148" s="59">
        <v>4390</v>
      </c>
      <c r="D148" s="70" t="s">
        <v>171</v>
      </c>
      <c r="E148" s="42">
        <v>500</v>
      </c>
      <c r="F148" s="42">
        <v>3075</v>
      </c>
      <c r="G148" s="42"/>
      <c r="H148" s="43">
        <f t="shared" si="38"/>
        <v>3575</v>
      </c>
    </row>
    <row r="149" spans="1:8" s="16" customFormat="1" ht="12" customHeight="1" x14ac:dyDescent="0.2">
      <c r="A149" s="32"/>
      <c r="B149" s="37"/>
      <c r="C149" s="25">
        <v>4710</v>
      </c>
      <c r="D149" s="41" t="s">
        <v>67</v>
      </c>
      <c r="E149" s="42">
        <v>157275</v>
      </c>
      <c r="F149" s="42">
        <v>1000</v>
      </c>
      <c r="G149" s="42">
        <v>5000</v>
      </c>
      <c r="H149" s="43">
        <f t="shared" si="38"/>
        <v>153275</v>
      </c>
    </row>
    <row r="150" spans="1:8" s="16" customFormat="1" ht="12" customHeight="1" x14ac:dyDescent="0.2">
      <c r="A150" s="32"/>
      <c r="B150" s="37"/>
      <c r="C150" s="78">
        <v>4800</v>
      </c>
      <c r="D150" s="92" t="s">
        <v>84</v>
      </c>
      <c r="E150" s="42">
        <v>3206442</v>
      </c>
      <c r="F150" s="42"/>
      <c r="G150" s="42">
        <v>44</v>
      </c>
      <c r="H150" s="43">
        <f t="shared" si="38"/>
        <v>3206398</v>
      </c>
    </row>
    <row r="151" spans="1:8" s="16" customFormat="1" ht="21" customHeight="1" x14ac:dyDescent="0.2">
      <c r="A151" s="32"/>
      <c r="B151" s="37"/>
      <c r="C151" s="26"/>
      <c r="D151" s="368" t="s">
        <v>85</v>
      </c>
      <c r="E151" s="377">
        <v>1377721.59</v>
      </c>
      <c r="F151" s="377">
        <f>SUM(F152:F154)</f>
        <v>169437</v>
      </c>
      <c r="G151" s="377">
        <f>SUM(G152:G154)</f>
        <v>0</v>
      </c>
      <c r="H151" s="364">
        <f>SUM(E151+F151-G151)</f>
        <v>1547158.59</v>
      </c>
    </row>
    <row r="152" spans="1:8" s="16" customFormat="1" ht="21" customHeight="1" x14ac:dyDescent="0.2">
      <c r="A152" s="32"/>
      <c r="B152" s="37"/>
      <c r="C152" s="83" t="s">
        <v>86</v>
      </c>
      <c r="D152" s="87" t="s">
        <v>87</v>
      </c>
      <c r="E152" s="45">
        <v>946384.98</v>
      </c>
      <c r="F152" s="45">
        <v>166130.29</v>
      </c>
      <c r="G152" s="45"/>
      <c r="H152" s="43">
        <f t="shared" ref="H152:H154" si="39">SUM(E152+F152-G152)</f>
        <v>1112515.27</v>
      </c>
    </row>
    <row r="153" spans="1:8" s="16" customFormat="1" ht="21" customHeight="1" x14ac:dyDescent="0.2">
      <c r="A153" s="32"/>
      <c r="B153" s="37"/>
      <c r="C153" s="59">
        <v>4750</v>
      </c>
      <c r="D153" s="70" t="s">
        <v>89</v>
      </c>
      <c r="E153" s="45">
        <v>197097</v>
      </c>
      <c r="F153" s="45">
        <v>2783.77</v>
      </c>
      <c r="G153" s="45"/>
      <c r="H153" s="43">
        <f t="shared" si="39"/>
        <v>199880.77</v>
      </c>
    </row>
    <row r="154" spans="1:8" s="16" customFormat="1" ht="21" customHeight="1" x14ac:dyDescent="0.2">
      <c r="A154" s="32"/>
      <c r="B154" s="37"/>
      <c r="C154" s="59">
        <v>4850</v>
      </c>
      <c r="D154" s="70" t="s">
        <v>90</v>
      </c>
      <c r="E154" s="45">
        <v>41996.61</v>
      </c>
      <c r="F154" s="45">
        <v>522.94000000000005</v>
      </c>
      <c r="G154" s="45"/>
      <c r="H154" s="43">
        <f t="shared" si="39"/>
        <v>42519.55</v>
      </c>
    </row>
    <row r="155" spans="1:8" s="16" customFormat="1" ht="22.5" customHeight="1" x14ac:dyDescent="0.2">
      <c r="A155" s="32"/>
      <c r="B155" s="37"/>
      <c r="C155" s="26"/>
      <c r="D155" s="368" t="s">
        <v>92</v>
      </c>
      <c r="E155" s="377">
        <v>9028.5400000000009</v>
      </c>
      <c r="F155" s="377">
        <f>SUM(F156)</f>
        <v>1344</v>
      </c>
      <c r="G155" s="377">
        <f>SUM(G156)</f>
        <v>0</v>
      </c>
      <c r="H155" s="364">
        <f>SUM(E155+F155-G155)</f>
        <v>10372.540000000001</v>
      </c>
    </row>
    <row r="156" spans="1:8" s="16" customFormat="1" ht="33" customHeight="1" x14ac:dyDescent="0.2">
      <c r="A156" s="63"/>
      <c r="B156" s="88"/>
      <c r="C156" s="389" t="s">
        <v>93</v>
      </c>
      <c r="D156" s="390" t="s">
        <v>94</v>
      </c>
      <c r="E156" s="65">
        <v>9028.5400000000009</v>
      </c>
      <c r="F156" s="75">
        <v>1344</v>
      </c>
      <c r="G156" s="75"/>
      <c r="H156" s="39">
        <f t="shared" ref="H156" si="40">SUM(E156+F156-G156)</f>
        <v>10372.540000000001</v>
      </c>
    </row>
    <row r="157" spans="1:8" s="16" customFormat="1" ht="12" customHeight="1" x14ac:dyDescent="0.2">
      <c r="A157" s="32"/>
      <c r="B157" s="37">
        <v>80102</v>
      </c>
      <c r="C157" s="26"/>
      <c r="D157" s="38" t="s">
        <v>95</v>
      </c>
      <c r="E157" s="40">
        <v>11381236.5</v>
      </c>
      <c r="F157" s="40">
        <f>SUM(F158)</f>
        <v>8078</v>
      </c>
      <c r="G157" s="40">
        <f>SUM(G158)</f>
        <v>0</v>
      </c>
      <c r="H157" s="39">
        <f>SUM(E157+F157-G157)</f>
        <v>11389314.5</v>
      </c>
    </row>
    <row r="158" spans="1:8" s="16" customFormat="1" ht="21.75" customHeight="1" x14ac:dyDescent="0.2">
      <c r="A158" s="32"/>
      <c r="B158" s="37"/>
      <c r="C158" s="26"/>
      <c r="D158" s="368" t="s">
        <v>85</v>
      </c>
      <c r="E158" s="377">
        <v>58577.5</v>
      </c>
      <c r="F158" s="377">
        <f>SUM(F159:F159)</f>
        <v>8078</v>
      </c>
      <c r="G158" s="377">
        <f>SUM(G159:G159)</f>
        <v>0</v>
      </c>
      <c r="H158" s="364">
        <f>SUM(E158+F158-G158)</f>
        <v>66655.5</v>
      </c>
    </row>
    <row r="159" spans="1:8" s="16" customFormat="1" ht="21.75" customHeight="1" x14ac:dyDescent="0.2">
      <c r="A159" s="32"/>
      <c r="B159" s="37"/>
      <c r="C159" s="83" t="s">
        <v>86</v>
      </c>
      <c r="D159" s="87" t="s">
        <v>87</v>
      </c>
      <c r="E159" s="45">
        <v>40232.57</v>
      </c>
      <c r="F159" s="45">
        <v>8078</v>
      </c>
      <c r="G159" s="45"/>
      <c r="H159" s="43">
        <f t="shared" ref="H159" si="41">SUM(E159+F159-G159)</f>
        <v>48310.57</v>
      </c>
    </row>
    <row r="160" spans="1:8" s="16" customFormat="1" ht="12" customHeight="1" x14ac:dyDescent="0.2">
      <c r="A160" s="32"/>
      <c r="B160" s="37">
        <v>80103</v>
      </c>
      <c r="C160" s="26"/>
      <c r="D160" s="38" t="s">
        <v>240</v>
      </c>
      <c r="E160" s="40">
        <v>782214</v>
      </c>
      <c r="F160" s="40">
        <f>SUM(F161)</f>
        <v>455</v>
      </c>
      <c r="G160" s="40">
        <f>SUM(G161)</f>
        <v>0</v>
      </c>
      <c r="H160" s="39">
        <f>SUM(E160+F160-G160)</f>
        <v>782669</v>
      </c>
    </row>
    <row r="161" spans="1:8" s="16" customFormat="1" ht="12" customHeight="1" x14ac:dyDescent="0.2">
      <c r="A161" s="32"/>
      <c r="B161" s="37"/>
      <c r="C161" s="26"/>
      <c r="D161" s="384" t="s">
        <v>71</v>
      </c>
      <c r="E161" s="377">
        <v>629718</v>
      </c>
      <c r="F161" s="377">
        <f>SUM(F162:F162)</f>
        <v>455</v>
      </c>
      <c r="G161" s="377">
        <f>SUM(G162:G162)</f>
        <v>0</v>
      </c>
      <c r="H161" s="364">
        <f>SUM(E161+F161-G161)</f>
        <v>630173</v>
      </c>
    </row>
    <row r="162" spans="1:8" s="16" customFormat="1" ht="12" customHeight="1" x14ac:dyDescent="0.2">
      <c r="A162" s="32"/>
      <c r="B162" s="37"/>
      <c r="C162" s="78">
        <v>4120</v>
      </c>
      <c r="D162" s="69" t="s">
        <v>119</v>
      </c>
      <c r="E162" s="45">
        <v>11075</v>
      </c>
      <c r="F162" s="45">
        <v>455</v>
      </c>
      <c r="G162" s="45"/>
      <c r="H162" s="43">
        <f t="shared" ref="H162" si="42">SUM(E162+F162-G162)</f>
        <v>11530</v>
      </c>
    </row>
    <row r="163" spans="1:8" s="16" customFormat="1" ht="12" customHeight="1" x14ac:dyDescent="0.2">
      <c r="A163" s="32"/>
      <c r="B163" s="37">
        <v>80104</v>
      </c>
      <c r="C163" s="26"/>
      <c r="D163" s="38" t="s">
        <v>97</v>
      </c>
      <c r="E163" s="40">
        <v>41342968.859999999</v>
      </c>
      <c r="F163" s="40">
        <f>SUM(F164,F174,F176)</f>
        <v>62169</v>
      </c>
      <c r="G163" s="40">
        <f>SUM(G164,G174,G176)</f>
        <v>14125</v>
      </c>
      <c r="H163" s="39">
        <f>SUM(E163+F163-G163)</f>
        <v>41391012.859999999</v>
      </c>
    </row>
    <row r="164" spans="1:8" s="16" customFormat="1" ht="12" customHeight="1" x14ac:dyDescent="0.2">
      <c r="A164" s="32"/>
      <c r="B164" s="37"/>
      <c r="C164" s="26"/>
      <c r="D164" s="384" t="s">
        <v>71</v>
      </c>
      <c r="E164" s="377">
        <v>31210889</v>
      </c>
      <c r="F164" s="377">
        <f>SUM(F165:F173)</f>
        <v>6100</v>
      </c>
      <c r="G164" s="377">
        <f>SUM(G165:G173)</f>
        <v>14125</v>
      </c>
      <c r="H164" s="364">
        <f>SUM(E164+F164-G164)</f>
        <v>31202864</v>
      </c>
    </row>
    <row r="165" spans="1:8" s="16" customFormat="1" ht="12" customHeight="1" x14ac:dyDescent="0.2">
      <c r="A165" s="32"/>
      <c r="B165" s="37"/>
      <c r="C165" s="25">
        <v>4040</v>
      </c>
      <c r="D165" s="41" t="s">
        <v>72</v>
      </c>
      <c r="E165" s="45">
        <v>676877</v>
      </c>
      <c r="F165" s="45"/>
      <c r="G165" s="45">
        <v>1220</v>
      </c>
      <c r="H165" s="43">
        <f t="shared" ref="H165:H173" si="43">SUM(E165+F165-G165)</f>
        <v>675657</v>
      </c>
    </row>
    <row r="166" spans="1:8" s="16" customFormat="1" ht="12" customHeight="1" x14ac:dyDescent="0.2">
      <c r="A166" s="32"/>
      <c r="B166" s="37"/>
      <c r="C166" s="81" t="s">
        <v>65</v>
      </c>
      <c r="D166" s="62" t="s">
        <v>66</v>
      </c>
      <c r="E166" s="45">
        <v>681338</v>
      </c>
      <c r="F166" s="45"/>
      <c r="G166" s="45">
        <v>500</v>
      </c>
      <c r="H166" s="43">
        <f t="shared" si="43"/>
        <v>680838</v>
      </c>
    </row>
    <row r="167" spans="1:8" s="16" customFormat="1" ht="12" customHeight="1" x14ac:dyDescent="0.2">
      <c r="A167" s="32"/>
      <c r="B167" s="37"/>
      <c r="C167" s="25">
        <v>4280</v>
      </c>
      <c r="D167" s="41" t="s">
        <v>78</v>
      </c>
      <c r="E167" s="45">
        <v>38465</v>
      </c>
      <c r="F167" s="45">
        <v>500</v>
      </c>
      <c r="G167" s="45"/>
      <c r="H167" s="43">
        <f t="shared" si="43"/>
        <v>38965</v>
      </c>
    </row>
    <row r="168" spans="1:8" s="16" customFormat="1" ht="12" customHeight="1" x14ac:dyDescent="0.2">
      <c r="A168" s="32"/>
      <c r="B168" s="37"/>
      <c r="C168" s="25">
        <v>4300</v>
      </c>
      <c r="D168" s="41" t="s">
        <v>16</v>
      </c>
      <c r="E168" s="42">
        <v>571488</v>
      </c>
      <c r="F168" s="42"/>
      <c r="G168" s="42">
        <v>1272</v>
      </c>
      <c r="H168" s="43">
        <f t="shared" si="43"/>
        <v>570216</v>
      </c>
    </row>
    <row r="169" spans="1:8" s="16" customFormat="1" ht="12" customHeight="1" x14ac:dyDescent="0.2">
      <c r="A169" s="32"/>
      <c r="B169" s="37"/>
      <c r="C169" s="25">
        <v>4360</v>
      </c>
      <c r="D169" s="41" t="s">
        <v>101</v>
      </c>
      <c r="E169" s="42">
        <v>23769</v>
      </c>
      <c r="F169" s="42">
        <v>100</v>
      </c>
      <c r="G169" s="42"/>
      <c r="H169" s="43">
        <f t="shared" si="43"/>
        <v>23869</v>
      </c>
    </row>
    <row r="170" spans="1:8" s="16" customFormat="1" ht="12" customHeight="1" x14ac:dyDescent="0.2">
      <c r="A170" s="32"/>
      <c r="B170" s="37"/>
      <c r="C170" s="25">
        <v>4410</v>
      </c>
      <c r="D170" s="62" t="s">
        <v>79</v>
      </c>
      <c r="E170" s="42">
        <v>4975</v>
      </c>
      <c r="F170" s="42"/>
      <c r="G170" s="42">
        <v>228</v>
      </c>
      <c r="H170" s="43">
        <f t="shared" si="43"/>
        <v>4747</v>
      </c>
    </row>
    <row r="171" spans="1:8" s="16" customFormat="1" ht="21.75" customHeight="1" x14ac:dyDescent="0.2">
      <c r="A171" s="32"/>
      <c r="B171" s="37"/>
      <c r="C171" s="59">
        <v>4700</v>
      </c>
      <c r="D171" s="70" t="s">
        <v>69</v>
      </c>
      <c r="E171" s="42">
        <v>37420</v>
      </c>
      <c r="F171" s="42">
        <f>3500+2000</f>
        <v>5500</v>
      </c>
      <c r="G171" s="42"/>
      <c r="H171" s="43">
        <f t="shared" si="43"/>
        <v>42920</v>
      </c>
    </row>
    <row r="172" spans="1:8" s="16" customFormat="1" ht="12" customHeight="1" x14ac:dyDescent="0.2">
      <c r="A172" s="32"/>
      <c r="B172" s="37"/>
      <c r="C172" s="25">
        <v>4710</v>
      </c>
      <c r="D172" s="41" t="s">
        <v>67</v>
      </c>
      <c r="E172" s="42">
        <v>114184</v>
      </c>
      <c r="F172" s="42"/>
      <c r="G172" s="42">
        <f>7700+2100</f>
        <v>9800</v>
      </c>
      <c r="H172" s="43">
        <f t="shared" si="43"/>
        <v>104384</v>
      </c>
    </row>
    <row r="173" spans="1:8" s="16" customFormat="1" ht="12" customHeight="1" x14ac:dyDescent="0.2">
      <c r="A173" s="32"/>
      <c r="B173" s="37"/>
      <c r="C173" s="78">
        <v>4800</v>
      </c>
      <c r="D173" s="92" t="s">
        <v>84</v>
      </c>
      <c r="E173" s="42">
        <v>908660</v>
      </c>
      <c r="F173" s="42"/>
      <c r="G173" s="42">
        <v>1105</v>
      </c>
      <c r="H173" s="43">
        <f t="shared" si="43"/>
        <v>907555</v>
      </c>
    </row>
    <row r="174" spans="1:8" s="16" customFormat="1" ht="21.75" customHeight="1" x14ac:dyDescent="0.2">
      <c r="A174" s="32"/>
      <c r="B174" s="37"/>
      <c r="C174" s="26"/>
      <c r="D174" s="368" t="s">
        <v>85</v>
      </c>
      <c r="E174" s="391">
        <v>282630.01</v>
      </c>
      <c r="F174" s="377">
        <f>SUM(F175:F175)</f>
        <v>50471</v>
      </c>
      <c r="G174" s="377">
        <f>SUM(G175:G175)</f>
        <v>0</v>
      </c>
      <c r="H174" s="364">
        <f>SUM(E174+F174-G174)</f>
        <v>333101.01</v>
      </c>
    </row>
    <row r="175" spans="1:8" s="16" customFormat="1" ht="21.75" customHeight="1" x14ac:dyDescent="0.2">
      <c r="A175" s="32"/>
      <c r="B175" s="37"/>
      <c r="C175" s="83" t="s">
        <v>86</v>
      </c>
      <c r="D175" s="87" t="s">
        <v>87</v>
      </c>
      <c r="E175" s="93">
        <v>224121.01</v>
      </c>
      <c r="F175" s="45">
        <v>50471</v>
      </c>
      <c r="G175" s="45"/>
      <c r="H175" s="43">
        <f t="shared" ref="H175" si="44">SUM(E175+F175-G175)</f>
        <v>274592.01</v>
      </c>
    </row>
    <row r="176" spans="1:8" s="16" customFormat="1" ht="21.75" customHeight="1" x14ac:dyDescent="0.2">
      <c r="A176" s="32"/>
      <c r="B176" s="37"/>
      <c r="C176" s="26"/>
      <c r="D176" s="368" t="s">
        <v>92</v>
      </c>
      <c r="E176" s="377">
        <v>38138.85</v>
      </c>
      <c r="F176" s="377">
        <f>SUM(F177)</f>
        <v>5598</v>
      </c>
      <c r="G176" s="377">
        <f>SUM(G177)</f>
        <v>0</v>
      </c>
      <c r="H176" s="364">
        <f>SUM(E176+F176-G176)</f>
        <v>43736.85</v>
      </c>
    </row>
    <row r="177" spans="1:8" s="16" customFormat="1" ht="33.75" customHeight="1" x14ac:dyDescent="0.2">
      <c r="A177" s="32"/>
      <c r="B177" s="37"/>
      <c r="C177" s="83" t="s">
        <v>93</v>
      </c>
      <c r="D177" s="87" t="s">
        <v>94</v>
      </c>
      <c r="E177" s="42">
        <v>38138.85</v>
      </c>
      <c r="F177" s="45">
        <v>5598</v>
      </c>
      <c r="G177" s="45"/>
      <c r="H177" s="43">
        <f t="shared" ref="H177" si="45">SUM(E177+F177-G177)</f>
        <v>43736.85</v>
      </c>
    </row>
    <row r="178" spans="1:8" s="16" customFormat="1" ht="12" customHeight="1" x14ac:dyDescent="0.2">
      <c r="A178" s="32"/>
      <c r="B178" s="37">
        <v>80105</v>
      </c>
      <c r="C178" s="26"/>
      <c r="D178" s="38" t="s">
        <v>98</v>
      </c>
      <c r="E178" s="40">
        <v>835513.52</v>
      </c>
      <c r="F178" s="40">
        <f>SUM(F179)</f>
        <v>6770</v>
      </c>
      <c r="G178" s="40">
        <f>SUM(G179)</f>
        <v>0</v>
      </c>
      <c r="H178" s="39">
        <f>SUM(E178+F178-G178)</f>
        <v>842283.52000000002</v>
      </c>
    </row>
    <row r="179" spans="1:8" s="16" customFormat="1" ht="24" customHeight="1" x14ac:dyDescent="0.2">
      <c r="A179" s="32"/>
      <c r="B179" s="25"/>
      <c r="C179" s="26"/>
      <c r="D179" s="368" t="s">
        <v>85</v>
      </c>
      <c r="E179" s="377">
        <v>46247.519999999997</v>
      </c>
      <c r="F179" s="377">
        <f>SUM(F180:F180)</f>
        <v>6770</v>
      </c>
      <c r="G179" s="377">
        <f>SUM(G180:G180)</f>
        <v>0</v>
      </c>
      <c r="H179" s="364">
        <f>SUM(E179+F179-G179)</f>
        <v>53017.52</v>
      </c>
    </row>
    <row r="180" spans="1:8" s="16" customFormat="1" ht="21.75" customHeight="1" x14ac:dyDescent="0.2">
      <c r="A180" s="32"/>
      <c r="B180" s="25"/>
      <c r="C180" s="83" t="s">
        <v>86</v>
      </c>
      <c r="D180" s="87" t="s">
        <v>87</v>
      </c>
      <c r="E180" s="45">
        <v>43534.52</v>
      </c>
      <c r="F180" s="45">
        <v>6770</v>
      </c>
      <c r="G180" s="45"/>
      <c r="H180" s="43">
        <f t="shared" ref="H180" si="46">SUM(E180+F180-G180)</f>
        <v>50304.52</v>
      </c>
    </row>
    <row r="181" spans="1:8" s="16" customFormat="1" ht="12" customHeight="1" x14ac:dyDescent="0.2">
      <c r="A181" s="32"/>
      <c r="B181" s="37">
        <v>80107</v>
      </c>
      <c r="C181" s="26"/>
      <c r="D181" s="80" t="s">
        <v>99</v>
      </c>
      <c r="E181" s="39">
        <v>5904765</v>
      </c>
      <c r="F181" s="40">
        <f>SUM(F182)</f>
        <v>7130</v>
      </c>
      <c r="G181" s="40">
        <f>SUM(G182)</f>
        <v>12130</v>
      </c>
      <c r="H181" s="39">
        <f>SUM(E181+F181-G181)</f>
        <v>5899765</v>
      </c>
    </row>
    <row r="182" spans="1:8" s="16" customFormat="1" ht="12" customHeight="1" x14ac:dyDescent="0.2">
      <c r="A182" s="32"/>
      <c r="B182" s="32"/>
      <c r="C182" s="26"/>
      <c r="D182" s="384" t="s">
        <v>71</v>
      </c>
      <c r="E182" s="377">
        <v>5904765</v>
      </c>
      <c r="F182" s="377">
        <f>SUM(F183:F187)</f>
        <v>7130</v>
      </c>
      <c r="G182" s="377">
        <f>SUM(G183:G187)</f>
        <v>12130</v>
      </c>
      <c r="H182" s="377">
        <f t="shared" ref="H182:H187" si="47">SUM(E182+F182-G182)</f>
        <v>5899765</v>
      </c>
    </row>
    <row r="183" spans="1:8" s="16" customFormat="1" ht="12" customHeight="1" x14ac:dyDescent="0.2">
      <c r="A183" s="32"/>
      <c r="B183" s="32"/>
      <c r="C183" s="25">
        <v>3020</v>
      </c>
      <c r="D183" s="41" t="s">
        <v>96</v>
      </c>
      <c r="E183" s="45">
        <v>28823</v>
      </c>
      <c r="F183" s="45">
        <v>7130</v>
      </c>
      <c r="G183" s="45"/>
      <c r="H183" s="44">
        <f t="shared" si="47"/>
        <v>35953</v>
      </c>
    </row>
    <row r="184" spans="1:8" s="16" customFormat="1" ht="12" customHeight="1" x14ac:dyDescent="0.2">
      <c r="A184" s="32"/>
      <c r="B184" s="32"/>
      <c r="C184" s="25">
        <v>4120</v>
      </c>
      <c r="D184" s="41" t="s">
        <v>74</v>
      </c>
      <c r="E184" s="45">
        <v>115793</v>
      </c>
      <c r="F184" s="45"/>
      <c r="G184" s="45">
        <v>4000</v>
      </c>
      <c r="H184" s="44">
        <f t="shared" si="47"/>
        <v>111793</v>
      </c>
    </row>
    <row r="185" spans="1:8" s="16" customFormat="1" ht="12" customHeight="1" x14ac:dyDescent="0.2">
      <c r="A185" s="32"/>
      <c r="B185" s="32"/>
      <c r="C185" s="25">
        <v>4300</v>
      </c>
      <c r="D185" s="41" t="s">
        <v>16</v>
      </c>
      <c r="E185" s="45">
        <v>4328</v>
      </c>
      <c r="F185" s="45"/>
      <c r="G185" s="45">
        <v>700</v>
      </c>
      <c r="H185" s="44">
        <f t="shared" si="47"/>
        <v>3628</v>
      </c>
    </row>
    <row r="186" spans="1:8" s="16" customFormat="1" ht="12" customHeight="1" x14ac:dyDescent="0.2">
      <c r="A186" s="32"/>
      <c r="B186" s="32"/>
      <c r="C186" s="25">
        <v>4710</v>
      </c>
      <c r="D186" s="41" t="s">
        <v>67</v>
      </c>
      <c r="E186" s="45">
        <v>50358</v>
      </c>
      <c r="F186" s="45"/>
      <c r="G186" s="45">
        <v>7000</v>
      </c>
      <c r="H186" s="44">
        <f t="shared" si="47"/>
        <v>43358</v>
      </c>
    </row>
    <row r="187" spans="1:8" s="16" customFormat="1" ht="12" customHeight="1" x14ac:dyDescent="0.2">
      <c r="A187" s="32"/>
      <c r="B187" s="49"/>
      <c r="C187" s="78">
        <v>4800</v>
      </c>
      <c r="D187" s="92" t="s">
        <v>84</v>
      </c>
      <c r="E187" s="45">
        <v>317370</v>
      </c>
      <c r="F187" s="45"/>
      <c r="G187" s="42">
        <v>430</v>
      </c>
      <c r="H187" s="44">
        <f t="shared" si="47"/>
        <v>316940</v>
      </c>
    </row>
    <row r="188" spans="1:8" s="16" customFormat="1" ht="12" customHeight="1" x14ac:dyDescent="0.2">
      <c r="A188" s="32"/>
      <c r="B188" s="78" t="s">
        <v>405</v>
      </c>
      <c r="C188" s="79"/>
      <c r="D188" s="80" t="s">
        <v>406</v>
      </c>
      <c r="E188" s="39">
        <v>879025</v>
      </c>
      <c r="F188" s="40">
        <f>SUM(F189)</f>
        <v>340</v>
      </c>
      <c r="G188" s="40">
        <f>SUM(G189)</f>
        <v>200</v>
      </c>
      <c r="H188" s="39">
        <f>SUM(E188+F188-G188)</f>
        <v>879165</v>
      </c>
    </row>
    <row r="189" spans="1:8" s="16" customFormat="1" ht="12" customHeight="1" x14ac:dyDescent="0.2">
      <c r="A189" s="32"/>
      <c r="B189" s="32"/>
      <c r="C189" s="26"/>
      <c r="D189" s="384" t="s">
        <v>71</v>
      </c>
      <c r="E189" s="377">
        <v>709025</v>
      </c>
      <c r="F189" s="377">
        <f>SUM(F190:F192)</f>
        <v>340</v>
      </c>
      <c r="G189" s="377">
        <f>SUM(G190:G192)</f>
        <v>200</v>
      </c>
      <c r="H189" s="377">
        <f t="shared" ref="H189:H192" si="48">SUM(E189+F189-G189)</f>
        <v>709165</v>
      </c>
    </row>
    <row r="190" spans="1:8" s="16" customFormat="1" ht="12" customHeight="1" x14ac:dyDescent="0.2">
      <c r="A190" s="32"/>
      <c r="B190" s="32"/>
      <c r="C190" s="25">
        <v>3020</v>
      </c>
      <c r="D190" s="41" t="s">
        <v>96</v>
      </c>
      <c r="E190" s="45">
        <v>1977</v>
      </c>
      <c r="F190" s="45">
        <v>140</v>
      </c>
      <c r="G190" s="45"/>
      <c r="H190" s="44">
        <f t="shared" si="48"/>
        <v>2117</v>
      </c>
    </row>
    <row r="191" spans="1:8" s="16" customFormat="1" ht="12" customHeight="1" x14ac:dyDescent="0.2">
      <c r="A191" s="32"/>
      <c r="B191" s="49"/>
      <c r="C191" s="81" t="s">
        <v>65</v>
      </c>
      <c r="D191" s="62" t="s">
        <v>66</v>
      </c>
      <c r="E191" s="43">
        <v>114710</v>
      </c>
      <c r="F191" s="43"/>
      <c r="G191" s="44">
        <v>200</v>
      </c>
      <c r="H191" s="44">
        <f t="shared" si="48"/>
        <v>114510</v>
      </c>
    </row>
    <row r="192" spans="1:8" s="16" customFormat="1" ht="12.75" customHeight="1" x14ac:dyDescent="0.2">
      <c r="A192" s="32"/>
      <c r="B192" s="49"/>
      <c r="C192" s="59">
        <v>4520</v>
      </c>
      <c r="D192" s="106" t="s">
        <v>407</v>
      </c>
      <c r="E192" s="45">
        <v>0</v>
      </c>
      <c r="F192" s="45">
        <v>200</v>
      </c>
      <c r="G192" s="42"/>
      <c r="H192" s="44">
        <f t="shared" si="48"/>
        <v>200</v>
      </c>
    </row>
    <row r="193" spans="1:8" s="16" customFormat="1" ht="12" customHeight="1" x14ac:dyDescent="0.2">
      <c r="A193" s="32"/>
      <c r="B193" s="37">
        <v>80115</v>
      </c>
      <c r="C193" s="26"/>
      <c r="D193" s="38" t="s">
        <v>100</v>
      </c>
      <c r="E193" s="39">
        <v>58874701.299999997</v>
      </c>
      <c r="F193" s="40">
        <f>SUM(F194,F206)</f>
        <v>42230</v>
      </c>
      <c r="G193" s="40">
        <f>SUM(G194,G206)</f>
        <v>32592</v>
      </c>
      <c r="H193" s="39">
        <f>SUM(E193+F193-G193)</f>
        <v>58884339.299999997</v>
      </c>
    </row>
    <row r="194" spans="1:8" s="16" customFormat="1" ht="12" customHeight="1" x14ac:dyDescent="0.2">
      <c r="A194" s="32"/>
      <c r="B194" s="37"/>
      <c r="C194" s="26"/>
      <c r="D194" s="384" t="s">
        <v>71</v>
      </c>
      <c r="E194" s="377">
        <v>40473401</v>
      </c>
      <c r="F194" s="377">
        <f>SUM(F195:F205)</f>
        <v>27152</v>
      </c>
      <c r="G194" s="377">
        <f>SUM(G195:G205)</f>
        <v>32592</v>
      </c>
      <c r="H194" s="364">
        <f>SUM(E194+F194-G194)</f>
        <v>40467961</v>
      </c>
    </row>
    <row r="195" spans="1:8" s="16" customFormat="1" ht="12" customHeight="1" x14ac:dyDescent="0.2">
      <c r="A195" s="32"/>
      <c r="B195" s="37"/>
      <c r="C195" s="25">
        <v>4040</v>
      </c>
      <c r="D195" s="41" t="s">
        <v>72</v>
      </c>
      <c r="E195" s="45">
        <v>427303</v>
      </c>
      <c r="F195" s="45"/>
      <c r="G195" s="45">
        <v>4740</v>
      </c>
      <c r="H195" s="43">
        <f t="shared" ref="H195:H205" si="49">SUM(E195+F195-G195)</f>
        <v>422563</v>
      </c>
    </row>
    <row r="196" spans="1:8" s="16" customFormat="1" ht="12" customHeight="1" x14ac:dyDescent="0.2">
      <c r="A196" s="32"/>
      <c r="B196" s="37"/>
      <c r="C196" s="81" t="s">
        <v>65</v>
      </c>
      <c r="D196" s="62" t="s">
        <v>66</v>
      </c>
      <c r="E196" s="45">
        <v>253325</v>
      </c>
      <c r="F196" s="45">
        <v>20000</v>
      </c>
      <c r="G196" s="45"/>
      <c r="H196" s="43">
        <f t="shared" si="49"/>
        <v>273325</v>
      </c>
    </row>
    <row r="197" spans="1:8" s="16" customFormat="1" ht="12" customHeight="1" x14ac:dyDescent="0.2">
      <c r="A197" s="32"/>
      <c r="B197" s="37"/>
      <c r="C197" s="25">
        <v>4240</v>
      </c>
      <c r="D197" s="41" t="s">
        <v>76</v>
      </c>
      <c r="E197" s="45">
        <v>213455</v>
      </c>
      <c r="F197" s="45"/>
      <c r="G197" s="45">
        <v>5000</v>
      </c>
      <c r="H197" s="43">
        <f t="shared" si="49"/>
        <v>208455</v>
      </c>
    </row>
    <row r="198" spans="1:8" s="16" customFormat="1" ht="12" customHeight="1" x14ac:dyDescent="0.2">
      <c r="A198" s="32"/>
      <c r="B198" s="37"/>
      <c r="C198" s="25">
        <v>4270</v>
      </c>
      <c r="D198" s="41" t="s">
        <v>68</v>
      </c>
      <c r="E198" s="45">
        <v>189293</v>
      </c>
      <c r="F198" s="45"/>
      <c r="G198" s="45">
        <f>600+1200</f>
        <v>1800</v>
      </c>
      <c r="H198" s="43">
        <f t="shared" si="49"/>
        <v>187493</v>
      </c>
    </row>
    <row r="199" spans="1:8" s="16" customFormat="1" ht="12" customHeight="1" x14ac:dyDescent="0.2">
      <c r="A199" s="32"/>
      <c r="B199" s="37"/>
      <c r="C199" s="25">
        <v>4280</v>
      </c>
      <c r="D199" s="41" t="s">
        <v>78</v>
      </c>
      <c r="E199" s="45">
        <v>30031</v>
      </c>
      <c r="F199" s="45">
        <v>2090</v>
      </c>
      <c r="G199" s="45"/>
      <c r="H199" s="43">
        <f t="shared" si="49"/>
        <v>32121</v>
      </c>
    </row>
    <row r="200" spans="1:8" s="16" customFormat="1" ht="12" customHeight="1" x14ac:dyDescent="0.2">
      <c r="A200" s="32"/>
      <c r="B200" s="37"/>
      <c r="C200" s="25">
        <v>4300</v>
      </c>
      <c r="D200" s="41" t="s">
        <v>16</v>
      </c>
      <c r="E200" s="42">
        <v>349348</v>
      </c>
      <c r="F200" s="42">
        <v>4000</v>
      </c>
      <c r="G200" s="42">
        <v>2</v>
      </c>
      <c r="H200" s="43">
        <f t="shared" si="49"/>
        <v>353346</v>
      </c>
    </row>
    <row r="201" spans="1:8" s="16" customFormat="1" ht="12" customHeight="1" x14ac:dyDescent="0.2">
      <c r="A201" s="32"/>
      <c r="B201" s="37"/>
      <c r="C201" s="25">
        <v>4360</v>
      </c>
      <c r="D201" s="41" t="s">
        <v>101</v>
      </c>
      <c r="E201" s="42">
        <v>25738</v>
      </c>
      <c r="F201" s="42">
        <v>460</v>
      </c>
      <c r="G201" s="42"/>
      <c r="H201" s="43">
        <f t="shared" si="49"/>
        <v>26198</v>
      </c>
    </row>
    <row r="202" spans="1:8" s="16" customFormat="1" ht="12" customHeight="1" x14ac:dyDescent="0.2">
      <c r="A202" s="32"/>
      <c r="B202" s="37"/>
      <c r="C202" s="25">
        <v>4530</v>
      </c>
      <c r="D202" s="41" t="s">
        <v>81</v>
      </c>
      <c r="E202" s="42">
        <v>1801</v>
      </c>
      <c r="F202" s="42">
        <v>302</v>
      </c>
      <c r="G202" s="42"/>
      <c r="H202" s="43">
        <f t="shared" si="49"/>
        <v>2103</v>
      </c>
    </row>
    <row r="203" spans="1:8" s="16" customFormat="1" ht="12" customHeight="1" x14ac:dyDescent="0.2">
      <c r="A203" s="32"/>
      <c r="B203" s="37"/>
      <c r="C203" s="25">
        <v>4580</v>
      </c>
      <c r="D203" s="41" t="s">
        <v>82</v>
      </c>
      <c r="E203" s="42">
        <v>690</v>
      </c>
      <c r="F203" s="42">
        <v>300</v>
      </c>
      <c r="G203" s="42"/>
      <c r="H203" s="43">
        <f t="shared" si="49"/>
        <v>990</v>
      </c>
    </row>
    <row r="204" spans="1:8" s="16" customFormat="1" ht="12" customHeight="1" x14ac:dyDescent="0.2">
      <c r="A204" s="32"/>
      <c r="B204" s="37"/>
      <c r="C204" s="25">
        <v>4710</v>
      </c>
      <c r="D204" s="41" t="s">
        <v>67</v>
      </c>
      <c r="E204" s="42">
        <v>134607</v>
      </c>
      <c r="F204" s="42"/>
      <c r="G204" s="42">
        <v>13280</v>
      </c>
      <c r="H204" s="43">
        <f t="shared" si="49"/>
        <v>121327</v>
      </c>
    </row>
    <row r="205" spans="1:8" s="16" customFormat="1" ht="12" customHeight="1" x14ac:dyDescent="0.2">
      <c r="A205" s="63"/>
      <c r="B205" s="88"/>
      <c r="C205" s="94">
        <v>4800</v>
      </c>
      <c r="D205" s="95" t="s">
        <v>84</v>
      </c>
      <c r="E205" s="65">
        <v>1913591</v>
      </c>
      <c r="F205" s="65"/>
      <c r="G205" s="65">
        <v>7770</v>
      </c>
      <c r="H205" s="39">
        <f t="shared" si="49"/>
        <v>1905821</v>
      </c>
    </row>
    <row r="206" spans="1:8" s="16" customFormat="1" ht="21.75" customHeight="1" x14ac:dyDescent="0.2">
      <c r="A206" s="32"/>
      <c r="B206" s="37"/>
      <c r="C206" s="26"/>
      <c r="D206" s="368" t="s">
        <v>85</v>
      </c>
      <c r="E206" s="377">
        <v>77869.409999999989</v>
      </c>
      <c r="F206" s="377">
        <f>SUM(F207:F207)</f>
        <v>15078</v>
      </c>
      <c r="G206" s="377">
        <f>SUM(G207:G207)</f>
        <v>0</v>
      </c>
      <c r="H206" s="364">
        <f>SUM(E206+F206-G206)</f>
        <v>92947.409999999989</v>
      </c>
    </row>
    <row r="207" spans="1:8" s="16" customFormat="1" ht="21.75" customHeight="1" x14ac:dyDescent="0.2">
      <c r="A207" s="32"/>
      <c r="B207" s="37"/>
      <c r="C207" s="83" t="s">
        <v>86</v>
      </c>
      <c r="D207" s="87" t="s">
        <v>87</v>
      </c>
      <c r="E207" s="45">
        <v>50251.41</v>
      </c>
      <c r="F207" s="45">
        <v>15078</v>
      </c>
      <c r="G207" s="45"/>
      <c r="H207" s="43">
        <f t="shared" ref="H207" si="50">SUM(E207+F207-G207)</f>
        <v>65329.41</v>
      </c>
    </row>
    <row r="208" spans="1:8" s="16" customFormat="1" ht="12" customHeight="1" x14ac:dyDescent="0.2">
      <c r="A208" s="32"/>
      <c r="B208" s="37">
        <v>80117</v>
      </c>
      <c r="C208" s="26"/>
      <c r="D208" s="38" t="s">
        <v>103</v>
      </c>
      <c r="E208" s="75">
        <v>9135903.6699999999</v>
      </c>
      <c r="F208" s="40">
        <f>SUM(F209,F219,F221)</f>
        <v>51865</v>
      </c>
      <c r="G208" s="40">
        <f>SUM(G209,G219,G221)</f>
        <v>17180</v>
      </c>
      <c r="H208" s="39">
        <f>SUM(E208+F208-G208)</f>
        <v>9170588.6699999999</v>
      </c>
    </row>
    <row r="209" spans="1:8" s="16" customFormat="1" ht="12" customHeight="1" x14ac:dyDescent="0.2">
      <c r="A209" s="32"/>
      <c r="B209" s="37"/>
      <c r="C209" s="26"/>
      <c r="D209" s="384" t="s">
        <v>71</v>
      </c>
      <c r="E209" s="377">
        <v>6500104</v>
      </c>
      <c r="F209" s="377">
        <f>SUM(F210:F218)</f>
        <v>48120</v>
      </c>
      <c r="G209" s="377">
        <f>SUM(G210:G218)</f>
        <v>17180</v>
      </c>
      <c r="H209" s="377">
        <f t="shared" ref="H209:H218" si="51">SUM(E209+F209-G209)</f>
        <v>6531044</v>
      </c>
    </row>
    <row r="210" spans="1:8" s="16" customFormat="1" ht="12" customHeight="1" x14ac:dyDescent="0.2">
      <c r="A210" s="32"/>
      <c r="B210" s="37"/>
      <c r="C210" s="25">
        <v>4040</v>
      </c>
      <c r="D210" s="41" t="s">
        <v>72</v>
      </c>
      <c r="E210" s="44">
        <v>39312</v>
      </c>
      <c r="F210" s="44"/>
      <c r="G210" s="44">
        <v>1200</v>
      </c>
      <c r="H210" s="44">
        <f t="shared" si="51"/>
        <v>38112</v>
      </c>
    </row>
    <row r="211" spans="1:8" s="16" customFormat="1" ht="12" customHeight="1" x14ac:dyDescent="0.2">
      <c r="A211" s="32"/>
      <c r="B211" s="37"/>
      <c r="C211" s="25">
        <v>4240</v>
      </c>
      <c r="D211" s="41" t="s">
        <v>76</v>
      </c>
      <c r="E211" s="44">
        <v>73109</v>
      </c>
      <c r="F211" s="44">
        <v>28000</v>
      </c>
      <c r="G211" s="44"/>
      <c r="H211" s="44">
        <f t="shared" si="51"/>
        <v>101109</v>
      </c>
    </row>
    <row r="212" spans="1:8" s="16" customFormat="1" ht="12" customHeight="1" x14ac:dyDescent="0.2">
      <c r="A212" s="32"/>
      <c r="B212" s="37"/>
      <c r="C212" s="25">
        <v>4260</v>
      </c>
      <c r="D212" s="41" t="s">
        <v>77</v>
      </c>
      <c r="E212" s="44">
        <v>707052</v>
      </c>
      <c r="F212" s="44">
        <v>9000</v>
      </c>
      <c r="G212" s="44"/>
      <c r="H212" s="44">
        <f t="shared" si="51"/>
        <v>716052</v>
      </c>
    </row>
    <row r="213" spans="1:8" s="16" customFormat="1" ht="12" customHeight="1" x14ac:dyDescent="0.2">
      <c r="A213" s="32"/>
      <c r="B213" s="37"/>
      <c r="C213" s="25">
        <v>4270</v>
      </c>
      <c r="D213" s="41" t="s">
        <v>68</v>
      </c>
      <c r="E213" s="44">
        <v>25922</v>
      </c>
      <c r="F213" s="44"/>
      <c r="G213" s="44">
        <v>1300</v>
      </c>
      <c r="H213" s="44">
        <f t="shared" si="51"/>
        <v>24622</v>
      </c>
    </row>
    <row r="214" spans="1:8" s="16" customFormat="1" ht="12" customHeight="1" x14ac:dyDescent="0.2">
      <c r="A214" s="32"/>
      <c r="B214" s="37"/>
      <c r="C214" s="25">
        <v>4280</v>
      </c>
      <c r="D214" s="37" t="s">
        <v>78</v>
      </c>
      <c r="E214" s="44">
        <v>3021</v>
      </c>
      <c r="F214" s="44">
        <v>1690</v>
      </c>
      <c r="G214" s="44"/>
      <c r="H214" s="44">
        <f t="shared" si="51"/>
        <v>4711</v>
      </c>
    </row>
    <row r="215" spans="1:8" s="16" customFormat="1" ht="12" customHeight="1" x14ac:dyDescent="0.2">
      <c r="A215" s="32"/>
      <c r="B215" s="37"/>
      <c r="C215" s="25">
        <v>4300</v>
      </c>
      <c r="D215" s="41" t="s">
        <v>16</v>
      </c>
      <c r="E215" s="44">
        <v>70184</v>
      </c>
      <c r="F215" s="44">
        <v>9230</v>
      </c>
      <c r="G215" s="44"/>
      <c r="H215" s="44">
        <f t="shared" si="51"/>
        <v>79414</v>
      </c>
    </row>
    <row r="216" spans="1:8" s="16" customFormat="1" ht="12" customHeight="1" x14ac:dyDescent="0.2">
      <c r="A216" s="32"/>
      <c r="B216" s="37"/>
      <c r="C216" s="25">
        <v>4360</v>
      </c>
      <c r="D216" s="41" t="s">
        <v>101</v>
      </c>
      <c r="E216" s="44">
        <v>7090</v>
      </c>
      <c r="F216" s="44">
        <v>200</v>
      </c>
      <c r="G216" s="44"/>
      <c r="H216" s="44">
        <f t="shared" si="51"/>
        <v>7290</v>
      </c>
    </row>
    <row r="217" spans="1:8" s="16" customFormat="1" ht="12" customHeight="1" x14ac:dyDescent="0.2">
      <c r="A217" s="32"/>
      <c r="B217" s="37"/>
      <c r="C217" s="25">
        <v>4710</v>
      </c>
      <c r="D217" s="41" t="s">
        <v>67</v>
      </c>
      <c r="E217" s="44">
        <v>35225</v>
      </c>
      <c r="F217" s="44"/>
      <c r="G217" s="44">
        <v>6500</v>
      </c>
      <c r="H217" s="44">
        <f t="shared" si="51"/>
        <v>28725</v>
      </c>
    </row>
    <row r="218" spans="1:8" s="16" customFormat="1" ht="12" customHeight="1" x14ac:dyDescent="0.2">
      <c r="A218" s="32"/>
      <c r="B218" s="37"/>
      <c r="C218" s="78">
        <v>4800</v>
      </c>
      <c r="D218" s="92" t="s">
        <v>84</v>
      </c>
      <c r="E218" s="44">
        <v>319809</v>
      </c>
      <c r="F218" s="44"/>
      <c r="G218" s="44">
        <v>8180</v>
      </c>
      <c r="H218" s="44">
        <f t="shared" si="51"/>
        <v>311629</v>
      </c>
    </row>
    <row r="219" spans="1:8" s="16" customFormat="1" ht="24" customHeight="1" x14ac:dyDescent="0.2">
      <c r="A219" s="32"/>
      <c r="B219" s="37"/>
      <c r="C219" s="26"/>
      <c r="D219" s="368" t="s">
        <v>85</v>
      </c>
      <c r="E219" s="377">
        <v>19331</v>
      </c>
      <c r="F219" s="377">
        <f>SUM(F220:F220)</f>
        <v>2889</v>
      </c>
      <c r="G219" s="377">
        <f>SUM(G220:G220)</f>
        <v>0</v>
      </c>
      <c r="H219" s="364">
        <f>SUM(E219+F219-G219)</f>
        <v>22220</v>
      </c>
    </row>
    <row r="220" spans="1:8" s="16" customFormat="1" ht="22.5" customHeight="1" x14ac:dyDescent="0.2">
      <c r="A220" s="32"/>
      <c r="B220" s="37"/>
      <c r="C220" s="83" t="s">
        <v>86</v>
      </c>
      <c r="D220" s="87" t="s">
        <v>87</v>
      </c>
      <c r="E220" s="45">
        <v>9991</v>
      </c>
      <c r="F220" s="45">
        <v>2889</v>
      </c>
      <c r="G220" s="45"/>
      <c r="H220" s="43">
        <f t="shared" ref="H220" si="52">SUM(E220+F220-G220)</f>
        <v>12880</v>
      </c>
    </row>
    <row r="221" spans="1:8" s="16" customFormat="1" ht="21.75" customHeight="1" x14ac:dyDescent="0.2">
      <c r="A221" s="32"/>
      <c r="B221" s="32"/>
      <c r="C221" s="26"/>
      <c r="D221" s="368" t="s">
        <v>92</v>
      </c>
      <c r="E221" s="377">
        <v>5690.67</v>
      </c>
      <c r="F221" s="377">
        <f>SUM(F222)</f>
        <v>856</v>
      </c>
      <c r="G221" s="377">
        <f>SUM(G222)</f>
        <v>0</v>
      </c>
      <c r="H221" s="364">
        <f>SUM(E221+F221-G221)</f>
        <v>6546.67</v>
      </c>
    </row>
    <row r="222" spans="1:8" s="16" customFormat="1" ht="33.75" customHeight="1" x14ac:dyDescent="0.2">
      <c r="A222" s="32"/>
      <c r="B222" s="32"/>
      <c r="C222" s="83" t="s">
        <v>93</v>
      </c>
      <c r="D222" s="87" t="s">
        <v>94</v>
      </c>
      <c r="E222" s="42">
        <v>5690.67</v>
      </c>
      <c r="F222" s="45">
        <v>856</v>
      </c>
      <c r="G222" s="45"/>
      <c r="H222" s="43">
        <f t="shared" ref="H222" si="53">SUM(E222+F222-G222)</f>
        <v>6546.67</v>
      </c>
    </row>
    <row r="223" spans="1:8" s="16" customFormat="1" ht="12" customHeight="1" x14ac:dyDescent="0.2">
      <c r="A223" s="32"/>
      <c r="B223" s="78">
        <v>80120</v>
      </c>
      <c r="C223" s="79"/>
      <c r="D223" s="80" t="s">
        <v>104</v>
      </c>
      <c r="E223" s="75">
        <v>31440198.149999999</v>
      </c>
      <c r="F223" s="40">
        <f>SUM(F224,F231,F233)</f>
        <v>42080</v>
      </c>
      <c r="G223" s="40">
        <f>SUM(G224,G231,G233)</f>
        <v>12500</v>
      </c>
      <c r="H223" s="39">
        <f>SUM(E223+F223-G223)</f>
        <v>31469778.149999999</v>
      </c>
    </row>
    <row r="224" spans="1:8" s="16" customFormat="1" ht="12" customHeight="1" x14ac:dyDescent="0.2">
      <c r="A224" s="32"/>
      <c r="B224" s="32"/>
      <c r="C224" s="26"/>
      <c r="D224" s="384" t="s">
        <v>71</v>
      </c>
      <c r="E224" s="377">
        <v>24693999</v>
      </c>
      <c r="F224" s="377">
        <f>SUM(F225:F230)</f>
        <v>20000</v>
      </c>
      <c r="G224" s="377">
        <f>SUM(G225:G230)</f>
        <v>12500</v>
      </c>
      <c r="H224" s="377">
        <f>SUM(E224+F224-G224)</f>
        <v>24701499</v>
      </c>
    </row>
    <row r="225" spans="1:8" s="16" customFormat="1" ht="12" customHeight="1" x14ac:dyDescent="0.2">
      <c r="A225" s="32"/>
      <c r="B225" s="32"/>
      <c r="C225" s="25">
        <v>4270</v>
      </c>
      <c r="D225" s="41" t="s">
        <v>68</v>
      </c>
      <c r="E225" s="45">
        <v>48735</v>
      </c>
      <c r="F225" s="45"/>
      <c r="G225" s="45">
        <v>1500</v>
      </c>
      <c r="H225" s="44">
        <f t="shared" ref="H225:H230" si="54">SUM(E225+F225-G225)</f>
        <v>47235</v>
      </c>
    </row>
    <row r="226" spans="1:8" s="16" customFormat="1" ht="12" customHeight="1" x14ac:dyDescent="0.2">
      <c r="A226" s="32"/>
      <c r="B226" s="32"/>
      <c r="C226" s="25">
        <v>4280</v>
      </c>
      <c r="D226" s="37" t="s">
        <v>78</v>
      </c>
      <c r="E226" s="45">
        <v>23565</v>
      </c>
      <c r="F226" s="45">
        <v>3300</v>
      </c>
      <c r="G226" s="45"/>
      <c r="H226" s="44">
        <f t="shared" si="54"/>
        <v>26865</v>
      </c>
    </row>
    <row r="227" spans="1:8" s="16" customFormat="1" ht="12" customHeight="1" x14ac:dyDescent="0.2">
      <c r="A227" s="32"/>
      <c r="B227" s="32"/>
      <c r="C227" s="25">
        <v>4300</v>
      </c>
      <c r="D227" s="41" t="s">
        <v>16</v>
      </c>
      <c r="E227" s="45">
        <v>213260</v>
      </c>
      <c r="F227" s="45">
        <v>15650</v>
      </c>
      <c r="G227" s="45"/>
      <c r="H227" s="44">
        <f t="shared" si="54"/>
        <v>228910</v>
      </c>
    </row>
    <row r="228" spans="1:8" s="16" customFormat="1" ht="12" customHeight="1" x14ac:dyDescent="0.2">
      <c r="A228" s="32"/>
      <c r="B228" s="32"/>
      <c r="C228" s="25">
        <v>4360</v>
      </c>
      <c r="D228" s="41" t="s">
        <v>101</v>
      </c>
      <c r="E228" s="45">
        <v>16770</v>
      </c>
      <c r="F228" s="45">
        <v>700</v>
      </c>
      <c r="G228" s="45"/>
      <c r="H228" s="44">
        <f t="shared" si="54"/>
        <v>17470</v>
      </c>
    </row>
    <row r="229" spans="1:8" s="16" customFormat="1" ht="12" customHeight="1" x14ac:dyDescent="0.2">
      <c r="A229" s="32"/>
      <c r="B229" s="32"/>
      <c r="C229" s="25">
        <v>4430</v>
      </c>
      <c r="D229" s="41" t="s">
        <v>408</v>
      </c>
      <c r="E229" s="45">
        <v>3083</v>
      </c>
      <c r="F229" s="45">
        <v>350</v>
      </c>
      <c r="G229" s="45"/>
      <c r="H229" s="44">
        <f t="shared" si="54"/>
        <v>3433</v>
      </c>
    </row>
    <row r="230" spans="1:8" s="16" customFormat="1" ht="12" customHeight="1" x14ac:dyDescent="0.2">
      <c r="A230" s="32"/>
      <c r="B230" s="32"/>
      <c r="C230" s="25">
        <v>4710</v>
      </c>
      <c r="D230" s="62" t="s">
        <v>67</v>
      </c>
      <c r="E230" s="45">
        <v>122737.42</v>
      </c>
      <c r="F230" s="45"/>
      <c r="G230" s="45">
        <v>11000</v>
      </c>
      <c r="H230" s="44">
        <f t="shared" si="54"/>
        <v>111737.42</v>
      </c>
    </row>
    <row r="231" spans="1:8" s="16" customFormat="1" ht="21.75" customHeight="1" x14ac:dyDescent="0.2">
      <c r="A231" s="32"/>
      <c r="B231" s="37"/>
      <c r="C231" s="26"/>
      <c r="D231" s="368" t="s">
        <v>85</v>
      </c>
      <c r="E231" s="377">
        <v>119496.75</v>
      </c>
      <c r="F231" s="377">
        <f>SUM(F232:F232)</f>
        <v>11749</v>
      </c>
      <c r="G231" s="377">
        <f>SUM(G232:G232)</f>
        <v>0</v>
      </c>
      <c r="H231" s="364">
        <f>SUM(E231+F231-G231)</f>
        <v>131245.75</v>
      </c>
    </row>
    <row r="232" spans="1:8" s="16" customFormat="1" ht="21" customHeight="1" x14ac:dyDescent="0.2">
      <c r="A232" s="32"/>
      <c r="B232" s="37"/>
      <c r="C232" s="83" t="s">
        <v>86</v>
      </c>
      <c r="D232" s="87" t="s">
        <v>87</v>
      </c>
      <c r="E232" s="45">
        <v>58407.75</v>
      </c>
      <c r="F232" s="45">
        <v>11749</v>
      </c>
      <c r="G232" s="45"/>
      <c r="H232" s="43">
        <f t="shared" ref="H232" si="55">SUM(E232+F232-G232)</f>
        <v>70156.75</v>
      </c>
    </row>
    <row r="233" spans="1:8" s="16" customFormat="1" ht="21.75" customHeight="1" x14ac:dyDescent="0.2">
      <c r="A233" s="32"/>
      <c r="B233" s="37"/>
      <c r="C233" s="26"/>
      <c r="D233" s="368" t="s">
        <v>92</v>
      </c>
      <c r="E233" s="377">
        <v>68266.399999999994</v>
      </c>
      <c r="F233" s="377">
        <f>SUM(F234)</f>
        <v>10331</v>
      </c>
      <c r="G233" s="377">
        <f>SUM(G234)</f>
        <v>0</v>
      </c>
      <c r="H233" s="364">
        <f>SUM(E233+F233-G233)</f>
        <v>78597.399999999994</v>
      </c>
    </row>
    <row r="234" spans="1:8" s="16" customFormat="1" ht="33.75" customHeight="1" x14ac:dyDescent="0.2">
      <c r="A234" s="32"/>
      <c r="B234" s="37"/>
      <c r="C234" s="83" t="s">
        <v>93</v>
      </c>
      <c r="D234" s="87" t="s">
        <v>94</v>
      </c>
      <c r="E234" s="42">
        <v>68266.399999999994</v>
      </c>
      <c r="F234" s="45">
        <v>10331</v>
      </c>
      <c r="G234" s="45"/>
      <c r="H234" s="43">
        <f t="shared" ref="H234" si="56">SUM(E234+F234-G234)</f>
        <v>78597.399999999994</v>
      </c>
    </row>
    <row r="235" spans="1:8" s="16" customFormat="1" ht="12" customHeight="1" x14ac:dyDescent="0.2">
      <c r="A235" s="32"/>
      <c r="B235" s="25">
        <v>80132</v>
      </c>
      <c r="C235" s="26"/>
      <c r="D235" s="38" t="s">
        <v>107</v>
      </c>
      <c r="E235" s="40">
        <v>8682083.7799999993</v>
      </c>
      <c r="F235" s="40">
        <f>SUM(F236)</f>
        <v>5924</v>
      </c>
      <c r="G235" s="40">
        <f>SUM(G236)</f>
        <v>0</v>
      </c>
      <c r="H235" s="39">
        <f>SUM(E235+F235-G235)</f>
        <v>8688007.7799999993</v>
      </c>
    </row>
    <row r="236" spans="1:8" s="16" customFormat="1" ht="21.75" customHeight="1" x14ac:dyDescent="0.2">
      <c r="A236" s="32"/>
      <c r="B236" s="25"/>
      <c r="C236" s="26"/>
      <c r="D236" s="368" t="s">
        <v>85</v>
      </c>
      <c r="E236" s="377">
        <v>40391.78</v>
      </c>
      <c r="F236" s="377">
        <f>SUM(F237:F237)</f>
        <v>5924</v>
      </c>
      <c r="G236" s="377">
        <f>SUM(G237:G237)</f>
        <v>0</v>
      </c>
      <c r="H236" s="364">
        <f>SUM(E236+F236-G236)</f>
        <v>46315.78</v>
      </c>
    </row>
    <row r="237" spans="1:8" s="16" customFormat="1" ht="21.75" customHeight="1" x14ac:dyDescent="0.2">
      <c r="A237" s="32"/>
      <c r="B237" s="25"/>
      <c r="C237" s="83" t="s">
        <v>86</v>
      </c>
      <c r="D237" s="87" t="s">
        <v>87</v>
      </c>
      <c r="E237" s="45">
        <v>19667.78</v>
      </c>
      <c r="F237" s="45">
        <v>5924</v>
      </c>
      <c r="G237" s="45"/>
      <c r="H237" s="43">
        <f t="shared" ref="H237" si="57">SUM(E237+F237-G237)</f>
        <v>25591.78</v>
      </c>
    </row>
    <row r="238" spans="1:8" s="16" customFormat="1" ht="12" customHeight="1" x14ac:dyDescent="0.2">
      <c r="A238" s="32"/>
      <c r="B238" s="37">
        <v>80134</v>
      </c>
      <c r="C238" s="26"/>
      <c r="D238" s="66" t="s">
        <v>108</v>
      </c>
      <c r="E238" s="75">
        <v>10172550</v>
      </c>
      <c r="F238" s="40">
        <f>SUM(F239)</f>
        <v>10000</v>
      </c>
      <c r="G238" s="40">
        <f>SUM(G239)</f>
        <v>15000</v>
      </c>
      <c r="H238" s="39">
        <f>SUM(E238+F238-G238)</f>
        <v>10167550</v>
      </c>
    </row>
    <row r="239" spans="1:8" s="16" customFormat="1" ht="12" customHeight="1" x14ac:dyDescent="0.2">
      <c r="A239" s="32"/>
      <c r="B239" s="37"/>
      <c r="C239" s="26"/>
      <c r="D239" s="384" t="s">
        <v>71</v>
      </c>
      <c r="E239" s="377">
        <v>10159990</v>
      </c>
      <c r="F239" s="377">
        <f>SUM(F240:F242)</f>
        <v>10000</v>
      </c>
      <c r="G239" s="377">
        <f>SUM(G240:G242)</f>
        <v>15000</v>
      </c>
      <c r="H239" s="377">
        <f t="shared" ref="H239:H242" si="58">SUM(E239+F239-G239)</f>
        <v>10154990</v>
      </c>
    </row>
    <row r="240" spans="1:8" s="16" customFormat="1" ht="12" customHeight="1" x14ac:dyDescent="0.2">
      <c r="A240" s="32"/>
      <c r="B240" s="37"/>
      <c r="C240" s="81" t="s">
        <v>65</v>
      </c>
      <c r="D240" s="62" t="s">
        <v>66</v>
      </c>
      <c r="E240" s="45">
        <v>41680</v>
      </c>
      <c r="F240" s="45">
        <v>5000</v>
      </c>
      <c r="G240" s="45"/>
      <c r="H240" s="43">
        <f t="shared" si="58"/>
        <v>46680</v>
      </c>
    </row>
    <row r="241" spans="1:8" s="16" customFormat="1" ht="12" customHeight="1" x14ac:dyDescent="0.2">
      <c r="A241" s="32"/>
      <c r="B241" s="37"/>
      <c r="C241" s="25">
        <v>4410</v>
      </c>
      <c r="D241" s="62" t="s">
        <v>79</v>
      </c>
      <c r="E241" s="45">
        <v>8321</v>
      </c>
      <c r="F241" s="45">
        <v>5000</v>
      </c>
      <c r="G241" s="45"/>
      <c r="H241" s="43">
        <f t="shared" si="58"/>
        <v>13321</v>
      </c>
    </row>
    <row r="242" spans="1:8" s="16" customFormat="1" ht="12" customHeight="1" x14ac:dyDescent="0.2">
      <c r="A242" s="32"/>
      <c r="B242" s="37"/>
      <c r="C242" s="78">
        <v>4800</v>
      </c>
      <c r="D242" s="92" t="s">
        <v>84</v>
      </c>
      <c r="E242" s="45">
        <v>569163</v>
      </c>
      <c r="F242" s="45"/>
      <c r="G242" s="45">
        <v>15000</v>
      </c>
      <c r="H242" s="42">
        <f t="shared" si="58"/>
        <v>554163</v>
      </c>
    </row>
    <row r="243" spans="1:8" s="16" customFormat="1" ht="11.45" customHeight="1" x14ac:dyDescent="0.2">
      <c r="A243" s="32"/>
      <c r="B243" s="69">
        <v>80146</v>
      </c>
      <c r="C243" s="81"/>
      <c r="D243" s="38" t="s">
        <v>109</v>
      </c>
      <c r="E243" s="39">
        <v>1429266</v>
      </c>
      <c r="F243" s="40">
        <f>SUM(F244,F250)</f>
        <v>76207</v>
      </c>
      <c r="G243" s="40">
        <f>SUM(G244,G250)</f>
        <v>11200</v>
      </c>
      <c r="H243" s="39">
        <f>SUM(E243+F243-G243)</f>
        <v>1494273</v>
      </c>
    </row>
    <row r="244" spans="1:8" s="16" customFormat="1" ht="11.45" customHeight="1" x14ac:dyDescent="0.2">
      <c r="A244" s="32"/>
      <c r="B244" s="37"/>
      <c r="C244" s="26"/>
      <c r="D244" s="384" t="s">
        <v>71</v>
      </c>
      <c r="E244" s="364">
        <v>1319855.73</v>
      </c>
      <c r="F244" s="376">
        <f>SUM(F245:F249)</f>
        <v>76207</v>
      </c>
      <c r="G244" s="376">
        <f>SUM(G245:G249)</f>
        <v>0</v>
      </c>
      <c r="H244" s="377">
        <f t="shared" ref="H244:H251" si="59">SUM(E244+F244-G244)</f>
        <v>1396062.73</v>
      </c>
    </row>
    <row r="245" spans="1:8" s="16" customFormat="1" ht="12" customHeight="1" x14ac:dyDescent="0.2">
      <c r="A245" s="32"/>
      <c r="B245" s="37"/>
      <c r="C245" s="25">
        <v>4110</v>
      </c>
      <c r="D245" s="41" t="s">
        <v>73</v>
      </c>
      <c r="E245" s="43">
        <v>41925</v>
      </c>
      <c r="F245" s="42">
        <v>12000</v>
      </c>
      <c r="G245" s="42"/>
      <c r="H245" s="44">
        <f t="shared" si="59"/>
        <v>53925</v>
      </c>
    </row>
    <row r="246" spans="1:8" s="16" customFormat="1" ht="12" customHeight="1" x14ac:dyDescent="0.2">
      <c r="A246" s="32"/>
      <c r="B246" s="37"/>
      <c r="C246" s="25">
        <v>4120</v>
      </c>
      <c r="D246" s="41" t="s">
        <v>74</v>
      </c>
      <c r="E246" s="43">
        <v>7374</v>
      </c>
      <c r="F246" s="42">
        <v>307</v>
      </c>
      <c r="G246" s="42"/>
      <c r="H246" s="44">
        <f t="shared" si="59"/>
        <v>7681</v>
      </c>
    </row>
    <row r="247" spans="1:8" s="16" customFormat="1" ht="12" customHeight="1" x14ac:dyDescent="0.2">
      <c r="A247" s="32"/>
      <c r="B247" s="37"/>
      <c r="C247" s="25">
        <v>4440</v>
      </c>
      <c r="D247" s="41" t="s">
        <v>409</v>
      </c>
      <c r="E247" s="43">
        <v>14270</v>
      </c>
      <c r="F247" s="42">
        <v>2700</v>
      </c>
      <c r="G247" s="42"/>
      <c r="H247" s="44">
        <f t="shared" si="59"/>
        <v>16970</v>
      </c>
    </row>
    <row r="248" spans="1:8" s="16" customFormat="1" ht="21.75" customHeight="1" x14ac:dyDescent="0.2">
      <c r="A248" s="32"/>
      <c r="B248" s="37"/>
      <c r="C248" s="59">
        <v>4700</v>
      </c>
      <c r="D248" s="85" t="s">
        <v>410</v>
      </c>
      <c r="E248" s="43">
        <v>656197.06000000006</v>
      </c>
      <c r="F248" s="42">
        <v>11200</v>
      </c>
      <c r="G248" s="42"/>
      <c r="H248" s="44">
        <f t="shared" si="59"/>
        <v>667397.06000000006</v>
      </c>
    </row>
    <row r="249" spans="1:8" s="16" customFormat="1" ht="12" customHeight="1" x14ac:dyDescent="0.2">
      <c r="A249" s="32"/>
      <c r="B249" s="37"/>
      <c r="C249" s="78">
        <v>4790</v>
      </c>
      <c r="D249" s="92" t="s">
        <v>83</v>
      </c>
      <c r="E249" s="43">
        <v>245130</v>
      </c>
      <c r="F249" s="42">
        <v>50000</v>
      </c>
      <c r="G249" s="42"/>
      <c r="H249" s="44">
        <f t="shared" si="59"/>
        <v>295130</v>
      </c>
    </row>
    <row r="250" spans="1:8" s="16" customFormat="1" ht="11.45" customHeight="1" x14ac:dyDescent="0.2">
      <c r="A250" s="32"/>
      <c r="B250" s="37"/>
      <c r="C250" s="33"/>
      <c r="D250" s="375" t="s">
        <v>105</v>
      </c>
      <c r="E250" s="377">
        <v>109410.27</v>
      </c>
      <c r="F250" s="377">
        <f>SUM(F251:F251)</f>
        <v>0</v>
      </c>
      <c r="G250" s="377">
        <f>SUM(G251:G251)</f>
        <v>11200</v>
      </c>
      <c r="H250" s="377">
        <f t="shared" si="59"/>
        <v>98210.27</v>
      </c>
    </row>
    <row r="251" spans="1:8" s="16" customFormat="1" ht="11.45" customHeight="1" x14ac:dyDescent="0.2">
      <c r="A251" s="63"/>
      <c r="B251" s="88"/>
      <c r="C251" s="89">
        <v>4300</v>
      </c>
      <c r="D251" s="38" t="s">
        <v>16</v>
      </c>
      <c r="E251" s="40">
        <v>109410.27</v>
      </c>
      <c r="F251" s="40"/>
      <c r="G251" s="40">
        <v>11200</v>
      </c>
      <c r="H251" s="40">
        <f t="shared" si="59"/>
        <v>98210.27</v>
      </c>
    </row>
    <row r="252" spans="1:8" s="16" customFormat="1" ht="11.45" customHeight="1" x14ac:dyDescent="0.2">
      <c r="A252" s="32"/>
      <c r="B252" s="37">
        <v>80148</v>
      </c>
      <c r="C252" s="26"/>
      <c r="D252" s="97" t="s">
        <v>110</v>
      </c>
      <c r="E252" s="40">
        <v>3603255</v>
      </c>
      <c r="F252" s="40">
        <f>SUM(F253)</f>
        <v>3540</v>
      </c>
      <c r="G252" s="40">
        <f>SUM(G253)</f>
        <v>9800</v>
      </c>
      <c r="H252" s="39">
        <f>SUM(E252+F252-G252)</f>
        <v>3596995</v>
      </c>
    </row>
    <row r="253" spans="1:8" s="16" customFormat="1" ht="11.45" customHeight="1" x14ac:dyDescent="0.2">
      <c r="A253" s="32"/>
      <c r="B253" s="37"/>
      <c r="C253" s="26"/>
      <c r="D253" s="384" t="s">
        <v>71</v>
      </c>
      <c r="E253" s="377">
        <v>3590755</v>
      </c>
      <c r="F253" s="377">
        <f>SUM(F254:F259)</f>
        <v>3540</v>
      </c>
      <c r="G253" s="377">
        <f>SUM(G254:G259)</f>
        <v>9800</v>
      </c>
      <c r="H253" s="377">
        <f t="shared" ref="H253:H259" si="60">SUM(E253+F253-G253)</f>
        <v>3584495</v>
      </c>
    </row>
    <row r="254" spans="1:8" s="16" customFormat="1" ht="11.45" customHeight="1" x14ac:dyDescent="0.2">
      <c r="A254" s="32"/>
      <c r="B254" s="37"/>
      <c r="C254" s="25">
        <v>3020</v>
      </c>
      <c r="D254" s="41" t="s">
        <v>96</v>
      </c>
      <c r="E254" s="45">
        <v>11273</v>
      </c>
      <c r="F254" s="45">
        <v>290</v>
      </c>
      <c r="G254" s="45"/>
      <c r="H254" s="44">
        <f t="shared" si="60"/>
        <v>11563</v>
      </c>
    </row>
    <row r="255" spans="1:8" s="16" customFormat="1" ht="11.45" customHeight="1" x14ac:dyDescent="0.2">
      <c r="A255" s="32"/>
      <c r="B255" s="37"/>
      <c r="C255" s="25">
        <v>4040</v>
      </c>
      <c r="D255" s="41" t="s">
        <v>72</v>
      </c>
      <c r="E255" s="43">
        <v>201247</v>
      </c>
      <c r="F255" s="44"/>
      <c r="G255" s="44">
        <v>3700</v>
      </c>
      <c r="H255" s="44">
        <f t="shared" si="60"/>
        <v>197547</v>
      </c>
    </row>
    <row r="256" spans="1:8" s="16" customFormat="1" ht="11.45" customHeight="1" x14ac:dyDescent="0.2">
      <c r="A256" s="32"/>
      <c r="B256" s="37"/>
      <c r="C256" s="25">
        <v>4120</v>
      </c>
      <c r="D256" s="41" t="s">
        <v>74</v>
      </c>
      <c r="E256" s="43">
        <v>76782</v>
      </c>
      <c r="F256" s="44">
        <v>150</v>
      </c>
      <c r="G256" s="44"/>
      <c r="H256" s="44">
        <f t="shared" si="60"/>
        <v>76932</v>
      </c>
    </row>
    <row r="257" spans="1:8" s="16" customFormat="1" ht="11.45" customHeight="1" x14ac:dyDescent="0.2">
      <c r="A257" s="32"/>
      <c r="B257" s="37"/>
      <c r="C257" s="81" t="s">
        <v>65</v>
      </c>
      <c r="D257" s="62" t="s">
        <v>66</v>
      </c>
      <c r="E257" s="43">
        <v>51994</v>
      </c>
      <c r="F257" s="44">
        <v>500</v>
      </c>
      <c r="G257" s="44">
        <v>700</v>
      </c>
      <c r="H257" s="44">
        <f t="shared" si="60"/>
        <v>51794</v>
      </c>
    </row>
    <row r="258" spans="1:8" s="16" customFormat="1" ht="11.45" customHeight="1" x14ac:dyDescent="0.2">
      <c r="A258" s="32"/>
      <c r="B258" s="37"/>
      <c r="C258" s="25">
        <v>4270</v>
      </c>
      <c r="D258" s="41" t="s">
        <v>68</v>
      </c>
      <c r="E258" s="43">
        <v>39739</v>
      </c>
      <c r="F258" s="44">
        <v>2600</v>
      </c>
      <c r="G258" s="44"/>
      <c r="H258" s="44">
        <f t="shared" si="60"/>
        <v>42339</v>
      </c>
    </row>
    <row r="259" spans="1:8" s="16" customFormat="1" ht="11.45" customHeight="1" x14ac:dyDescent="0.2">
      <c r="A259" s="32"/>
      <c r="B259" s="37"/>
      <c r="C259" s="25">
        <v>4710</v>
      </c>
      <c r="D259" s="62" t="s">
        <v>67</v>
      </c>
      <c r="E259" s="43">
        <v>23581</v>
      </c>
      <c r="F259" s="44"/>
      <c r="G259" s="44">
        <f>4900+500</f>
        <v>5400</v>
      </c>
      <c r="H259" s="44">
        <f t="shared" si="60"/>
        <v>18181</v>
      </c>
    </row>
    <row r="260" spans="1:8" s="16" customFormat="1" ht="11.45" customHeight="1" x14ac:dyDescent="0.2">
      <c r="A260" s="32"/>
      <c r="B260" s="37">
        <v>80149</v>
      </c>
      <c r="C260" s="81"/>
      <c r="D260" s="62" t="s">
        <v>111</v>
      </c>
      <c r="E260" s="44"/>
      <c r="F260" s="44"/>
      <c r="G260" s="44"/>
      <c r="H260" s="44"/>
    </row>
    <row r="261" spans="1:8" s="16" customFormat="1" ht="11.45" customHeight="1" x14ac:dyDescent="0.2">
      <c r="A261" s="32"/>
      <c r="B261" s="37"/>
      <c r="C261" s="81"/>
      <c r="D261" s="62" t="s">
        <v>112</v>
      </c>
      <c r="E261" s="44"/>
      <c r="F261" s="44"/>
      <c r="G261" s="44"/>
      <c r="H261" s="44"/>
    </row>
    <row r="262" spans="1:8" s="16" customFormat="1" ht="11.45" customHeight="1" x14ac:dyDescent="0.2">
      <c r="A262" s="32"/>
      <c r="B262" s="37"/>
      <c r="C262" s="81"/>
      <c r="D262" s="62" t="s">
        <v>113</v>
      </c>
      <c r="E262" s="44"/>
      <c r="F262" s="44"/>
      <c r="G262" s="44"/>
      <c r="H262" s="44"/>
    </row>
    <row r="263" spans="1:8" s="16" customFormat="1" ht="11.45" customHeight="1" x14ac:dyDescent="0.2">
      <c r="A263" s="32"/>
      <c r="B263" s="37"/>
      <c r="C263" s="26"/>
      <c r="D263" s="38" t="s">
        <v>114</v>
      </c>
      <c r="E263" s="39">
        <v>4832636.68</v>
      </c>
      <c r="F263" s="40">
        <f>SUM(F264)</f>
        <v>300</v>
      </c>
      <c r="G263" s="40">
        <f>SUM(G264)</f>
        <v>0</v>
      </c>
      <c r="H263" s="39">
        <f>SUM(E263+F263-G263)</f>
        <v>4832936.68</v>
      </c>
    </row>
    <row r="264" spans="1:8" s="16" customFormat="1" ht="11.45" customHeight="1" x14ac:dyDescent="0.2">
      <c r="A264" s="32"/>
      <c r="B264" s="32"/>
      <c r="C264" s="26"/>
      <c r="D264" s="384" t="s">
        <v>71</v>
      </c>
      <c r="E264" s="377">
        <v>2475711</v>
      </c>
      <c r="F264" s="377">
        <f>SUM(F265:F265)</f>
        <v>300</v>
      </c>
      <c r="G264" s="377">
        <f>SUM(G265:G265)</f>
        <v>0</v>
      </c>
      <c r="H264" s="377">
        <f t="shared" ref="H264:H265" si="61">SUM(E264+F264-G264)</f>
        <v>2476011</v>
      </c>
    </row>
    <row r="265" spans="1:8" s="16" customFormat="1" ht="11.45" customHeight="1" x14ac:dyDescent="0.2">
      <c r="A265" s="32"/>
      <c r="B265" s="32"/>
      <c r="C265" s="25">
        <v>4120</v>
      </c>
      <c r="D265" s="41" t="s">
        <v>74</v>
      </c>
      <c r="E265" s="43">
        <v>52082</v>
      </c>
      <c r="F265" s="44">
        <v>300</v>
      </c>
      <c r="G265" s="44"/>
      <c r="H265" s="44">
        <f t="shared" si="61"/>
        <v>52382</v>
      </c>
    </row>
    <row r="266" spans="1:8" s="16" customFormat="1" ht="12" customHeight="1" x14ac:dyDescent="0.2">
      <c r="A266" s="32"/>
      <c r="B266" s="37">
        <v>80150</v>
      </c>
      <c r="C266" s="81"/>
      <c r="D266" s="62" t="s">
        <v>111</v>
      </c>
      <c r="E266" s="44"/>
      <c r="F266" s="44"/>
      <c r="G266" s="44"/>
      <c r="H266" s="44"/>
    </row>
    <row r="267" spans="1:8" s="16" customFormat="1" ht="12" customHeight="1" x14ac:dyDescent="0.2">
      <c r="A267" s="32"/>
      <c r="B267" s="37"/>
      <c r="C267" s="81"/>
      <c r="D267" s="62" t="s">
        <v>115</v>
      </c>
      <c r="E267" s="44"/>
      <c r="F267" s="44"/>
      <c r="G267" s="44"/>
      <c r="H267" s="44"/>
    </row>
    <row r="268" spans="1:8" s="16" customFormat="1" ht="12" customHeight="1" x14ac:dyDescent="0.2">
      <c r="A268" s="32"/>
      <c r="B268" s="37"/>
      <c r="C268" s="26"/>
      <c r="D268" s="38" t="s">
        <v>116</v>
      </c>
      <c r="E268" s="39">
        <v>10170398</v>
      </c>
      <c r="F268" s="40">
        <f>SUM(F269)</f>
        <v>400</v>
      </c>
      <c r="G268" s="40">
        <f>SUM(G269)</f>
        <v>3300</v>
      </c>
      <c r="H268" s="39">
        <f>SUM(E268+F268-G268)</f>
        <v>10167498</v>
      </c>
    </row>
    <row r="269" spans="1:8" s="16" customFormat="1" ht="12" customHeight="1" x14ac:dyDescent="0.2">
      <c r="A269" s="32"/>
      <c r="B269" s="37"/>
      <c r="C269" s="26"/>
      <c r="D269" s="384" t="s">
        <v>71</v>
      </c>
      <c r="E269" s="377">
        <v>9620875</v>
      </c>
      <c r="F269" s="377">
        <f>SUM(F270:F271)</f>
        <v>400</v>
      </c>
      <c r="G269" s="377">
        <f>SUM(G270:G271)</f>
        <v>3300</v>
      </c>
      <c r="H269" s="377">
        <f t="shared" ref="H269:H271" si="62">SUM(E269+F269-G269)</f>
        <v>9617975</v>
      </c>
    </row>
    <row r="270" spans="1:8" s="16" customFormat="1" ht="12" customHeight="1" x14ac:dyDescent="0.2">
      <c r="A270" s="32"/>
      <c r="B270" s="37"/>
      <c r="C270" s="25">
        <v>4120</v>
      </c>
      <c r="D270" s="41" t="s">
        <v>74</v>
      </c>
      <c r="E270" s="45">
        <v>184332</v>
      </c>
      <c r="F270" s="45">
        <v>400</v>
      </c>
      <c r="G270" s="45"/>
      <c r="H270" s="44">
        <f t="shared" si="62"/>
        <v>184732</v>
      </c>
    </row>
    <row r="271" spans="1:8" s="16" customFormat="1" ht="12" customHeight="1" x14ac:dyDescent="0.2">
      <c r="A271" s="32"/>
      <c r="B271" s="37"/>
      <c r="C271" s="25">
        <v>4710</v>
      </c>
      <c r="D271" s="62" t="s">
        <v>67</v>
      </c>
      <c r="E271" s="45">
        <v>41577</v>
      </c>
      <c r="F271" s="45"/>
      <c r="G271" s="45">
        <v>3300</v>
      </c>
      <c r="H271" s="44">
        <f t="shared" si="62"/>
        <v>38277</v>
      </c>
    </row>
    <row r="272" spans="1:8" s="16" customFormat="1" ht="12" customHeight="1" x14ac:dyDescent="0.2">
      <c r="A272" s="32"/>
      <c r="B272" s="37">
        <v>80152</v>
      </c>
      <c r="C272" s="81"/>
      <c r="D272" s="62" t="s">
        <v>111</v>
      </c>
      <c r="E272" s="45"/>
      <c r="F272" s="45"/>
      <c r="G272" s="45"/>
      <c r="H272" s="44"/>
    </row>
    <row r="273" spans="1:8" s="16" customFormat="1" ht="12" customHeight="1" x14ac:dyDescent="0.2">
      <c r="A273" s="32"/>
      <c r="B273" s="37"/>
      <c r="C273" s="81"/>
      <c r="D273" s="62" t="s">
        <v>115</v>
      </c>
      <c r="E273" s="45"/>
      <c r="F273" s="45"/>
      <c r="G273" s="45"/>
      <c r="H273" s="44"/>
    </row>
    <row r="274" spans="1:8" s="16" customFormat="1" ht="12" customHeight="1" x14ac:dyDescent="0.2">
      <c r="A274" s="32"/>
      <c r="B274" s="37"/>
      <c r="C274" s="81"/>
      <c r="D274" s="62" t="s">
        <v>411</v>
      </c>
      <c r="E274" s="45"/>
      <c r="F274" s="45"/>
      <c r="G274" s="45"/>
      <c r="H274" s="44"/>
    </row>
    <row r="275" spans="1:8" s="16" customFormat="1" ht="12" customHeight="1" x14ac:dyDescent="0.2">
      <c r="A275" s="32"/>
      <c r="B275" s="37"/>
      <c r="C275" s="81"/>
      <c r="D275" s="69" t="s">
        <v>412</v>
      </c>
      <c r="E275" s="45"/>
      <c r="F275" s="45"/>
      <c r="G275" s="45"/>
      <c r="H275" s="44"/>
    </row>
    <row r="276" spans="1:8" s="16" customFormat="1" ht="12" customHeight="1" x14ac:dyDescent="0.2">
      <c r="A276" s="32"/>
      <c r="B276" s="37"/>
      <c r="C276" s="81"/>
      <c r="D276" s="69" t="s">
        <v>413</v>
      </c>
      <c r="E276" s="45"/>
      <c r="F276" s="45"/>
      <c r="G276" s="45"/>
      <c r="H276" s="44"/>
    </row>
    <row r="277" spans="1:8" s="16" customFormat="1" ht="12" customHeight="1" x14ac:dyDescent="0.2">
      <c r="A277" s="32"/>
      <c r="B277" s="37"/>
      <c r="C277" s="81"/>
      <c r="D277" s="62" t="s">
        <v>414</v>
      </c>
      <c r="E277" s="45"/>
      <c r="F277" s="45"/>
      <c r="G277" s="45"/>
      <c r="H277" s="44"/>
    </row>
    <row r="278" spans="1:8" s="16" customFormat="1" ht="12" customHeight="1" x14ac:dyDescent="0.2">
      <c r="A278" s="32"/>
      <c r="B278" s="37"/>
      <c r="C278" s="81"/>
      <c r="D278" s="69" t="s">
        <v>415</v>
      </c>
      <c r="E278" s="45"/>
      <c r="F278" s="45"/>
      <c r="G278" s="45"/>
      <c r="H278" s="44"/>
    </row>
    <row r="279" spans="1:8" s="16" customFormat="1" ht="12" customHeight="1" x14ac:dyDescent="0.2">
      <c r="A279" s="32"/>
      <c r="B279" s="37"/>
      <c r="C279" s="26"/>
      <c r="D279" s="80" t="s">
        <v>416</v>
      </c>
      <c r="E279" s="75">
        <v>4174257</v>
      </c>
      <c r="F279" s="40">
        <f>SUM(F280)</f>
        <v>3457</v>
      </c>
      <c r="G279" s="40">
        <f>SUM(G280)</f>
        <v>3457</v>
      </c>
      <c r="H279" s="39">
        <f>SUM(E279+F279-G279)</f>
        <v>4174257</v>
      </c>
    </row>
    <row r="280" spans="1:8" s="16" customFormat="1" ht="12" customHeight="1" x14ac:dyDescent="0.2">
      <c r="A280" s="32"/>
      <c r="B280" s="31"/>
      <c r="C280" s="26"/>
      <c r="D280" s="384" t="s">
        <v>71</v>
      </c>
      <c r="E280" s="377">
        <v>3370309</v>
      </c>
      <c r="F280" s="377">
        <f>SUM(F281:F284)</f>
        <v>3457</v>
      </c>
      <c r="G280" s="377">
        <f>SUM(G281:G284)</f>
        <v>3457</v>
      </c>
      <c r="H280" s="377">
        <f t="shared" ref="H280:H284" si="63">SUM(E280+F280-G280)</f>
        <v>3370309</v>
      </c>
    </row>
    <row r="281" spans="1:8" s="16" customFormat="1" ht="12" customHeight="1" x14ac:dyDescent="0.2">
      <c r="A281" s="32"/>
      <c r="B281" s="25"/>
      <c r="C281" s="25">
        <v>4110</v>
      </c>
      <c r="D281" s="41" t="s">
        <v>73</v>
      </c>
      <c r="E281" s="43">
        <v>457944</v>
      </c>
      <c r="F281" s="44">
        <v>3018</v>
      </c>
      <c r="G281" s="44"/>
      <c r="H281" s="44">
        <f t="shared" si="63"/>
        <v>460962</v>
      </c>
    </row>
    <row r="282" spans="1:8" s="16" customFormat="1" ht="12" customHeight="1" x14ac:dyDescent="0.2">
      <c r="A282" s="32"/>
      <c r="B282" s="25"/>
      <c r="C282" s="25">
        <v>4120</v>
      </c>
      <c r="D282" s="41" t="s">
        <v>74</v>
      </c>
      <c r="E282" s="43">
        <v>65236</v>
      </c>
      <c r="F282" s="44">
        <v>439</v>
      </c>
      <c r="G282" s="44"/>
      <c r="H282" s="44">
        <f t="shared" si="63"/>
        <v>65675</v>
      </c>
    </row>
    <row r="283" spans="1:8" s="16" customFormat="1" ht="12" customHeight="1" x14ac:dyDescent="0.2">
      <c r="A283" s="32"/>
      <c r="B283" s="25"/>
      <c r="C283" s="25">
        <v>4240</v>
      </c>
      <c r="D283" s="41" t="s">
        <v>76</v>
      </c>
      <c r="E283" s="43">
        <v>45402</v>
      </c>
      <c r="F283" s="44"/>
      <c r="G283" s="44">
        <v>1157</v>
      </c>
      <c r="H283" s="44">
        <f t="shared" si="63"/>
        <v>44245</v>
      </c>
    </row>
    <row r="284" spans="1:8" s="16" customFormat="1" ht="12" customHeight="1" x14ac:dyDescent="0.2">
      <c r="A284" s="32"/>
      <c r="B284" s="25"/>
      <c r="C284" s="78">
        <v>4800</v>
      </c>
      <c r="D284" s="92" t="s">
        <v>84</v>
      </c>
      <c r="E284" s="43">
        <v>158148.76</v>
      </c>
      <c r="F284" s="44"/>
      <c r="G284" s="44">
        <v>2300</v>
      </c>
      <c r="H284" s="44">
        <f t="shared" si="63"/>
        <v>155848.76</v>
      </c>
    </row>
    <row r="285" spans="1:8" s="16" customFormat="1" ht="12" customHeight="1" x14ac:dyDescent="0.2">
      <c r="A285" s="32"/>
      <c r="B285" s="37">
        <v>80153</v>
      </c>
      <c r="C285" s="33"/>
      <c r="D285" s="62" t="s">
        <v>39</v>
      </c>
      <c r="E285" s="56"/>
      <c r="F285" s="56"/>
      <c r="G285" s="56"/>
      <c r="H285" s="56"/>
    </row>
    <row r="286" spans="1:8" s="16" customFormat="1" ht="12" customHeight="1" x14ac:dyDescent="0.2">
      <c r="A286" s="32"/>
      <c r="B286" s="32"/>
      <c r="C286" s="33"/>
      <c r="D286" s="62" t="s">
        <v>40</v>
      </c>
      <c r="E286" s="56"/>
      <c r="F286" s="56"/>
      <c r="G286" s="56"/>
      <c r="H286" s="56"/>
    </row>
    <row r="287" spans="1:8" s="16" customFormat="1" ht="12" customHeight="1" x14ac:dyDescent="0.2">
      <c r="A287" s="32"/>
      <c r="B287" s="37"/>
      <c r="C287" s="26"/>
      <c r="D287" s="38" t="s">
        <v>41</v>
      </c>
      <c r="E287" s="39">
        <v>0</v>
      </c>
      <c r="F287" s="39">
        <f>SUM(F288,F290)</f>
        <v>24030.84</v>
      </c>
      <c r="G287" s="39">
        <f>SUM(G288,G290)</f>
        <v>0</v>
      </c>
      <c r="H287" s="39">
        <f t="shared" ref="H287:H292" si="64">SUM(E287+F287-G287)</f>
        <v>24030.84</v>
      </c>
    </row>
    <row r="288" spans="1:8" s="16" customFormat="1" ht="46.5" customHeight="1" x14ac:dyDescent="0.2">
      <c r="A288" s="32"/>
      <c r="B288" s="49"/>
      <c r="C288" s="371"/>
      <c r="D288" s="367" t="s">
        <v>159</v>
      </c>
      <c r="E288" s="364">
        <v>0</v>
      </c>
      <c r="F288" s="365">
        <f>SUM(F289:F289)</f>
        <v>23765.71</v>
      </c>
      <c r="G288" s="365">
        <f>SUM(G289:G289)</f>
        <v>0</v>
      </c>
      <c r="H288" s="364">
        <f t="shared" si="64"/>
        <v>23765.71</v>
      </c>
    </row>
    <row r="289" spans="1:8" s="16" customFormat="1" ht="22.5" customHeight="1" x14ac:dyDescent="0.2">
      <c r="A289" s="32"/>
      <c r="B289" s="49"/>
      <c r="C289" s="83" t="s">
        <v>86</v>
      </c>
      <c r="D289" s="87" t="s">
        <v>87</v>
      </c>
      <c r="E289" s="43">
        <v>0</v>
      </c>
      <c r="F289" s="43">
        <f>22832.85+932.86</f>
        <v>23765.71</v>
      </c>
      <c r="G289" s="44"/>
      <c r="H289" s="43">
        <f t="shared" si="64"/>
        <v>23765.71</v>
      </c>
    </row>
    <row r="290" spans="1:8" s="16" customFormat="1" ht="45.75" customHeight="1" x14ac:dyDescent="0.2">
      <c r="A290" s="32"/>
      <c r="B290" s="49"/>
      <c r="C290" s="371"/>
      <c r="D290" s="367" t="s">
        <v>160</v>
      </c>
      <c r="E290" s="364">
        <v>0</v>
      </c>
      <c r="F290" s="365">
        <f>SUM(F291:F292)</f>
        <v>265.13</v>
      </c>
      <c r="G290" s="365">
        <f>SUM(G291:G292)</f>
        <v>0</v>
      </c>
      <c r="H290" s="364">
        <f t="shared" si="64"/>
        <v>265.13</v>
      </c>
    </row>
    <row r="291" spans="1:8" s="16" customFormat="1" ht="33.75" customHeight="1" x14ac:dyDescent="0.2">
      <c r="A291" s="32"/>
      <c r="B291" s="49"/>
      <c r="C291" s="83" t="s">
        <v>93</v>
      </c>
      <c r="D291" s="87" t="s">
        <v>94</v>
      </c>
      <c r="E291" s="43">
        <v>0</v>
      </c>
      <c r="F291" s="43">
        <v>27.23</v>
      </c>
      <c r="G291" s="44"/>
      <c r="H291" s="43">
        <f t="shared" si="64"/>
        <v>27.23</v>
      </c>
    </row>
    <row r="292" spans="1:8" s="16" customFormat="1" ht="24" customHeight="1" x14ac:dyDescent="0.2">
      <c r="A292" s="32"/>
      <c r="B292" s="49"/>
      <c r="C292" s="83" t="s">
        <v>86</v>
      </c>
      <c r="D292" s="87" t="s">
        <v>87</v>
      </c>
      <c r="E292" s="43">
        <v>0</v>
      </c>
      <c r="F292" s="43">
        <f>228.59+9.31</f>
        <v>237.9</v>
      </c>
      <c r="G292" s="44"/>
      <c r="H292" s="43">
        <f t="shared" si="64"/>
        <v>237.9</v>
      </c>
    </row>
    <row r="293" spans="1:8" s="16" customFormat="1" ht="12" customHeight="1" x14ac:dyDescent="0.2">
      <c r="A293" s="32"/>
      <c r="B293" s="25">
        <v>80195</v>
      </c>
      <c r="C293" s="26"/>
      <c r="D293" s="38" t="s">
        <v>15</v>
      </c>
      <c r="E293" s="39">
        <v>21075665.709999997</v>
      </c>
      <c r="F293" s="40">
        <f>SUM(F294,F300)</f>
        <v>58467</v>
      </c>
      <c r="G293" s="40">
        <f>SUM(G294,G300)</f>
        <v>8467</v>
      </c>
      <c r="H293" s="39">
        <f>SUM(E293+F293-G293)</f>
        <v>21125665.709999997</v>
      </c>
    </row>
    <row r="294" spans="1:8" s="16" customFormat="1" ht="15.75" customHeight="1" x14ac:dyDescent="0.2">
      <c r="A294" s="32"/>
      <c r="B294" s="25"/>
      <c r="C294" s="26"/>
      <c r="D294" s="392" t="s">
        <v>417</v>
      </c>
      <c r="E294" s="364">
        <v>423442.9</v>
      </c>
      <c r="F294" s="365">
        <f>SUM(F295:F298)</f>
        <v>8467</v>
      </c>
      <c r="G294" s="365">
        <f>SUM(G295:G298)</f>
        <v>8467</v>
      </c>
      <c r="H294" s="377">
        <f t="shared" ref="H294:H324" si="65">SUM(E294+F294-G294)</f>
        <v>423442.9</v>
      </c>
    </row>
    <row r="295" spans="1:8" s="16" customFormat="1" ht="12" customHeight="1" x14ac:dyDescent="0.2">
      <c r="A295" s="32"/>
      <c r="B295" s="25"/>
      <c r="C295" s="25">
        <v>4110</v>
      </c>
      <c r="D295" s="41" t="s">
        <v>73</v>
      </c>
      <c r="E295" s="45">
        <v>39421.78</v>
      </c>
      <c r="F295" s="42"/>
      <c r="G295" s="42">
        <v>1000</v>
      </c>
      <c r="H295" s="44">
        <f t="shared" si="65"/>
        <v>38421.78</v>
      </c>
    </row>
    <row r="296" spans="1:8" s="16" customFormat="1" ht="12" customHeight="1" x14ac:dyDescent="0.2">
      <c r="A296" s="32"/>
      <c r="B296" s="25"/>
      <c r="C296" s="25">
        <v>4170</v>
      </c>
      <c r="D296" s="41" t="s">
        <v>64</v>
      </c>
      <c r="E296" s="45">
        <v>220889.1</v>
      </c>
      <c r="F296" s="42">
        <v>8467</v>
      </c>
      <c r="G296" s="42"/>
      <c r="H296" s="44">
        <f t="shared" si="65"/>
        <v>229356.1</v>
      </c>
    </row>
    <row r="297" spans="1:8" s="16" customFormat="1" ht="12" customHeight="1" x14ac:dyDescent="0.2">
      <c r="A297" s="32"/>
      <c r="B297" s="25"/>
      <c r="C297" s="81" t="s">
        <v>65</v>
      </c>
      <c r="D297" s="62" t="s">
        <v>66</v>
      </c>
      <c r="E297" s="45">
        <v>5810.25</v>
      </c>
      <c r="F297" s="42"/>
      <c r="G297" s="42">
        <v>5467</v>
      </c>
      <c r="H297" s="44">
        <f t="shared" si="65"/>
        <v>343.25</v>
      </c>
    </row>
    <row r="298" spans="1:8" s="16" customFormat="1" ht="12" customHeight="1" x14ac:dyDescent="0.2">
      <c r="A298" s="32"/>
      <c r="B298" s="25"/>
      <c r="C298" s="25">
        <v>4710</v>
      </c>
      <c r="D298" s="62" t="s">
        <v>67</v>
      </c>
      <c r="E298" s="45">
        <v>2415.7600000000002</v>
      </c>
      <c r="F298" s="42"/>
      <c r="G298" s="42">
        <v>2000</v>
      </c>
      <c r="H298" s="44">
        <f t="shared" si="65"/>
        <v>415.76000000000022</v>
      </c>
    </row>
    <row r="299" spans="1:8" s="16" customFormat="1" ht="12" customHeight="1" x14ac:dyDescent="0.2">
      <c r="A299" s="32"/>
      <c r="B299" s="25"/>
      <c r="C299" s="26"/>
      <c r="D299" s="393" t="s">
        <v>418</v>
      </c>
      <c r="E299" s="43"/>
      <c r="F299" s="44"/>
      <c r="G299" s="44"/>
      <c r="H299" s="43"/>
    </row>
    <row r="300" spans="1:8" s="16" customFormat="1" ht="12" customHeight="1" x14ac:dyDescent="0.2">
      <c r="A300" s="32"/>
      <c r="B300" s="25"/>
      <c r="C300" s="371"/>
      <c r="D300" s="363" t="s">
        <v>419</v>
      </c>
      <c r="E300" s="364">
        <v>17220</v>
      </c>
      <c r="F300" s="365">
        <f>SUM(F301:F305)</f>
        <v>50000</v>
      </c>
      <c r="G300" s="365">
        <f>SUM(G301:G305)</f>
        <v>0</v>
      </c>
      <c r="H300" s="377">
        <f t="shared" ref="H300:H305" si="66">SUM(E300+F300-G300)</f>
        <v>67220</v>
      </c>
    </row>
    <row r="301" spans="1:8" s="16" customFormat="1" ht="12" customHeight="1" x14ac:dyDescent="0.2">
      <c r="A301" s="32"/>
      <c r="B301" s="25"/>
      <c r="C301" s="78">
        <v>4117</v>
      </c>
      <c r="D301" s="69" t="s">
        <v>118</v>
      </c>
      <c r="E301" s="45">
        <v>2007.52</v>
      </c>
      <c r="F301" s="42">
        <v>1790</v>
      </c>
      <c r="G301" s="42"/>
      <c r="H301" s="44">
        <f t="shared" si="66"/>
        <v>3797.52</v>
      </c>
    </row>
    <row r="302" spans="1:8" s="16" customFormat="1" ht="12" customHeight="1" x14ac:dyDescent="0.2">
      <c r="A302" s="63"/>
      <c r="B302" s="89"/>
      <c r="C302" s="94">
        <v>4127</v>
      </c>
      <c r="D302" s="80" t="s">
        <v>119</v>
      </c>
      <c r="E302" s="75">
        <v>286.11</v>
      </c>
      <c r="F302" s="65">
        <v>245</v>
      </c>
      <c r="G302" s="65"/>
      <c r="H302" s="40">
        <f t="shared" si="66"/>
        <v>531.11</v>
      </c>
    </row>
    <row r="303" spans="1:8" s="16" customFormat="1" ht="12" customHeight="1" x14ac:dyDescent="0.2">
      <c r="A303" s="32"/>
      <c r="B303" s="25"/>
      <c r="C303" s="25">
        <v>4177</v>
      </c>
      <c r="D303" s="41" t="s">
        <v>64</v>
      </c>
      <c r="E303" s="45">
        <v>8676.34</v>
      </c>
      <c r="F303" s="42">
        <v>15965</v>
      </c>
      <c r="G303" s="42"/>
      <c r="H303" s="44">
        <f t="shared" si="66"/>
        <v>24641.34</v>
      </c>
    </row>
    <row r="304" spans="1:8" s="16" customFormat="1" ht="12" customHeight="1" x14ac:dyDescent="0.2">
      <c r="A304" s="32"/>
      <c r="B304" s="25"/>
      <c r="C304" s="25">
        <v>4247</v>
      </c>
      <c r="D304" s="41" t="s">
        <v>76</v>
      </c>
      <c r="E304" s="45">
        <v>0</v>
      </c>
      <c r="F304" s="42">
        <v>29000</v>
      </c>
      <c r="G304" s="42"/>
      <c r="H304" s="44">
        <f t="shared" si="66"/>
        <v>29000</v>
      </c>
    </row>
    <row r="305" spans="1:8" s="16" customFormat="1" ht="12" customHeight="1" x14ac:dyDescent="0.2">
      <c r="A305" s="32"/>
      <c r="B305" s="25"/>
      <c r="C305" s="78">
        <v>4307</v>
      </c>
      <c r="D305" s="69" t="s">
        <v>16</v>
      </c>
      <c r="E305" s="45">
        <v>1220</v>
      </c>
      <c r="F305" s="42">
        <v>3000</v>
      </c>
      <c r="G305" s="42"/>
      <c r="H305" s="44">
        <f t="shared" si="66"/>
        <v>4220</v>
      </c>
    </row>
    <row r="306" spans="1:8" s="16" customFormat="1" ht="12" customHeight="1" thickBot="1" x14ac:dyDescent="0.25">
      <c r="A306" s="33" t="s">
        <v>120</v>
      </c>
      <c r="B306" s="31"/>
      <c r="C306" s="33"/>
      <c r="D306" s="34" t="s">
        <v>121</v>
      </c>
      <c r="E306" s="99">
        <v>6751305.7400000002</v>
      </c>
      <c r="F306" s="99">
        <f>SUM(F307,F321)</f>
        <v>62100</v>
      </c>
      <c r="G306" s="99">
        <f>SUM(G307,G321)</f>
        <v>62100</v>
      </c>
      <c r="H306" s="30">
        <f t="shared" si="65"/>
        <v>6751305.7400000002</v>
      </c>
    </row>
    <row r="307" spans="1:8" s="16" customFormat="1" ht="12" customHeight="1" thickTop="1" x14ac:dyDescent="0.2">
      <c r="A307" s="32"/>
      <c r="B307" s="78">
        <v>85154</v>
      </c>
      <c r="C307" s="79"/>
      <c r="D307" s="80" t="s">
        <v>122</v>
      </c>
      <c r="E307" s="40">
        <v>6014705.7400000002</v>
      </c>
      <c r="F307" s="40">
        <f>SUM(F308,F311,F317)</f>
        <v>45000</v>
      </c>
      <c r="G307" s="40">
        <f>SUM(G308,G311,G317)</f>
        <v>62100</v>
      </c>
      <c r="H307" s="39">
        <f t="shared" si="65"/>
        <v>5997605.7400000002</v>
      </c>
    </row>
    <row r="308" spans="1:8" s="16" customFormat="1" ht="12" customHeight="1" x14ac:dyDescent="0.2">
      <c r="A308" s="32"/>
      <c r="B308" s="32"/>
      <c r="C308" s="78"/>
      <c r="D308" s="394" t="s">
        <v>165</v>
      </c>
      <c r="E308" s="395">
        <v>1150127.74</v>
      </c>
      <c r="F308" s="395">
        <f>SUM(F309:F310)</f>
        <v>40000</v>
      </c>
      <c r="G308" s="395">
        <f>SUM(G309:G310)</f>
        <v>40000</v>
      </c>
      <c r="H308" s="377">
        <f t="shared" si="65"/>
        <v>1150127.74</v>
      </c>
    </row>
    <row r="309" spans="1:8" s="16" customFormat="1" ht="35.25" customHeight="1" x14ac:dyDescent="0.2">
      <c r="A309" s="32"/>
      <c r="B309" s="32"/>
      <c r="C309" s="83" t="s">
        <v>420</v>
      </c>
      <c r="D309" s="87" t="s">
        <v>421</v>
      </c>
      <c r="E309" s="42">
        <v>500000</v>
      </c>
      <c r="F309" s="42">
        <v>40000</v>
      </c>
      <c r="G309" s="42"/>
      <c r="H309" s="44">
        <f t="shared" si="65"/>
        <v>540000</v>
      </c>
    </row>
    <row r="310" spans="1:8" s="16" customFormat="1" ht="12" customHeight="1" x14ac:dyDescent="0.2">
      <c r="A310" s="32"/>
      <c r="B310" s="32"/>
      <c r="C310" s="25">
        <v>4280</v>
      </c>
      <c r="D310" s="41" t="s">
        <v>78</v>
      </c>
      <c r="E310" s="42">
        <v>200000</v>
      </c>
      <c r="F310" s="42"/>
      <c r="G310" s="42">
        <v>40000</v>
      </c>
      <c r="H310" s="44">
        <f t="shared" si="65"/>
        <v>160000</v>
      </c>
    </row>
    <row r="311" spans="1:8" s="16" customFormat="1" ht="12" customHeight="1" x14ac:dyDescent="0.2">
      <c r="A311" s="32"/>
      <c r="B311" s="32"/>
      <c r="C311" s="26"/>
      <c r="D311" s="388" t="s">
        <v>422</v>
      </c>
      <c r="E311" s="377">
        <v>2968521</v>
      </c>
      <c r="F311" s="365">
        <f>SUM(F312:F316)</f>
        <v>0</v>
      </c>
      <c r="G311" s="365">
        <f>SUM(G312:G316)</f>
        <v>17100</v>
      </c>
      <c r="H311" s="364">
        <f>SUM(E311+F311-G311)</f>
        <v>2951421</v>
      </c>
    </row>
    <row r="312" spans="1:8" s="16" customFormat="1" ht="12" customHeight="1" x14ac:dyDescent="0.2">
      <c r="A312" s="32"/>
      <c r="B312" s="32"/>
      <c r="C312" s="25">
        <v>3020</v>
      </c>
      <c r="D312" s="41" t="s">
        <v>96</v>
      </c>
      <c r="E312" s="45">
        <v>4000</v>
      </c>
      <c r="F312" s="45"/>
      <c r="G312" s="45">
        <v>1000</v>
      </c>
      <c r="H312" s="43">
        <f t="shared" ref="H312:H321" si="67">SUM(E312+F312-G312)</f>
        <v>3000</v>
      </c>
    </row>
    <row r="313" spans="1:8" s="16" customFormat="1" ht="12" customHeight="1" x14ac:dyDescent="0.2">
      <c r="A313" s="32"/>
      <c r="B313" s="32"/>
      <c r="C313" s="25">
        <v>4040</v>
      </c>
      <c r="D313" s="41" t="s">
        <v>72</v>
      </c>
      <c r="E313" s="45">
        <v>10450</v>
      </c>
      <c r="F313" s="45"/>
      <c r="G313" s="45">
        <v>7007</v>
      </c>
      <c r="H313" s="43">
        <f t="shared" si="67"/>
        <v>3443</v>
      </c>
    </row>
    <row r="314" spans="1:8" s="16" customFormat="1" ht="12" customHeight="1" x14ac:dyDescent="0.2">
      <c r="A314" s="32"/>
      <c r="B314" s="32"/>
      <c r="C314" s="25">
        <v>4280</v>
      </c>
      <c r="D314" s="41" t="s">
        <v>78</v>
      </c>
      <c r="E314" s="45">
        <v>1362365</v>
      </c>
      <c r="F314" s="45"/>
      <c r="G314" s="45">
        <v>6021</v>
      </c>
      <c r="H314" s="43">
        <f t="shared" si="67"/>
        <v>1356344</v>
      </c>
    </row>
    <row r="315" spans="1:8" s="16" customFormat="1" ht="12" customHeight="1" x14ac:dyDescent="0.2">
      <c r="A315" s="32"/>
      <c r="B315" s="32"/>
      <c r="C315" s="25">
        <v>4480</v>
      </c>
      <c r="D315" s="41" t="s">
        <v>152</v>
      </c>
      <c r="E315" s="45">
        <v>3000</v>
      </c>
      <c r="F315" s="45"/>
      <c r="G315" s="45">
        <v>3000</v>
      </c>
      <c r="H315" s="43">
        <f t="shared" si="67"/>
        <v>0</v>
      </c>
    </row>
    <row r="316" spans="1:8" s="16" customFormat="1" ht="12" customHeight="1" x14ac:dyDescent="0.2">
      <c r="A316" s="32"/>
      <c r="B316" s="32"/>
      <c r="C316" s="59">
        <v>4520</v>
      </c>
      <c r="D316" s="106" t="s">
        <v>407</v>
      </c>
      <c r="E316" s="45">
        <v>5500</v>
      </c>
      <c r="F316" s="45"/>
      <c r="G316" s="45">
        <v>72</v>
      </c>
      <c r="H316" s="43">
        <f t="shared" si="67"/>
        <v>5428</v>
      </c>
    </row>
    <row r="317" spans="1:8" s="16" customFormat="1" ht="12" customHeight="1" x14ac:dyDescent="0.2">
      <c r="A317" s="32"/>
      <c r="B317" s="32"/>
      <c r="C317" s="26"/>
      <c r="D317" s="396" t="s">
        <v>145</v>
      </c>
      <c r="E317" s="364">
        <v>50000</v>
      </c>
      <c r="F317" s="376">
        <f>SUM(F318:F320)</f>
        <v>5000</v>
      </c>
      <c r="G317" s="376">
        <f>SUM(G318:G320)</f>
        <v>5000</v>
      </c>
      <c r="H317" s="364">
        <f t="shared" si="67"/>
        <v>50000</v>
      </c>
    </row>
    <row r="318" spans="1:8" s="16" customFormat="1" ht="12" customHeight="1" x14ac:dyDescent="0.2">
      <c r="A318" s="32"/>
      <c r="B318" s="32"/>
      <c r="C318" s="25">
        <v>4170</v>
      </c>
      <c r="D318" s="41" t="s">
        <v>64</v>
      </c>
      <c r="E318" s="45">
        <v>35800</v>
      </c>
      <c r="F318" s="42">
        <v>2500</v>
      </c>
      <c r="G318" s="42"/>
      <c r="H318" s="42">
        <f t="shared" si="67"/>
        <v>38300</v>
      </c>
    </row>
    <row r="319" spans="1:8" s="16" customFormat="1" ht="12" customHeight="1" x14ac:dyDescent="0.2">
      <c r="A319" s="32"/>
      <c r="B319" s="32"/>
      <c r="C319" s="81" t="s">
        <v>65</v>
      </c>
      <c r="D319" s="62" t="s">
        <v>66</v>
      </c>
      <c r="E319" s="45">
        <v>5000</v>
      </c>
      <c r="F319" s="42"/>
      <c r="G319" s="42">
        <v>5000</v>
      </c>
      <c r="H319" s="42">
        <f t="shared" si="67"/>
        <v>0</v>
      </c>
    </row>
    <row r="320" spans="1:8" s="16" customFormat="1" ht="12" customHeight="1" x14ac:dyDescent="0.2">
      <c r="A320" s="32"/>
      <c r="B320" s="32"/>
      <c r="C320" s="25">
        <v>4300</v>
      </c>
      <c r="D320" s="41" t="s">
        <v>16</v>
      </c>
      <c r="E320" s="45">
        <v>9200</v>
      </c>
      <c r="F320" s="42">
        <v>2500</v>
      </c>
      <c r="G320" s="42"/>
      <c r="H320" s="42">
        <f t="shared" si="67"/>
        <v>11700</v>
      </c>
    </row>
    <row r="321" spans="1:8" s="16" customFormat="1" ht="12" customHeight="1" x14ac:dyDescent="0.2">
      <c r="A321" s="32"/>
      <c r="B321" s="78">
        <v>85195</v>
      </c>
      <c r="C321" s="79"/>
      <c r="D321" s="38" t="s">
        <v>15</v>
      </c>
      <c r="E321" s="40">
        <v>195900</v>
      </c>
      <c r="F321" s="40">
        <f>SUM(F322)</f>
        <v>17100</v>
      </c>
      <c r="G321" s="40">
        <f>SUM(G322)</f>
        <v>0</v>
      </c>
      <c r="H321" s="39">
        <f t="shared" si="67"/>
        <v>213000</v>
      </c>
    </row>
    <row r="322" spans="1:8" s="16" customFormat="1" ht="12" customHeight="1" x14ac:dyDescent="0.2">
      <c r="A322" s="32"/>
      <c r="B322" s="32"/>
      <c r="C322" s="26"/>
      <c r="D322" s="388" t="s">
        <v>422</v>
      </c>
      <c r="E322" s="377">
        <v>57000</v>
      </c>
      <c r="F322" s="365">
        <f>SUM(F323:F323)</f>
        <v>17100</v>
      </c>
      <c r="G322" s="365">
        <f>SUM(G323:G323)</f>
        <v>0</v>
      </c>
      <c r="H322" s="364">
        <f>SUM(E322+F322-G322)</f>
        <v>74100</v>
      </c>
    </row>
    <row r="323" spans="1:8" s="16" customFormat="1" ht="12" customHeight="1" x14ac:dyDescent="0.2">
      <c r="A323" s="32"/>
      <c r="B323" s="32"/>
      <c r="C323" s="25">
        <v>4300</v>
      </c>
      <c r="D323" s="41" t="s">
        <v>16</v>
      </c>
      <c r="E323" s="45">
        <v>57000</v>
      </c>
      <c r="F323" s="45">
        <v>17100</v>
      </c>
      <c r="G323" s="45"/>
      <c r="H323" s="43">
        <f t="shared" ref="H323" si="68">SUM(E323+F323-G323)</f>
        <v>74100</v>
      </c>
    </row>
    <row r="324" spans="1:8" s="16" customFormat="1" ht="12" customHeight="1" thickBot="1" x14ac:dyDescent="0.25">
      <c r="A324" s="33" t="s">
        <v>124</v>
      </c>
      <c r="B324" s="32"/>
      <c r="C324" s="33"/>
      <c r="D324" s="34" t="s">
        <v>26</v>
      </c>
      <c r="E324" s="30">
        <v>73173878.63000001</v>
      </c>
      <c r="F324" s="35">
        <f>SUM(F326,F329,F334,F343,F347,F351)</f>
        <v>940085.17999999993</v>
      </c>
      <c r="G324" s="35">
        <f>SUM(G326,G329,G334,G343,G347,G351)</f>
        <v>939462.18</v>
      </c>
      <c r="H324" s="30">
        <f t="shared" si="65"/>
        <v>73174501.63000001</v>
      </c>
    </row>
    <row r="325" spans="1:8" s="16" customFormat="1" ht="12" customHeight="1" thickTop="1" x14ac:dyDescent="0.2">
      <c r="A325" s="33"/>
      <c r="B325" s="37">
        <v>85214</v>
      </c>
      <c r="C325" s="26"/>
      <c r="D325" s="55" t="s">
        <v>27</v>
      </c>
      <c r="E325" s="56"/>
      <c r="F325" s="57"/>
      <c r="G325" s="57"/>
      <c r="H325" s="56"/>
    </row>
    <row r="326" spans="1:8" s="16" customFormat="1" ht="12" customHeight="1" x14ac:dyDescent="0.2">
      <c r="A326" s="33"/>
      <c r="B326" s="37"/>
      <c r="C326" s="26"/>
      <c r="D326" s="58" t="s">
        <v>28</v>
      </c>
      <c r="E326" s="39">
        <v>8257814.4100000001</v>
      </c>
      <c r="F326" s="40">
        <f t="shared" ref="F326:G326" si="69">SUM(F327)</f>
        <v>623</v>
      </c>
      <c r="G326" s="40">
        <f t="shared" si="69"/>
        <v>0</v>
      </c>
      <c r="H326" s="39">
        <f>SUM(E326+F326-G326)</f>
        <v>8258437.4100000001</v>
      </c>
    </row>
    <row r="327" spans="1:8" s="16" customFormat="1" ht="22.5" customHeight="1" x14ac:dyDescent="0.2">
      <c r="A327" s="33"/>
      <c r="B327" s="32"/>
      <c r="C327" s="371"/>
      <c r="D327" s="367" t="s">
        <v>125</v>
      </c>
      <c r="E327" s="364">
        <v>4820</v>
      </c>
      <c r="F327" s="365">
        <f>SUM(F328:F328)</f>
        <v>623</v>
      </c>
      <c r="G327" s="365">
        <f>SUM(G328:G328)</f>
        <v>0</v>
      </c>
      <c r="H327" s="364">
        <f t="shared" ref="H327:H406" si="70">SUM(E327+F327-G327)</f>
        <v>5443</v>
      </c>
    </row>
    <row r="328" spans="1:8" s="16" customFormat="1" ht="21" customHeight="1" x14ac:dyDescent="0.2">
      <c r="A328" s="33"/>
      <c r="B328" s="32"/>
      <c r="C328" s="59">
        <v>3290</v>
      </c>
      <c r="D328" s="70" t="s">
        <v>126</v>
      </c>
      <c r="E328" s="43">
        <v>4820</v>
      </c>
      <c r="F328" s="43">
        <v>623</v>
      </c>
      <c r="G328" s="44"/>
      <c r="H328" s="43">
        <f t="shared" si="70"/>
        <v>5443</v>
      </c>
    </row>
    <row r="329" spans="1:8" s="16" customFormat="1" ht="12" customHeight="1" x14ac:dyDescent="0.2">
      <c r="A329" s="33"/>
      <c r="B329" s="78">
        <v>85215</v>
      </c>
      <c r="C329" s="59"/>
      <c r="D329" s="397" t="s">
        <v>423</v>
      </c>
      <c r="E329" s="65">
        <v>3584091</v>
      </c>
      <c r="F329" s="75">
        <f>SUM(F330)</f>
        <v>761762</v>
      </c>
      <c r="G329" s="75">
        <f>SUM(G330)</f>
        <v>2000</v>
      </c>
      <c r="H329" s="39">
        <f t="shared" si="70"/>
        <v>4343853</v>
      </c>
    </row>
    <row r="330" spans="1:8" s="16" customFormat="1" ht="12" customHeight="1" x14ac:dyDescent="0.2">
      <c r="A330" s="33"/>
      <c r="B330" s="37"/>
      <c r="C330" s="59"/>
      <c r="D330" s="384" t="s">
        <v>123</v>
      </c>
      <c r="E330" s="395">
        <v>3584091</v>
      </c>
      <c r="F330" s="398">
        <f>SUM(F331:F333)</f>
        <v>761762</v>
      </c>
      <c r="G330" s="398">
        <f>SUM(G331:G333)</f>
        <v>2000</v>
      </c>
      <c r="H330" s="364">
        <f t="shared" si="70"/>
        <v>4343853</v>
      </c>
    </row>
    <row r="331" spans="1:8" s="16" customFormat="1" ht="12" customHeight="1" x14ac:dyDescent="0.2">
      <c r="A331" s="33"/>
      <c r="B331" s="37"/>
      <c r="C331" s="25">
        <v>3110</v>
      </c>
      <c r="D331" s="41" t="s">
        <v>133</v>
      </c>
      <c r="E331" s="42">
        <v>3517203</v>
      </c>
      <c r="F331" s="45">
        <v>759762</v>
      </c>
      <c r="G331" s="45"/>
      <c r="H331" s="44">
        <f t="shared" si="70"/>
        <v>4276965</v>
      </c>
    </row>
    <row r="332" spans="1:8" s="16" customFormat="1" ht="12" customHeight="1" x14ac:dyDescent="0.2">
      <c r="A332" s="33"/>
      <c r="B332" s="32"/>
      <c r="C332" s="25">
        <v>4270</v>
      </c>
      <c r="D332" s="41" t="s">
        <v>68</v>
      </c>
      <c r="E332" s="43">
        <v>2430</v>
      </c>
      <c r="F332" s="43">
        <v>2000</v>
      </c>
      <c r="G332" s="44"/>
      <c r="H332" s="44">
        <f t="shared" si="70"/>
        <v>4430</v>
      </c>
    </row>
    <row r="333" spans="1:8" s="16" customFormat="1" ht="12" customHeight="1" x14ac:dyDescent="0.2">
      <c r="A333" s="33"/>
      <c r="B333" s="32"/>
      <c r="C333" s="25">
        <v>4300</v>
      </c>
      <c r="D333" s="41" t="s">
        <v>16</v>
      </c>
      <c r="E333" s="43">
        <v>14400</v>
      </c>
      <c r="F333" s="43"/>
      <c r="G333" s="44">
        <v>2000</v>
      </c>
      <c r="H333" s="44">
        <f t="shared" si="70"/>
        <v>12400</v>
      </c>
    </row>
    <row r="334" spans="1:8" s="16" customFormat="1" ht="12" customHeight="1" x14ac:dyDescent="0.2">
      <c r="A334" s="33"/>
      <c r="B334" s="78">
        <v>85219</v>
      </c>
      <c r="C334" s="79"/>
      <c r="D334" s="80" t="s">
        <v>399</v>
      </c>
      <c r="E334" s="75">
        <v>16010594.130000001</v>
      </c>
      <c r="F334" s="40">
        <f>SUM(F335)</f>
        <v>64547</v>
      </c>
      <c r="G334" s="40">
        <f>SUM(G335)</f>
        <v>61584</v>
      </c>
      <c r="H334" s="39">
        <f t="shared" si="70"/>
        <v>16013557.130000001</v>
      </c>
    </row>
    <row r="335" spans="1:8" s="16" customFormat="1" ht="12" customHeight="1" x14ac:dyDescent="0.2">
      <c r="A335" s="33"/>
      <c r="B335" s="25"/>
      <c r="C335" s="371"/>
      <c r="D335" s="384" t="s">
        <v>123</v>
      </c>
      <c r="E335" s="364">
        <v>15963066</v>
      </c>
      <c r="F335" s="365">
        <f>SUM(F336:F341)</f>
        <v>64547</v>
      </c>
      <c r="G335" s="365">
        <f>SUM(G336:G341)</f>
        <v>61584</v>
      </c>
      <c r="H335" s="364">
        <f t="shared" si="70"/>
        <v>15966029</v>
      </c>
    </row>
    <row r="336" spans="1:8" s="16" customFormat="1" ht="12" customHeight="1" x14ac:dyDescent="0.2">
      <c r="A336" s="33"/>
      <c r="B336" s="25"/>
      <c r="C336" s="25">
        <v>3020</v>
      </c>
      <c r="D336" s="41" t="s">
        <v>96</v>
      </c>
      <c r="E336" s="44">
        <v>65300</v>
      </c>
      <c r="F336" s="44">
        <v>7902</v>
      </c>
      <c r="G336" s="44"/>
      <c r="H336" s="44">
        <f t="shared" si="70"/>
        <v>73202</v>
      </c>
    </row>
    <row r="337" spans="1:8" s="16" customFormat="1" ht="12" customHeight="1" x14ac:dyDescent="0.2">
      <c r="A337" s="33"/>
      <c r="B337" s="25"/>
      <c r="C337" s="25">
        <v>4040</v>
      </c>
      <c r="D337" s="41" t="s">
        <v>72</v>
      </c>
      <c r="E337" s="44">
        <v>935661</v>
      </c>
      <c r="F337" s="44"/>
      <c r="G337" s="44">
        <f>22682+7902+1000</f>
        <v>31584</v>
      </c>
      <c r="H337" s="44">
        <f t="shared" si="70"/>
        <v>904077</v>
      </c>
    </row>
    <row r="338" spans="1:8" s="16" customFormat="1" ht="12" customHeight="1" x14ac:dyDescent="0.2">
      <c r="A338" s="33"/>
      <c r="B338" s="32"/>
      <c r="C338" s="81" t="s">
        <v>65</v>
      </c>
      <c r="D338" s="62" t="s">
        <v>66</v>
      </c>
      <c r="E338" s="43">
        <v>195493</v>
      </c>
      <c r="F338" s="43">
        <v>30000</v>
      </c>
      <c r="G338" s="44"/>
      <c r="H338" s="44">
        <f t="shared" si="70"/>
        <v>225493</v>
      </c>
    </row>
    <row r="339" spans="1:8" s="16" customFormat="1" ht="12" customHeight="1" x14ac:dyDescent="0.2">
      <c r="A339" s="33"/>
      <c r="B339" s="32"/>
      <c r="C339" s="25">
        <v>4300</v>
      </c>
      <c r="D339" s="41" t="s">
        <v>16</v>
      </c>
      <c r="E339" s="43">
        <v>324455</v>
      </c>
      <c r="F339" s="43"/>
      <c r="G339" s="44">
        <v>30000</v>
      </c>
      <c r="H339" s="44">
        <f t="shared" si="70"/>
        <v>294455</v>
      </c>
    </row>
    <row r="340" spans="1:8" s="16" customFormat="1" ht="12" customHeight="1" x14ac:dyDescent="0.2">
      <c r="A340" s="33"/>
      <c r="B340" s="32"/>
      <c r="C340" s="25">
        <v>4440</v>
      </c>
      <c r="D340" s="41" t="s">
        <v>409</v>
      </c>
      <c r="E340" s="43">
        <v>316242</v>
      </c>
      <c r="F340" s="43">
        <v>25645</v>
      </c>
      <c r="G340" s="44"/>
      <c r="H340" s="44">
        <f t="shared" si="70"/>
        <v>341887</v>
      </c>
    </row>
    <row r="341" spans="1:8" s="16" customFormat="1" ht="12" customHeight="1" x14ac:dyDescent="0.2">
      <c r="A341" s="33"/>
      <c r="B341" s="32"/>
      <c r="C341" s="25">
        <v>4610</v>
      </c>
      <c r="D341" s="77" t="s">
        <v>62</v>
      </c>
      <c r="E341" s="43">
        <v>1200</v>
      </c>
      <c r="F341" s="43">
        <v>1000</v>
      </c>
      <c r="G341" s="44"/>
      <c r="H341" s="44">
        <f t="shared" si="70"/>
        <v>2200</v>
      </c>
    </row>
    <row r="342" spans="1:8" s="16" customFormat="1" ht="12" customHeight="1" x14ac:dyDescent="0.2">
      <c r="A342" s="33"/>
      <c r="B342" s="78">
        <v>85220</v>
      </c>
      <c r="C342" s="79"/>
      <c r="D342" s="69" t="s">
        <v>127</v>
      </c>
      <c r="E342" s="42"/>
      <c r="F342" s="45"/>
      <c r="G342" s="45"/>
      <c r="H342" s="44"/>
    </row>
    <row r="343" spans="1:8" s="16" customFormat="1" ht="12" customHeight="1" x14ac:dyDescent="0.2">
      <c r="A343" s="33"/>
      <c r="B343" s="100"/>
      <c r="C343" s="79"/>
      <c r="D343" s="80" t="s">
        <v>128</v>
      </c>
      <c r="E343" s="75">
        <v>984564</v>
      </c>
      <c r="F343" s="40">
        <f>SUM(F345)</f>
        <v>0</v>
      </c>
      <c r="G343" s="40">
        <f>SUM(G345)</f>
        <v>3341</v>
      </c>
      <c r="H343" s="39">
        <f t="shared" ref="H343" si="71">SUM(E343+F343-G343)</f>
        <v>981223</v>
      </c>
    </row>
    <row r="344" spans="1:8" s="16" customFormat="1" ht="12" customHeight="1" x14ac:dyDescent="0.2">
      <c r="A344" s="33"/>
      <c r="B344" s="100"/>
      <c r="C344" s="79"/>
      <c r="D344" s="399" t="s">
        <v>129</v>
      </c>
      <c r="E344" s="45"/>
      <c r="F344" s="44"/>
      <c r="G344" s="44"/>
      <c r="H344" s="43"/>
    </row>
    <row r="345" spans="1:8" s="16" customFormat="1" ht="12" customHeight="1" x14ac:dyDescent="0.2">
      <c r="A345" s="33"/>
      <c r="B345" s="37"/>
      <c r="C345" s="371"/>
      <c r="D345" s="388" t="s">
        <v>130</v>
      </c>
      <c r="E345" s="364">
        <v>953964</v>
      </c>
      <c r="F345" s="365">
        <f>SUM(F346:F346)</f>
        <v>0</v>
      </c>
      <c r="G345" s="365">
        <f>SUM(G346:G346)</f>
        <v>3341</v>
      </c>
      <c r="H345" s="364">
        <f t="shared" ref="H345:H346" si="72">SUM(E345+F345-G345)</f>
        <v>950623</v>
      </c>
    </row>
    <row r="346" spans="1:8" s="16" customFormat="1" ht="12" customHeight="1" x14ac:dyDescent="0.2">
      <c r="A346" s="33"/>
      <c r="B346" s="37"/>
      <c r="C346" s="25">
        <v>4440</v>
      </c>
      <c r="D346" s="41" t="s">
        <v>409</v>
      </c>
      <c r="E346" s="45">
        <v>16630</v>
      </c>
      <c r="F346" s="44"/>
      <c r="G346" s="44">
        <v>3341</v>
      </c>
      <c r="H346" s="44">
        <f t="shared" si="72"/>
        <v>13289</v>
      </c>
    </row>
    <row r="347" spans="1:8" s="16" customFormat="1" ht="12" customHeight="1" x14ac:dyDescent="0.2">
      <c r="A347" s="33"/>
      <c r="B347" s="78">
        <v>85230</v>
      </c>
      <c r="C347" s="79"/>
      <c r="D347" s="80" t="s">
        <v>131</v>
      </c>
      <c r="E347" s="75">
        <v>6375222</v>
      </c>
      <c r="F347" s="40">
        <f>SUM(F348)</f>
        <v>0</v>
      </c>
      <c r="G347" s="40">
        <f>SUM(G348)</f>
        <v>759762</v>
      </c>
      <c r="H347" s="39">
        <f t="shared" si="70"/>
        <v>5615460</v>
      </c>
    </row>
    <row r="348" spans="1:8" s="16" customFormat="1" ht="12" customHeight="1" x14ac:dyDescent="0.2">
      <c r="A348" s="33"/>
      <c r="B348" s="78"/>
      <c r="C348" s="26"/>
      <c r="D348" s="400" t="s">
        <v>132</v>
      </c>
      <c r="E348" s="364">
        <v>6357462</v>
      </c>
      <c r="F348" s="365">
        <f>SUM(F349:F350)</f>
        <v>0</v>
      </c>
      <c r="G348" s="365">
        <f>SUM(G349:G350)</f>
        <v>759762</v>
      </c>
      <c r="H348" s="364">
        <f>SUM(E348+F348-G348)</f>
        <v>5597700</v>
      </c>
    </row>
    <row r="349" spans="1:8" s="16" customFormat="1" ht="12" customHeight="1" x14ac:dyDescent="0.2">
      <c r="A349" s="33"/>
      <c r="B349" s="78"/>
      <c r="C349" s="25">
        <v>3110</v>
      </c>
      <c r="D349" s="41" t="s">
        <v>133</v>
      </c>
      <c r="E349" s="45">
        <v>2631752</v>
      </c>
      <c r="F349" s="42"/>
      <c r="G349" s="42">
        <v>434052</v>
      </c>
      <c r="H349" s="44">
        <f t="shared" ref="H349:H350" si="73">SUM(E349+F349-G349)</f>
        <v>2197700</v>
      </c>
    </row>
    <row r="350" spans="1:8" s="16" customFormat="1" ht="12" customHeight="1" x14ac:dyDescent="0.2">
      <c r="A350" s="33"/>
      <c r="B350" s="78"/>
      <c r="C350" s="25">
        <v>4300</v>
      </c>
      <c r="D350" s="41" t="s">
        <v>16</v>
      </c>
      <c r="E350" s="45">
        <v>3725710</v>
      </c>
      <c r="F350" s="44"/>
      <c r="G350" s="44">
        <v>325710</v>
      </c>
      <c r="H350" s="44">
        <f t="shared" si="73"/>
        <v>3400000</v>
      </c>
    </row>
    <row r="351" spans="1:8" s="16" customFormat="1" ht="11.25" customHeight="1" x14ac:dyDescent="0.2">
      <c r="A351" s="33"/>
      <c r="B351" s="37">
        <v>85295</v>
      </c>
      <c r="C351" s="26"/>
      <c r="D351" s="38" t="s">
        <v>15</v>
      </c>
      <c r="E351" s="39">
        <v>6051671.8999999994</v>
      </c>
      <c r="F351" s="40">
        <f>SUM(F352,F355,F363,F376)</f>
        <v>113153.18</v>
      </c>
      <c r="G351" s="40">
        <f>SUM(G352,G355,G363,G376)</f>
        <v>112775.18000000001</v>
      </c>
      <c r="H351" s="39">
        <f>SUM(E351+F351-G351)</f>
        <v>6052049.8999999994</v>
      </c>
    </row>
    <row r="352" spans="1:8" s="16" customFormat="1" ht="35.25" customHeight="1" x14ac:dyDescent="0.2">
      <c r="A352" s="33"/>
      <c r="B352" s="32"/>
      <c r="C352" s="371"/>
      <c r="D352" s="392" t="s">
        <v>134</v>
      </c>
      <c r="E352" s="364">
        <v>456126.81000000006</v>
      </c>
      <c r="F352" s="365">
        <f>SUM(F353:F354)</f>
        <v>290</v>
      </c>
      <c r="G352" s="365">
        <f>SUM(G353:G354)</f>
        <v>290</v>
      </c>
      <c r="H352" s="364">
        <f t="shared" ref="H352:H362" si="74">SUM(E352+F352-G352)</f>
        <v>456126.81000000006</v>
      </c>
    </row>
    <row r="353" spans="1:8" s="16" customFormat="1" ht="12" customHeight="1" x14ac:dyDescent="0.2">
      <c r="A353" s="33"/>
      <c r="B353" s="32"/>
      <c r="C353" s="25">
        <v>4127</v>
      </c>
      <c r="D353" s="62" t="s">
        <v>119</v>
      </c>
      <c r="E353" s="45">
        <v>4798.22</v>
      </c>
      <c r="F353" s="42">
        <v>290</v>
      </c>
      <c r="G353" s="42"/>
      <c r="H353" s="44">
        <f t="shared" si="74"/>
        <v>5088.22</v>
      </c>
    </row>
    <row r="354" spans="1:8" s="16" customFormat="1" ht="12" customHeight="1" x14ac:dyDescent="0.2">
      <c r="A354" s="33"/>
      <c r="B354" s="32"/>
      <c r="C354" s="78">
        <v>4217</v>
      </c>
      <c r="D354" s="62" t="s">
        <v>66</v>
      </c>
      <c r="E354" s="45">
        <v>7176.05</v>
      </c>
      <c r="F354" s="42"/>
      <c r="G354" s="42">
        <v>290</v>
      </c>
      <c r="H354" s="44">
        <f t="shared" si="74"/>
        <v>6886.05</v>
      </c>
    </row>
    <row r="355" spans="1:8" s="16" customFormat="1" ht="12" customHeight="1" x14ac:dyDescent="0.2">
      <c r="A355" s="33"/>
      <c r="B355" s="32"/>
      <c r="C355" s="371"/>
      <c r="D355" s="384" t="s">
        <v>123</v>
      </c>
      <c r="E355" s="364">
        <v>1405604</v>
      </c>
      <c r="F355" s="365">
        <f>SUM(F356:F362)</f>
        <v>5578</v>
      </c>
      <c r="G355" s="365">
        <f>SUM(G356:G362)</f>
        <v>5200</v>
      </c>
      <c r="H355" s="364">
        <f t="shared" si="74"/>
        <v>1405982</v>
      </c>
    </row>
    <row r="356" spans="1:8" s="16" customFormat="1" ht="12" customHeight="1" x14ac:dyDescent="0.2">
      <c r="A356" s="33"/>
      <c r="B356" s="32"/>
      <c r="C356" s="25">
        <v>4040</v>
      </c>
      <c r="D356" s="41" t="s">
        <v>72</v>
      </c>
      <c r="E356" s="44">
        <v>72570</v>
      </c>
      <c r="F356" s="43"/>
      <c r="G356" s="44">
        <v>880</v>
      </c>
      <c r="H356" s="44">
        <f t="shared" si="74"/>
        <v>71690</v>
      </c>
    </row>
    <row r="357" spans="1:8" s="16" customFormat="1" ht="12" customHeight="1" x14ac:dyDescent="0.2">
      <c r="A357" s="401"/>
      <c r="B357" s="63"/>
      <c r="C357" s="89">
        <v>4120</v>
      </c>
      <c r="D357" s="98" t="s">
        <v>119</v>
      </c>
      <c r="E357" s="40">
        <v>23251</v>
      </c>
      <c r="F357" s="39"/>
      <c r="G357" s="40">
        <v>300</v>
      </c>
      <c r="H357" s="40">
        <f t="shared" si="74"/>
        <v>22951</v>
      </c>
    </row>
    <row r="358" spans="1:8" s="16" customFormat="1" ht="12" customHeight="1" x14ac:dyDescent="0.2">
      <c r="A358" s="33"/>
      <c r="B358" s="32"/>
      <c r="C358" s="25">
        <v>4260</v>
      </c>
      <c r="D358" s="41" t="s">
        <v>77</v>
      </c>
      <c r="E358" s="44">
        <v>5950</v>
      </c>
      <c r="F358" s="43">
        <v>3450</v>
      </c>
      <c r="G358" s="44"/>
      <c r="H358" s="44">
        <f t="shared" si="74"/>
        <v>9400</v>
      </c>
    </row>
    <row r="359" spans="1:8" s="16" customFormat="1" ht="12" customHeight="1" x14ac:dyDescent="0.2">
      <c r="A359" s="33"/>
      <c r="B359" s="32"/>
      <c r="C359" s="25">
        <v>4300</v>
      </c>
      <c r="D359" s="41" t="s">
        <v>16</v>
      </c>
      <c r="E359" s="44">
        <v>51320</v>
      </c>
      <c r="F359" s="43"/>
      <c r="G359" s="44">
        <v>4020</v>
      </c>
      <c r="H359" s="44">
        <f t="shared" si="74"/>
        <v>47300</v>
      </c>
    </row>
    <row r="360" spans="1:8" s="16" customFormat="1" ht="12" customHeight="1" x14ac:dyDescent="0.2">
      <c r="A360" s="33"/>
      <c r="B360" s="32"/>
      <c r="C360" s="25">
        <v>4360</v>
      </c>
      <c r="D360" s="41" t="s">
        <v>101</v>
      </c>
      <c r="E360" s="44">
        <v>1350</v>
      </c>
      <c r="F360" s="43">
        <v>570</v>
      </c>
      <c r="G360" s="44"/>
      <c r="H360" s="44">
        <f t="shared" si="74"/>
        <v>1920</v>
      </c>
    </row>
    <row r="361" spans="1:8" s="16" customFormat="1" ht="12" customHeight="1" x14ac:dyDescent="0.2">
      <c r="A361" s="33"/>
      <c r="B361" s="32"/>
      <c r="C361" s="25">
        <v>4440</v>
      </c>
      <c r="D361" s="41" t="s">
        <v>409</v>
      </c>
      <c r="E361" s="44">
        <v>26608</v>
      </c>
      <c r="F361" s="43">
        <v>1258</v>
      </c>
      <c r="G361" s="44"/>
      <c r="H361" s="44">
        <f t="shared" si="74"/>
        <v>27866</v>
      </c>
    </row>
    <row r="362" spans="1:8" s="16" customFormat="1" ht="12" customHeight="1" x14ac:dyDescent="0.2">
      <c r="A362" s="33"/>
      <c r="B362" s="32"/>
      <c r="C362" s="25">
        <v>4710</v>
      </c>
      <c r="D362" s="62" t="s">
        <v>67</v>
      </c>
      <c r="E362" s="44">
        <v>1600</v>
      </c>
      <c r="F362" s="43">
        <v>300</v>
      </c>
      <c r="G362" s="44"/>
      <c r="H362" s="44">
        <f t="shared" si="74"/>
        <v>1900</v>
      </c>
    </row>
    <row r="363" spans="1:8" s="16" customFormat="1" ht="46.5" customHeight="1" x14ac:dyDescent="0.2">
      <c r="A363" s="33"/>
      <c r="B363" s="32"/>
      <c r="C363" s="26"/>
      <c r="D363" s="367" t="s">
        <v>424</v>
      </c>
      <c r="E363" s="364">
        <v>280431.02</v>
      </c>
      <c r="F363" s="376">
        <f>SUM(F364:F375)</f>
        <v>21000</v>
      </c>
      <c r="G363" s="376">
        <f>SUM(G364:G375)</f>
        <v>24000</v>
      </c>
      <c r="H363" s="377">
        <f>SUM(E363+F363-G363)</f>
        <v>277431.02</v>
      </c>
    </row>
    <row r="364" spans="1:8" s="16" customFormat="1" ht="12" customHeight="1" x14ac:dyDescent="0.2">
      <c r="A364" s="33"/>
      <c r="B364" s="32"/>
      <c r="C364" s="25">
        <v>4017</v>
      </c>
      <c r="D364" s="41" t="s">
        <v>106</v>
      </c>
      <c r="E364" s="42">
        <v>34009.449999999997</v>
      </c>
      <c r="F364" s="42">
        <v>14501.31</v>
      </c>
      <c r="G364" s="42"/>
      <c r="H364" s="44">
        <f t="shared" ref="H364:H375" si="75">SUM(E364+F364-G364)</f>
        <v>48510.759999999995</v>
      </c>
    </row>
    <row r="365" spans="1:8" s="16" customFormat="1" ht="12" customHeight="1" x14ac:dyDescent="0.2">
      <c r="A365" s="33"/>
      <c r="B365" s="32"/>
      <c r="C365" s="25">
        <v>4019</v>
      </c>
      <c r="D365" s="41" t="s">
        <v>106</v>
      </c>
      <c r="E365" s="42">
        <v>6343.4900000000007</v>
      </c>
      <c r="F365" s="42">
        <v>2704.8</v>
      </c>
      <c r="G365" s="42"/>
      <c r="H365" s="44">
        <f t="shared" si="75"/>
        <v>9048.2900000000009</v>
      </c>
    </row>
    <row r="366" spans="1:8" s="16" customFormat="1" ht="12" customHeight="1" x14ac:dyDescent="0.2">
      <c r="A366" s="33"/>
      <c r="B366" s="32"/>
      <c r="C366" s="25">
        <v>4117</v>
      </c>
      <c r="D366" s="41" t="s">
        <v>118</v>
      </c>
      <c r="E366" s="42">
        <v>30777</v>
      </c>
      <c r="F366" s="42">
        <v>2530.21</v>
      </c>
      <c r="G366" s="42">
        <v>2945.27</v>
      </c>
      <c r="H366" s="44">
        <f t="shared" si="75"/>
        <v>30361.94</v>
      </c>
    </row>
    <row r="367" spans="1:8" s="16" customFormat="1" ht="12" customHeight="1" x14ac:dyDescent="0.2">
      <c r="A367" s="33"/>
      <c r="B367" s="32"/>
      <c r="C367" s="25">
        <v>4119</v>
      </c>
      <c r="D367" s="41" t="s">
        <v>118</v>
      </c>
      <c r="E367" s="42">
        <v>5740.5800000000008</v>
      </c>
      <c r="F367" s="42">
        <v>471.93</v>
      </c>
      <c r="G367" s="42">
        <v>549.35</v>
      </c>
      <c r="H367" s="44">
        <f t="shared" si="75"/>
        <v>5663.1600000000008</v>
      </c>
    </row>
    <row r="368" spans="1:8" s="16" customFormat="1" ht="12" customHeight="1" x14ac:dyDescent="0.2">
      <c r="A368" s="33"/>
      <c r="B368" s="32"/>
      <c r="C368" s="25">
        <v>4127</v>
      </c>
      <c r="D368" s="62" t="s">
        <v>119</v>
      </c>
      <c r="E368" s="42">
        <v>4318.78</v>
      </c>
      <c r="F368" s="42">
        <v>355.07</v>
      </c>
      <c r="G368" s="42">
        <v>413.28</v>
      </c>
      <c r="H368" s="44">
        <f t="shared" si="75"/>
        <v>4260.57</v>
      </c>
    </row>
    <row r="369" spans="1:8" s="16" customFormat="1" ht="12" customHeight="1" x14ac:dyDescent="0.2">
      <c r="A369" s="33"/>
      <c r="B369" s="32"/>
      <c r="C369" s="25">
        <v>4129</v>
      </c>
      <c r="D369" s="62" t="s">
        <v>119</v>
      </c>
      <c r="E369" s="42">
        <v>805.54</v>
      </c>
      <c r="F369" s="42">
        <v>66.239999999999995</v>
      </c>
      <c r="G369" s="42">
        <v>77.09</v>
      </c>
      <c r="H369" s="44">
        <f t="shared" si="75"/>
        <v>794.68999999999994</v>
      </c>
    </row>
    <row r="370" spans="1:8" s="16" customFormat="1" ht="12" customHeight="1" x14ac:dyDescent="0.2">
      <c r="A370" s="33"/>
      <c r="B370" s="32"/>
      <c r="C370" s="25">
        <v>4177</v>
      </c>
      <c r="D370" s="41" t="s">
        <v>64</v>
      </c>
      <c r="E370" s="42">
        <v>140572.1</v>
      </c>
      <c r="F370" s="42"/>
      <c r="G370" s="42">
        <v>16868.650000000001</v>
      </c>
      <c r="H370" s="44">
        <f t="shared" si="75"/>
        <v>123703.45000000001</v>
      </c>
    </row>
    <row r="371" spans="1:8" s="16" customFormat="1" ht="12" customHeight="1" x14ac:dyDescent="0.2">
      <c r="A371" s="33"/>
      <c r="B371" s="32"/>
      <c r="C371" s="25">
        <v>4179</v>
      </c>
      <c r="D371" s="41" t="s">
        <v>64</v>
      </c>
      <c r="E371" s="42">
        <v>26219.66</v>
      </c>
      <c r="F371" s="42"/>
      <c r="G371" s="42">
        <v>3146.36</v>
      </c>
      <c r="H371" s="44">
        <f t="shared" si="75"/>
        <v>23073.3</v>
      </c>
    </row>
    <row r="372" spans="1:8" s="16" customFormat="1" ht="21.75" customHeight="1" x14ac:dyDescent="0.2">
      <c r="A372" s="33"/>
      <c r="B372" s="32"/>
      <c r="C372" s="59">
        <v>4707</v>
      </c>
      <c r="D372" s="87" t="s">
        <v>69</v>
      </c>
      <c r="E372" s="42">
        <v>24778.32</v>
      </c>
      <c r="F372" s="42">
        <v>252.84</v>
      </c>
      <c r="G372" s="42"/>
      <c r="H372" s="44">
        <f t="shared" si="75"/>
        <v>25031.16</v>
      </c>
    </row>
    <row r="373" spans="1:8" s="16" customFormat="1" ht="22.5" customHeight="1" x14ac:dyDescent="0.2">
      <c r="A373" s="33"/>
      <c r="B373" s="32"/>
      <c r="C373" s="59">
        <v>4709</v>
      </c>
      <c r="D373" s="87" t="s">
        <v>69</v>
      </c>
      <c r="E373" s="42">
        <v>4621.68</v>
      </c>
      <c r="F373" s="42">
        <v>47.16</v>
      </c>
      <c r="G373" s="42"/>
      <c r="H373" s="44">
        <f t="shared" si="75"/>
        <v>4668.84</v>
      </c>
    </row>
    <row r="374" spans="1:8" s="16" customFormat="1" ht="12" customHeight="1" x14ac:dyDescent="0.2">
      <c r="A374" s="33"/>
      <c r="B374" s="32"/>
      <c r="C374" s="25">
        <v>4717</v>
      </c>
      <c r="D374" s="62" t="s">
        <v>67</v>
      </c>
      <c r="E374" s="42">
        <v>201.1</v>
      </c>
      <c r="F374" s="42">
        <v>59.37</v>
      </c>
      <c r="G374" s="42"/>
      <c r="H374" s="44">
        <f t="shared" si="75"/>
        <v>260.46999999999997</v>
      </c>
    </row>
    <row r="375" spans="1:8" s="16" customFormat="1" ht="12" customHeight="1" x14ac:dyDescent="0.2">
      <c r="A375" s="33"/>
      <c r="B375" s="32"/>
      <c r="C375" s="25">
        <v>4719</v>
      </c>
      <c r="D375" s="62" t="s">
        <v>67</v>
      </c>
      <c r="E375" s="42">
        <v>37.5</v>
      </c>
      <c r="F375" s="42">
        <v>11.07</v>
      </c>
      <c r="G375" s="42"/>
      <c r="H375" s="44">
        <f t="shared" si="75"/>
        <v>48.57</v>
      </c>
    </row>
    <row r="376" spans="1:8" s="16" customFormat="1" ht="47.25" customHeight="1" x14ac:dyDescent="0.2">
      <c r="A376" s="33"/>
      <c r="B376" s="32"/>
      <c r="C376" s="26"/>
      <c r="D376" s="367" t="s">
        <v>425</v>
      </c>
      <c r="E376" s="364">
        <v>1132769.9900000002</v>
      </c>
      <c r="F376" s="376">
        <f>SUM(F377:F398)</f>
        <v>86285.18</v>
      </c>
      <c r="G376" s="376">
        <f>SUM(G377:G398)</f>
        <v>83285.180000000008</v>
      </c>
      <c r="H376" s="377">
        <f>SUM(E376+F376-G376)</f>
        <v>1135769.9900000002</v>
      </c>
    </row>
    <row r="377" spans="1:8" s="16" customFormat="1" ht="12" customHeight="1" x14ac:dyDescent="0.2">
      <c r="A377" s="33"/>
      <c r="B377" s="32"/>
      <c r="C377" s="25">
        <v>4017</v>
      </c>
      <c r="D377" s="41" t="s">
        <v>106</v>
      </c>
      <c r="E377" s="42">
        <v>258665.63999999996</v>
      </c>
      <c r="F377" s="42">
        <v>2110.6999999999998</v>
      </c>
      <c r="G377" s="42">
        <v>22275.9</v>
      </c>
      <c r="H377" s="44">
        <f t="shared" ref="H377:H404" si="76">SUM(E377+F377-G377)</f>
        <v>238500.43999999997</v>
      </c>
    </row>
    <row r="378" spans="1:8" s="16" customFormat="1" ht="12" customHeight="1" x14ac:dyDescent="0.2">
      <c r="A378" s="33"/>
      <c r="B378" s="32"/>
      <c r="C378" s="25">
        <v>4019</v>
      </c>
      <c r="D378" s="41" t="s">
        <v>106</v>
      </c>
      <c r="E378" s="42">
        <v>48246.489999999991</v>
      </c>
      <c r="F378" s="42">
        <v>393.68</v>
      </c>
      <c r="G378" s="42">
        <v>4154.93</v>
      </c>
      <c r="H378" s="44">
        <f t="shared" si="76"/>
        <v>44485.239999999991</v>
      </c>
    </row>
    <row r="379" spans="1:8" s="16" customFormat="1" ht="12" customHeight="1" x14ac:dyDescent="0.2">
      <c r="A379" s="33"/>
      <c r="B379" s="32"/>
      <c r="C379" s="25">
        <v>4047</v>
      </c>
      <c r="D379" s="41" t="s">
        <v>72</v>
      </c>
      <c r="E379" s="42">
        <v>5716.35</v>
      </c>
      <c r="F379" s="42"/>
      <c r="G379" s="42">
        <v>5305.42</v>
      </c>
      <c r="H379" s="44">
        <f t="shared" si="76"/>
        <v>410.93000000000029</v>
      </c>
    </row>
    <row r="380" spans="1:8" s="16" customFormat="1" ht="12" customHeight="1" x14ac:dyDescent="0.2">
      <c r="A380" s="33"/>
      <c r="B380" s="32"/>
      <c r="C380" s="25">
        <v>4049</v>
      </c>
      <c r="D380" s="41" t="s">
        <v>72</v>
      </c>
      <c r="E380" s="42">
        <v>1066.22</v>
      </c>
      <c r="F380" s="42"/>
      <c r="G380" s="42">
        <v>989.57</v>
      </c>
      <c r="H380" s="44">
        <f t="shared" si="76"/>
        <v>76.649999999999977</v>
      </c>
    </row>
    <row r="381" spans="1:8" s="16" customFormat="1" ht="12" customHeight="1" x14ac:dyDescent="0.2">
      <c r="A381" s="33"/>
      <c r="B381" s="32"/>
      <c r="C381" s="25">
        <v>4117</v>
      </c>
      <c r="D381" s="41" t="s">
        <v>118</v>
      </c>
      <c r="E381" s="42">
        <v>84499.260000000009</v>
      </c>
      <c r="F381" s="42">
        <v>365.99</v>
      </c>
      <c r="G381" s="42">
        <v>2584.58</v>
      </c>
      <c r="H381" s="44">
        <f t="shared" si="76"/>
        <v>82280.670000000013</v>
      </c>
    </row>
    <row r="382" spans="1:8" s="16" customFormat="1" ht="12" customHeight="1" x14ac:dyDescent="0.2">
      <c r="A382" s="33"/>
      <c r="B382" s="32"/>
      <c r="C382" s="25">
        <v>4119</v>
      </c>
      <c r="D382" s="41" t="s">
        <v>118</v>
      </c>
      <c r="E382" s="42">
        <v>15760.85</v>
      </c>
      <c r="F382" s="42">
        <v>68.27</v>
      </c>
      <c r="G382" s="42">
        <v>482.09</v>
      </c>
      <c r="H382" s="44">
        <f t="shared" si="76"/>
        <v>15347.03</v>
      </c>
    </row>
    <row r="383" spans="1:8" s="16" customFormat="1" ht="12" customHeight="1" x14ac:dyDescent="0.2">
      <c r="A383" s="33"/>
      <c r="B383" s="32"/>
      <c r="C383" s="25">
        <v>4127</v>
      </c>
      <c r="D383" s="62" t="s">
        <v>119</v>
      </c>
      <c r="E383" s="42">
        <v>11938.390000000001</v>
      </c>
      <c r="F383" s="42">
        <v>51.71</v>
      </c>
      <c r="G383" s="42">
        <v>361.33</v>
      </c>
      <c r="H383" s="44">
        <f t="shared" si="76"/>
        <v>11628.77</v>
      </c>
    </row>
    <row r="384" spans="1:8" s="16" customFormat="1" ht="12" customHeight="1" x14ac:dyDescent="0.2">
      <c r="A384" s="33"/>
      <c r="B384" s="32"/>
      <c r="C384" s="25">
        <v>4129</v>
      </c>
      <c r="D384" s="62" t="s">
        <v>119</v>
      </c>
      <c r="E384" s="42">
        <v>2226.7700000000004</v>
      </c>
      <c r="F384" s="42">
        <v>9.65</v>
      </c>
      <c r="G384" s="42">
        <v>67.400000000000006</v>
      </c>
      <c r="H384" s="44">
        <f t="shared" si="76"/>
        <v>2169.0200000000004</v>
      </c>
    </row>
    <row r="385" spans="1:8" s="16" customFormat="1" ht="12" customHeight="1" x14ac:dyDescent="0.2">
      <c r="A385" s="33"/>
      <c r="B385" s="32"/>
      <c r="C385" s="25">
        <v>4177</v>
      </c>
      <c r="D385" s="41" t="s">
        <v>64</v>
      </c>
      <c r="E385" s="42">
        <v>220881</v>
      </c>
      <c r="F385" s="42">
        <v>15023.76</v>
      </c>
      <c r="G385" s="42"/>
      <c r="H385" s="44">
        <f t="shared" si="76"/>
        <v>235904.76</v>
      </c>
    </row>
    <row r="386" spans="1:8" s="16" customFormat="1" ht="12" customHeight="1" x14ac:dyDescent="0.2">
      <c r="A386" s="33"/>
      <c r="B386" s="32"/>
      <c r="C386" s="25">
        <v>4179</v>
      </c>
      <c r="D386" s="41" t="s">
        <v>64</v>
      </c>
      <c r="E386" s="42">
        <v>41199</v>
      </c>
      <c r="F386" s="42">
        <v>2802.23</v>
      </c>
      <c r="G386" s="42"/>
      <c r="H386" s="44">
        <f t="shared" si="76"/>
        <v>44001.23</v>
      </c>
    </row>
    <row r="387" spans="1:8" s="16" customFormat="1" ht="12" customHeight="1" x14ac:dyDescent="0.2">
      <c r="A387" s="33"/>
      <c r="B387" s="32"/>
      <c r="C387" s="25">
        <v>4217</v>
      </c>
      <c r="D387" s="41" t="s">
        <v>66</v>
      </c>
      <c r="E387" s="42">
        <v>52845.579999999994</v>
      </c>
      <c r="F387" s="42">
        <v>15436.22</v>
      </c>
      <c r="G387" s="42"/>
      <c r="H387" s="44">
        <f t="shared" si="76"/>
        <v>68281.799999999988</v>
      </c>
    </row>
    <row r="388" spans="1:8" s="16" customFormat="1" ht="12" customHeight="1" x14ac:dyDescent="0.2">
      <c r="A388" s="33"/>
      <c r="B388" s="32"/>
      <c r="C388" s="25">
        <v>4219</v>
      </c>
      <c r="D388" s="41" t="s">
        <v>66</v>
      </c>
      <c r="E388" s="42">
        <v>9856.4300000000021</v>
      </c>
      <c r="F388" s="42">
        <v>2879.21</v>
      </c>
      <c r="G388" s="42"/>
      <c r="H388" s="44">
        <f t="shared" si="76"/>
        <v>12735.640000000003</v>
      </c>
    </row>
    <row r="389" spans="1:8" s="16" customFormat="1" ht="12" customHeight="1" x14ac:dyDescent="0.2">
      <c r="A389" s="33"/>
      <c r="B389" s="32"/>
      <c r="C389" s="25">
        <v>4267</v>
      </c>
      <c r="D389" s="41" t="s">
        <v>77</v>
      </c>
      <c r="E389" s="42">
        <v>121083.52</v>
      </c>
      <c r="F389" s="42"/>
      <c r="G389" s="42">
        <v>33806.980000000003</v>
      </c>
      <c r="H389" s="44">
        <f t="shared" si="76"/>
        <v>87276.540000000008</v>
      </c>
    </row>
    <row r="390" spans="1:8" s="16" customFormat="1" ht="12" customHeight="1" x14ac:dyDescent="0.2">
      <c r="A390" s="33"/>
      <c r="B390" s="32"/>
      <c r="C390" s="25">
        <v>4269</v>
      </c>
      <c r="D390" s="41" t="s">
        <v>77</v>
      </c>
      <c r="E390" s="42">
        <v>22584.630000000005</v>
      </c>
      <c r="F390" s="42"/>
      <c r="G390" s="42">
        <v>6305.72</v>
      </c>
      <c r="H390" s="44">
        <f t="shared" si="76"/>
        <v>16278.910000000003</v>
      </c>
    </row>
    <row r="391" spans="1:8" s="16" customFormat="1" ht="12" customHeight="1" x14ac:dyDescent="0.2">
      <c r="A391" s="33"/>
      <c r="B391" s="32"/>
      <c r="C391" s="25">
        <v>4277</v>
      </c>
      <c r="D391" s="41" t="s">
        <v>68</v>
      </c>
      <c r="E391" s="42">
        <v>7452.5200000000013</v>
      </c>
      <c r="F391" s="42"/>
      <c r="G391" s="42">
        <v>3900.95</v>
      </c>
      <c r="H391" s="44">
        <f t="shared" si="76"/>
        <v>3551.5700000000015</v>
      </c>
    </row>
    <row r="392" spans="1:8" s="16" customFormat="1" ht="12" customHeight="1" x14ac:dyDescent="0.2">
      <c r="A392" s="33"/>
      <c r="B392" s="32"/>
      <c r="C392" s="25">
        <v>4279</v>
      </c>
      <c r="D392" s="41" t="s">
        <v>68</v>
      </c>
      <c r="E392" s="42">
        <v>1390.05</v>
      </c>
      <c r="F392" s="42"/>
      <c r="G392" s="42">
        <v>727.62</v>
      </c>
      <c r="H392" s="44">
        <f t="shared" si="76"/>
        <v>662.43</v>
      </c>
    </row>
    <row r="393" spans="1:8" s="16" customFormat="1" ht="12" customHeight="1" x14ac:dyDescent="0.2">
      <c r="A393" s="33"/>
      <c r="B393" s="32"/>
      <c r="C393" s="25">
        <v>4307</v>
      </c>
      <c r="D393" s="41" t="s">
        <v>16</v>
      </c>
      <c r="E393" s="42">
        <v>76495.160000000018</v>
      </c>
      <c r="F393" s="42">
        <v>39732.76</v>
      </c>
      <c r="G393" s="42"/>
      <c r="H393" s="44">
        <f t="shared" si="76"/>
        <v>116227.92000000001</v>
      </c>
    </row>
    <row r="394" spans="1:8" s="16" customFormat="1" ht="12" customHeight="1" x14ac:dyDescent="0.2">
      <c r="A394" s="33"/>
      <c r="B394" s="32"/>
      <c r="C394" s="25">
        <v>4309</v>
      </c>
      <c r="D394" s="41" t="s">
        <v>16</v>
      </c>
      <c r="E394" s="42">
        <v>14267.97</v>
      </c>
      <c r="F394" s="42">
        <v>7411</v>
      </c>
      <c r="G394" s="42"/>
      <c r="H394" s="44">
        <f t="shared" si="76"/>
        <v>21678.97</v>
      </c>
    </row>
    <row r="395" spans="1:8" s="16" customFormat="1" ht="12" customHeight="1" x14ac:dyDescent="0.2">
      <c r="A395" s="33"/>
      <c r="B395" s="32"/>
      <c r="C395" s="25">
        <v>4367</v>
      </c>
      <c r="D395" s="41" t="s">
        <v>101</v>
      </c>
      <c r="E395" s="42">
        <v>2265.2799999999997</v>
      </c>
      <c r="F395" s="42"/>
      <c r="G395" s="42">
        <v>1462.73</v>
      </c>
      <c r="H395" s="44">
        <f t="shared" si="76"/>
        <v>802.54999999999973</v>
      </c>
    </row>
    <row r="396" spans="1:8" s="16" customFormat="1" ht="12" customHeight="1" x14ac:dyDescent="0.2">
      <c r="A396" s="33"/>
      <c r="B396" s="32"/>
      <c r="C396" s="25">
        <v>4369</v>
      </c>
      <c r="D396" s="41" t="s">
        <v>101</v>
      </c>
      <c r="E396" s="42">
        <v>422.52</v>
      </c>
      <c r="F396" s="42"/>
      <c r="G396" s="42">
        <v>272.82</v>
      </c>
      <c r="H396" s="44">
        <f t="shared" si="76"/>
        <v>149.69999999999999</v>
      </c>
    </row>
    <row r="397" spans="1:8" s="16" customFormat="1" ht="12" customHeight="1" x14ac:dyDescent="0.2">
      <c r="A397" s="33"/>
      <c r="B397" s="32"/>
      <c r="C397" s="25">
        <v>4437</v>
      </c>
      <c r="D397" s="41" t="s">
        <v>408</v>
      </c>
      <c r="E397" s="42">
        <v>5029.2900000000009</v>
      </c>
      <c r="F397" s="42"/>
      <c r="G397" s="42">
        <v>494.85</v>
      </c>
      <c r="H397" s="44">
        <f t="shared" si="76"/>
        <v>4534.4400000000005</v>
      </c>
    </row>
    <row r="398" spans="1:8" s="16" customFormat="1" ht="12" customHeight="1" x14ac:dyDescent="0.2">
      <c r="A398" s="33"/>
      <c r="B398" s="32"/>
      <c r="C398" s="25">
        <v>4439</v>
      </c>
      <c r="D398" s="41" t="s">
        <v>408</v>
      </c>
      <c r="E398" s="42">
        <v>938.07</v>
      </c>
      <c r="F398" s="42"/>
      <c r="G398" s="42">
        <v>92.29</v>
      </c>
      <c r="H398" s="44">
        <f t="shared" si="76"/>
        <v>845.78000000000009</v>
      </c>
    </row>
    <row r="399" spans="1:8" s="16" customFormat="1" ht="12" customHeight="1" thickBot="1" x14ac:dyDescent="0.25">
      <c r="A399" s="31">
        <v>853</v>
      </c>
      <c r="B399" s="32"/>
      <c r="C399" s="33"/>
      <c r="D399" s="34" t="s">
        <v>46</v>
      </c>
      <c r="E399" s="30">
        <v>12523510.919999998</v>
      </c>
      <c r="F399" s="35">
        <f>SUM(F400)</f>
        <v>5000</v>
      </c>
      <c r="G399" s="35">
        <f>SUM(G400)</f>
        <v>5000</v>
      </c>
      <c r="H399" s="30">
        <f t="shared" si="76"/>
        <v>12523510.919999998</v>
      </c>
    </row>
    <row r="400" spans="1:8" s="16" customFormat="1" ht="12" customHeight="1" thickTop="1" x14ac:dyDescent="0.2">
      <c r="A400" s="33"/>
      <c r="B400" s="37">
        <v>85395</v>
      </c>
      <c r="C400" s="26"/>
      <c r="D400" s="38" t="s">
        <v>15</v>
      </c>
      <c r="E400" s="75">
        <v>7990230.919999999</v>
      </c>
      <c r="F400" s="39">
        <f>SUM(F402)</f>
        <v>5000</v>
      </c>
      <c r="G400" s="39">
        <f>SUM(G402)</f>
        <v>5000</v>
      </c>
      <c r="H400" s="39">
        <f t="shared" si="76"/>
        <v>7990230.919999999</v>
      </c>
    </row>
    <row r="401" spans="1:8" s="16" customFormat="1" ht="12" customHeight="1" x14ac:dyDescent="0.2">
      <c r="A401" s="33"/>
      <c r="B401" s="37"/>
      <c r="C401" s="26"/>
      <c r="D401" s="402" t="s">
        <v>426</v>
      </c>
      <c r="E401" s="45"/>
      <c r="F401" s="43"/>
      <c r="G401" s="43"/>
      <c r="H401" s="43"/>
    </row>
    <row r="402" spans="1:8" s="16" customFormat="1" ht="12" customHeight="1" x14ac:dyDescent="0.2">
      <c r="A402" s="33"/>
      <c r="B402" s="37"/>
      <c r="C402" s="78"/>
      <c r="D402" s="375" t="s">
        <v>427</v>
      </c>
      <c r="E402" s="365">
        <v>515527</v>
      </c>
      <c r="F402" s="365">
        <f>SUM(F403:F404)</f>
        <v>5000</v>
      </c>
      <c r="G402" s="365">
        <f>SUM(G403:G404)</f>
        <v>5000</v>
      </c>
      <c r="H402" s="377">
        <f t="shared" si="76"/>
        <v>515527</v>
      </c>
    </row>
    <row r="403" spans="1:8" s="16" customFormat="1" ht="12" customHeight="1" x14ac:dyDescent="0.2">
      <c r="A403" s="33"/>
      <c r="B403" s="37"/>
      <c r="C403" s="25">
        <v>4170</v>
      </c>
      <c r="D403" s="41" t="s">
        <v>64</v>
      </c>
      <c r="E403" s="45">
        <v>13000</v>
      </c>
      <c r="F403" s="44">
        <v>5000</v>
      </c>
      <c r="G403" s="44"/>
      <c r="H403" s="44">
        <f t="shared" si="76"/>
        <v>18000</v>
      </c>
    </row>
    <row r="404" spans="1:8" s="16" customFormat="1" ht="12" customHeight="1" x14ac:dyDescent="0.2">
      <c r="A404" s="33"/>
      <c r="B404" s="37"/>
      <c r="C404" s="25">
        <v>4300</v>
      </c>
      <c r="D404" s="41" t="s">
        <v>16</v>
      </c>
      <c r="E404" s="45">
        <v>70743</v>
      </c>
      <c r="F404" s="43"/>
      <c r="G404" s="43">
        <v>5000</v>
      </c>
      <c r="H404" s="44">
        <f t="shared" si="76"/>
        <v>65743</v>
      </c>
    </row>
    <row r="405" spans="1:8" s="16" customFormat="1" ht="12" customHeight="1" thickBot="1" x14ac:dyDescent="0.25">
      <c r="A405" s="32">
        <v>854</v>
      </c>
      <c r="B405" s="32"/>
      <c r="C405" s="33"/>
      <c r="D405" s="34" t="s">
        <v>136</v>
      </c>
      <c r="E405" s="30">
        <v>17290089.43</v>
      </c>
      <c r="F405" s="35">
        <f>SUM(F406,F412)</f>
        <v>8000</v>
      </c>
      <c r="G405" s="35">
        <f>SUM(G406,G412)</f>
        <v>8000</v>
      </c>
      <c r="H405" s="30">
        <f t="shared" si="70"/>
        <v>17290089.43</v>
      </c>
    </row>
    <row r="406" spans="1:8" s="16" customFormat="1" ht="12" customHeight="1" thickTop="1" x14ac:dyDescent="0.2">
      <c r="A406" s="32"/>
      <c r="B406" s="78">
        <v>85410</v>
      </c>
      <c r="C406" s="100"/>
      <c r="D406" s="80" t="s">
        <v>137</v>
      </c>
      <c r="E406" s="39">
        <v>4025000.43</v>
      </c>
      <c r="F406" s="40">
        <f>SUM(F407)</f>
        <v>4500</v>
      </c>
      <c r="G406" s="40">
        <f>SUM(G407)</f>
        <v>4500</v>
      </c>
      <c r="H406" s="39">
        <f t="shared" si="70"/>
        <v>4025000.43</v>
      </c>
    </row>
    <row r="407" spans="1:8" s="16" customFormat="1" ht="12" customHeight="1" x14ac:dyDescent="0.2">
      <c r="A407" s="32"/>
      <c r="B407" s="78"/>
      <c r="C407" s="26"/>
      <c r="D407" s="384" t="s">
        <v>71</v>
      </c>
      <c r="E407" s="377">
        <v>2866638</v>
      </c>
      <c r="F407" s="377">
        <f>SUM(F408:F411)</f>
        <v>4500</v>
      </c>
      <c r="G407" s="377">
        <f>SUM(G408:G411)</f>
        <v>4500</v>
      </c>
      <c r="H407" s="364">
        <f>SUM(E407+F407-G407)</f>
        <v>2866638</v>
      </c>
    </row>
    <row r="408" spans="1:8" s="16" customFormat="1" ht="11.25" customHeight="1" x14ac:dyDescent="0.2">
      <c r="A408" s="32"/>
      <c r="B408" s="78"/>
      <c r="C408" s="25">
        <v>3020</v>
      </c>
      <c r="D408" s="41" t="s">
        <v>96</v>
      </c>
      <c r="E408" s="45">
        <v>88035</v>
      </c>
      <c r="F408" s="42">
        <v>4000</v>
      </c>
      <c r="G408" s="42"/>
      <c r="H408" s="43">
        <f t="shared" ref="H408:H411" si="77">SUM(E408+F408-G408)</f>
        <v>92035</v>
      </c>
    </row>
    <row r="409" spans="1:8" s="16" customFormat="1" ht="22.5" customHeight="1" x14ac:dyDescent="0.2">
      <c r="A409" s="32"/>
      <c r="B409" s="78"/>
      <c r="C409" s="86">
        <v>4140</v>
      </c>
      <c r="D409" s="87" t="s">
        <v>75</v>
      </c>
      <c r="E409" s="45">
        <v>8105</v>
      </c>
      <c r="F409" s="42"/>
      <c r="G409" s="42">
        <v>4000</v>
      </c>
      <c r="H409" s="43">
        <f t="shared" si="77"/>
        <v>4105</v>
      </c>
    </row>
    <row r="410" spans="1:8" s="16" customFormat="1" ht="12" customHeight="1" x14ac:dyDescent="0.2">
      <c r="A410" s="63"/>
      <c r="B410" s="94"/>
      <c r="C410" s="80">
        <v>4300</v>
      </c>
      <c r="D410" s="98" t="s">
        <v>16</v>
      </c>
      <c r="E410" s="75">
        <v>75000</v>
      </c>
      <c r="F410" s="65"/>
      <c r="G410" s="65">
        <v>500</v>
      </c>
      <c r="H410" s="39">
        <f t="shared" si="77"/>
        <v>74500</v>
      </c>
    </row>
    <row r="411" spans="1:8" s="16" customFormat="1" ht="12" customHeight="1" x14ac:dyDescent="0.2">
      <c r="A411" s="32"/>
      <c r="B411" s="78"/>
      <c r="C411" s="25">
        <v>4510</v>
      </c>
      <c r="D411" s="41" t="s">
        <v>80</v>
      </c>
      <c r="E411" s="45">
        <v>0</v>
      </c>
      <c r="F411" s="42">
        <v>500</v>
      </c>
      <c r="G411" s="42"/>
      <c r="H411" s="43">
        <f t="shared" si="77"/>
        <v>500</v>
      </c>
    </row>
    <row r="412" spans="1:8" s="16" customFormat="1" ht="12" customHeight="1" x14ac:dyDescent="0.2">
      <c r="A412" s="32"/>
      <c r="B412" s="25">
        <v>85420</v>
      </c>
      <c r="C412" s="25"/>
      <c r="D412" s="66" t="s">
        <v>139</v>
      </c>
      <c r="E412" s="39">
        <v>5947022</v>
      </c>
      <c r="F412" s="40">
        <f>SUM(F413)</f>
        <v>3500</v>
      </c>
      <c r="G412" s="40">
        <f>SUM(G413)</f>
        <v>3500</v>
      </c>
      <c r="H412" s="39">
        <f>SUM(E412+F412-G412)</f>
        <v>5947022</v>
      </c>
    </row>
    <row r="413" spans="1:8" s="16" customFormat="1" ht="12" customHeight="1" x14ac:dyDescent="0.2">
      <c r="A413" s="32"/>
      <c r="B413" s="37"/>
      <c r="C413" s="26"/>
      <c r="D413" s="384" t="s">
        <v>71</v>
      </c>
      <c r="E413" s="364">
        <v>5897022</v>
      </c>
      <c r="F413" s="376">
        <f>SUM(F414:F416)</f>
        <v>3500</v>
      </c>
      <c r="G413" s="376">
        <f>SUM(G414:G416)</f>
        <v>3500</v>
      </c>
      <c r="H413" s="364">
        <f>SUM(E413+F413-G413)</f>
        <v>5897022</v>
      </c>
    </row>
    <row r="414" spans="1:8" s="16" customFormat="1" ht="12" customHeight="1" x14ac:dyDescent="0.2">
      <c r="A414" s="32"/>
      <c r="B414" s="37"/>
      <c r="C414" s="25">
        <v>4040</v>
      </c>
      <c r="D414" s="41" t="s">
        <v>72</v>
      </c>
      <c r="E414" s="43">
        <v>55630</v>
      </c>
      <c r="F414" s="42"/>
      <c r="G414" s="42">
        <v>500</v>
      </c>
      <c r="H414" s="44">
        <f t="shared" ref="H414:H416" si="78">SUM(E414+F414-G414)</f>
        <v>55130</v>
      </c>
    </row>
    <row r="415" spans="1:8" s="16" customFormat="1" ht="12" customHeight="1" x14ac:dyDescent="0.2">
      <c r="A415" s="32"/>
      <c r="B415" s="37"/>
      <c r="C415" s="25">
        <v>4360</v>
      </c>
      <c r="D415" s="41" t="s">
        <v>101</v>
      </c>
      <c r="E415" s="43">
        <v>11400</v>
      </c>
      <c r="F415" s="42">
        <v>3500</v>
      </c>
      <c r="G415" s="42"/>
      <c r="H415" s="44">
        <f t="shared" si="78"/>
        <v>14900</v>
      </c>
    </row>
    <row r="416" spans="1:8" s="16" customFormat="1" ht="12" customHeight="1" x14ac:dyDescent="0.2">
      <c r="A416" s="32"/>
      <c r="B416" s="37"/>
      <c r="C416" s="25">
        <v>4710</v>
      </c>
      <c r="D416" s="62" t="s">
        <v>67</v>
      </c>
      <c r="E416" s="43">
        <v>9175</v>
      </c>
      <c r="F416" s="42"/>
      <c r="G416" s="42">
        <v>3000</v>
      </c>
      <c r="H416" s="44">
        <f t="shared" si="78"/>
        <v>6175</v>
      </c>
    </row>
    <row r="417" spans="1:8" s="16" customFormat="1" ht="12" customHeight="1" thickBot="1" x14ac:dyDescent="0.25">
      <c r="A417" s="32">
        <v>855</v>
      </c>
      <c r="B417" s="32"/>
      <c r="C417" s="33"/>
      <c r="D417" s="34" t="s">
        <v>30</v>
      </c>
      <c r="E417" s="35">
        <v>51135814.219999999</v>
      </c>
      <c r="F417" s="35">
        <f>SUM(F418,F422,F425,F432,F446,F452)</f>
        <v>90055</v>
      </c>
      <c r="G417" s="35">
        <f>SUM(G418,G422,G425,G432,G446,G452)</f>
        <v>70746</v>
      </c>
      <c r="H417" s="35">
        <f>SUM(E417+F417-G417)</f>
        <v>51155123.219999999</v>
      </c>
    </row>
    <row r="418" spans="1:8" s="16" customFormat="1" ht="12" customHeight="1" thickTop="1" x14ac:dyDescent="0.2">
      <c r="A418" s="32"/>
      <c r="B418" s="59">
        <v>85502</v>
      </c>
      <c r="C418" s="26"/>
      <c r="D418" s="68" t="s">
        <v>48</v>
      </c>
      <c r="E418" s="39">
        <v>1127785</v>
      </c>
      <c r="F418" s="40">
        <f>SUM(F419)</f>
        <v>15237</v>
      </c>
      <c r="G418" s="40">
        <f>SUM(G419)</f>
        <v>13050</v>
      </c>
      <c r="H418" s="39">
        <f>SUM(E418+F418-G418)</f>
        <v>1129972</v>
      </c>
    </row>
    <row r="419" spans="1:8" s="16" customFormat="1" ht="12" customHeight="1" x14ac:dyDescent="0.2">
      <c r="A419" s="32"/>
      <c r="B419" s="32"/>
      <c r="C419" s="371"/>
      <c r="D419" s="367" t="s">
        <v>123</v>
      </c>
      <c r="E419" s="364">
        <v>872944</v>
      </c>
      <c r="F419" s="365">
        <f>SUM(F420:F421)</f>
        <v>15237</v>
      </c>
      <c r="G419" s="365">
        <f>SUM(G420:G421)</f>
        <v>13050</v>
      </c>
      <c r="H419" s="364">
        <f t="shared" ref="H419:H425" si="79">SUM(E419+F419-G419)</f>
        <v>875131</v>
      </c>
    </row>
    <row r="420" spans="1:8" s="16" customFormat="1" ht="12" customHeight="1" x14ac:dyDescent="0.2">
      <c r="A420" s="32"/>
      <c r="B420" s="37"/>
      <c r="C420" s="25">
        <v>4040</v>
      </c>
      <c r="D420" s="41" t="s">
        <v>72</v>
      </c>
      <c r="E420" s="42">
        <v>38000</v>
      </c>
      <c r="F420" s="45"/>
      <c r="G420" s="42">
        <v>13050</v>
      </c>
      <c r="H420" s="43">
        <f t="shared" si="79"/>
        <v>24950</v>
      </c>
    </row>
    <row r="421" spans="1:8" s="16" customFormat="1" ht="12" customHeight="1" x14ac:dyDescent="0.2">
      <c r="A421" s="32"/>
      <c r="B421" s="37"/>
      <c r="C421" s="25">
        <v>4440</v>
      </c>
      <c r="D421" s="41" t="s">
        <v>409</v>
      </c>
      <c r="E421" s="42">
        <v>9978</v>
      </c>
      <c r="F421" s="45">
        <v>15237</v>
      </c>
      <c r="G421" s="42"/>
      <c r="H421" s="43">
        <f t="shared" si="79"/>
        <v>25215</v>
      </c>
    </row>
    <row r="422" spans="1:8" s="16" customFormat="1" ht="12" customHeight="1" x14ac:dyDescent="0.2">
      <c r="A422" s="32"/>
      <c r="B422" s="37">
        <v>85504</v>
      </c>
      <c r="C422" s="26"/>
      <c r="D422" s="403" t="s">
        <v>428</v>
      </c>
      <c r="E422" s="75">
        <v>1114112</v>
      </c>
      <c r="F422" s="39">
        <f>SUM(F423)</f>
        <v>0</v>
      </c>
      <c r="G422" s="39">
        <f>SUM(G423)</f>
        <v>703</v>
      </c>
      <c r="H422" s="39">
        <f t="shared" si="79"/>
        <v>1113409</v>
      </c>
    </row>
    <row r="423" spans="1:8" s="16" customFormat="1" ht="12" customHeight="1" x14ac:dyDescent="0.2">
      <c r="A423" s="32"/>
      <c r="B423" s="32"/>
      <c r="C423" s="78"/>
      <c r="D423" s="388" t="s">
        <v>429</v>
      </c>
      <c r="E423" s="377">
        <v>773424</v>
      </c>
      <c r="F423" s="365">
        <f>SUM(F424:F424)</f>
        <v>0</v>
      </c>
      <c r="G423" s="365">
        <f>SUM(G424:G424)</f>
        <v>703</v>
      </c>
      <c r="H423" s="364">
        <f t="shared" si="79"/>
        <v>772721</v>
      </c>
    </row>
    <row r="424" spans="1:8" s="16" customFormat="1" ht="12" customHeight="1" x14ac:dyDescent="0.2">
      <c r="A424" s="32"/>
      <c r="B424" s="32"/>
      <c r="C424" s="25">
        <v>4440</v>
      </c>
      <c r="D424" s="41" t="s">
        <v>73</v>
      </c>
      <c r="E424" s="45">
        <v>16630</v>
      </c>
      <c r="F424" s="44"/>
      <c r="G424" s="44">
        <v>703</v>
      </c>
      <c r="H424" s="44">
        <f t="shared" si="79"/>
        <v>15927</v>
      </c>
    </row>
    <row r="425" spans="1:8" s="16" customFormat="1" ht="12" customHeight="1" x14ac:dyDescent="0.2">
      <c r="A425" s="32"/>
      <c r="B425" s="25">
        <v>85508</v>
      </c>
      <c r="C425" s="52"/>
      <c r="D425" s="101" t="s">
        <v>140</v>
      </c>
      <c r="E425" s="75">
        <v>3866964</v>
      </c>
      <c r="F425" s="39">
        <f>SUM(F427)</f>
        <v>3000</v>
      </c>
      <c r="G425" s="39">
        <f>SUM(G427)</f>
        <v>4484</v>
      </c>
      <c r="H425" s="39">
        <f t="shared" si="79"/>
        <v>3865480</v>
      </c>
    </row>
    <row r="426" spans="1:8" s="16" customFormat="1" ht="12" customHeight="1" x14ac:dyDescent="0.2">
      <c r="A426" s="32"/>
      <c r="B426" s="404"/>
      <c r="C426" s="405"/>
      <c r="D426" s="387" t="s">
        <v>141</v>
      </c>
      <c r="E426" s="406"/>
      <c r="F426" s="407"/>
      <c r="G426" s="407"/>
      <c r="H426" s="407"/>
    </row>
    <row r="427" spans="1:8" s="16" customFormat="1" ht="12" customHeight="1" x14ac:dyDescent="0.2">
      <c r="A427" s="32"/>
      <c r="B427" s="32"/>
      <c r="C427" s="78"/>
      <c r="D427" s="388" t="s">
        <v>142</v>
      </c>
      <c r="E427" s="377">
        <v>635743</v>
      </c>
      <c r="F427" s="365">
        <f>SUM(F428:F431)</f>
        <v>3000</v>
      </c>
      <c r="G427" s="365">
        <f>SUM(G428:G431)</f>
        <v>4484</v>
      </c>
      <c r="H427" s="364">
        <f t="shared" ref="H427:H446" si="80">SUM(E427+F427-G427)</f>
        <v>634259</v>
      </c>
    </row>
    <row r="428" spans="1:8" s="16" customFormat="1" ht="12" customHeight="1" x14ac:dyDescent="0.2">
      <c r="A428" s="32"/>
      <c r="B428" s="32"/>
      <c r="C428" s="25">
        <v>4040</v>
      </c>
      <c r="D428" s="41" t="s">
        <v>72</v>
      </c>
      <c r="E428" s="45">
        <v>35100</v>
      </c>
      <c r="F428" s="44"/>
      <c r="G428" s="44">
        <v>701</v>
      </c>
      <c r="H428" s="44">
        <f t="shared" si="80"/>
        <v>34399</v>
      </c>
    </row>
    <row r="429" spans="1:8" s="16" customFormat="1" ht="12" customHeight="1" x14ac:dyDescent="0.2">
      <c r="A429" s="32"/>
      <c r="B429" s="32"/>
      <c r="C429" s="25">
        <v>4270</v>
      </c>
      <c r="D429" s="41" t="s">
        <v>68</v>
      </c>
      <c r="E429" s="45">
        <v>1000</v>
      </c>
      <c r="F429" s="44">
        <v>3000</v>
      </c>
      <c r="G429" s="44"/>
      <c r="H429" s="44">
        <f t="shared" si="80"/>
        <v>4000</v>
      </c>
    </row>
    <row r="430" spans="1:8" s="16" customFormat="1" ht="12" customHeight="1" x14ac:dyDescent="0.2">
      <c r="A430" s="32"/>
      <c r="B430" s="32"/>
      <c r="C430" s="25">
        <v>4300</v>
      </c>
      <c r="D430" s="41" t="s">
        <v>16</v>
      </c>
      <c r="E430" s="45">
        <v>33000</v>
      </c>
      <c r="F430" s="44"/>
      <c r="G430" s="44">
        <v>3000</v>
      </c>
      <c r="H430" s="44">
        <f t="shared" si="80"/>
        <v>30000</v>
      </c>
    </row>
    <row r="431" spans="1:8" s="16" customFormat="1" ht="12" customHeight="1" x14ac:dyDescent="0.2">
      <c r="A431" s="32"/>
      <c r="B431" s="32"/>
      <c r="C431" s="25">
        <v>4440</v>
      </c>
      <c r="D431" s="41" t="s">
        <v>409</v>
      </c>
      <c r="E431" s="45">
        <v>13304</v>
      </c>
      <c r="F431" s="44"/>
      <c r="G431" s="44">
        <v>783</v>
      </c>
      <c r="H431" s="44">
        <f t="shared" si="80"/>
        <v>12521</v>
      </c>
    </row>
    <row r="432" spans="1:8" s="16" customFormat="1" ht="12" customHeight="1" x14ac:dyDescent="0.2">
      <c r="A432" s="32"/>
      <c r="B432" s="37">
        <v>85510</v>
      </c>
      <c r="C432" s="25"/>
      <c r="D432" s="38" t="s">
        <v>143</v>
      </c>
      <c r="E432" s="75">
        <v>37770189</v>
      </c>
      <c r="F432" s="39">
        <f>SUM(F433,F437,F441)</f>
        <v>41480</v>
      </c>
      <c r="G432" s="39">
        <f>SUM(G433,G437,G441)</f>
        <v>41480</v>
      </c>
      <c r="H432" s="39">
        <f t="shared" si="80"/>
        <v>37770189</v>
      </c>
    </row>
    <row r="433" spans="1:8" s="16" customFormat="1" ht="12" customHeight="1" x14ac:dyDescent="0.2">
      <c r="A433" s="32"/>
      <c r="B433" s="37"/>
      <c r="C433" s="26"/>
      <c r="D433" s="408" t="s">
        <v>144</v>
      </c>
      <c r="E433" s="364">
        <v>4181048</v>
      </c>
      <c r="F433" s="376">
        <f>SUM(F434:F436)</f>
        <v>15480</v>
      </c>
      <c r="G433" s="376">
        <f>SUM(G434:G436)</f>
        <v>15480</v>
      </c>
      <c r="H433" s="364">
        <f t="shared" si="80"/>
        <v>4181048</v>
      </c>
    </row>
    <row r="434" spans="1:8" s="16" customFormat="1" ht="12" customHeight="1" x14ac:dyDescent="0.2">
      <c r="A434" s="32"/>
      <c r="B434" s="37"/>
      <c r="C434" s="25">
        <v>4010</v>
      </c>
      <c r="D434" s="41" t="s">
        <v>106</v>
      </c>
      <c r="E434" s="45">
        <v>2394187</v>
      </c>
      <c r="F434" s="42">
        <v>4840</v>
      </c>
      <c r="G434" s="42"/>
      <c r="H434" s="42">
        <f t="shared" si="80"/>
        <v>2399027</v>
      </c>
    </row>
    <row r="435" spans="1:8" s="16" customFormat="1" ht="12" customHeight="1" x14ac:dyDescent="0.2">
      <c r="A435" s="32"/>
      <c r="B435" s="37"/>
      <c r="C435" s="25">
        <v>4040</v>
      </c>
      <c r="D435" s="41" t="s">
        <v>72</v>
      </c>
      <c r="E435" s="45">
        <v>188916</v>
      </c>
      <c r="F435" s="42"/>
      <c r="G435" s="42">
        <v>15480</v>
      </c>
      <c r="H435" s="42">
        <f t="shared" si="80"/>
        <v>173436</v>
      </c>
    </row>
    <row r="436" spans="1:8" s="16" customFormat="1" ht="12" customHeight="1" x14ac:dyDescent="0.2">
      <c r="A436" s="32"/>
      <c r="B436" s="37"/>
      <c r="C436" s="25">
        <v>4440</v>
      </c>
      <c r="D436" s="41" t="s">
        <v>409</v>
      </c>
      <c r="E436" s="45">
        <v>64994</v>
      </c>
      <c r="F436" s="42">
        <v>10640</v>
      </c>
      <c r="G436" s="42"/>
      <c r="H436" s="42">
        <f t="shared" si="80"/>
        <v>75634</v>
      </c>
    </row>
    <row r="437" spans="1:8" s="16" customFormat="1" ht="12" customHeight="1" x14ac:dyDescent="0.2">
      <c r="A437" s="32"/>
      <c r="B437" s="32"/>
      <c r="C437" s="26"/>
      <c r="D437" s="396" t="s">
        <v>145</v>
      </c>
      <c r="E437" s="364">
        <v>2558727</v>
      </c>
      <c r="F437" s="376">
        <f>SUM(F438:F440)</f>
        <v>19000</v>
      </c>
      <c r="G437" s="376">
        <f>SUM(G438:G440)</f>
        <v>19000</v>
      </c>
      <c r="H437" s="364">
        <f t="shared" si="80"/>
        <v>2558727</v>
      </c>
    </row>
    <row r="438" spans="1:8" s="16" customFormat="1" ht="12" customHeight="1" x14ac:dyDescent="0.2">
      <c r="A438" s="32"/>
      <c r="B438" s="32"/>
      <c r="C438" s="25">
        <v>4010</v>
      </c>
      <c r="D438" s="41" t="s">
        <v>106</v>
      </c>
      <c r="E438" s="45">
        <v>1479199</v>
      </c>
      <c r="F438" s="42">
        <v>10000</v>
      </c>
      <c r="G438" s="42"/>
      <c r="H438" s="42">
        <f t="shared" si="80"/>
        <v>1489199</v>
      </c>
    </row>
    <row r="439" spans="1:8" s="16" customFormat="1" ht="12" customHeight="1" x14ac:dyDescent="0.2">
      <c r="A439" s="32"/>
      <c r="B439" s="32"/>
      <c r="C439" s="25">
        <v>4170</v>
      </c>
      <c r="D439" s="41" t="s">
        <v>64</v>
      </c>
      <c r="E439" s="45">
        <v>32890</v>
      </c>
      <c r="F439" s="42">
        <v>9000</v>
      </c>
      <c r="G439" s="42"/>
      <c r="H439" s="42">
        <f t="shared" si="80"/>
        <v>41890</v>
      </c>
    </row>
    <row r="440" spans="1:8" s="16" customFormat="1" ht="12" customHeight="1" x14ac:dyDescent="0.2">
      <c r="A440" s="32"/>
      <c r="B440" s="32"/>
      <c r="C440" s="25">
        <v>4270</v>
      </c>
      <c r="D440" s="41" t="s">
        <v>68</v>
      </c>
      <c r="E440" s="45">
        <v>29754</v>
      </c>
      <c r="F440" s="42"/>
      <c r="G440" s="42">
        <v>19000</v>
      </c>
      <c r="H440" s="42">
        <f t="shared" si="80"/>
        <v>10754</v>
      </c>
    </row>
    <row r="441" spans="1:8" s="16" customFormat="1" ht="12" customHeight="1" x14ac:dyDescent="0.2">
      <c r="A441" s="32"/>
      <c r="B441" s="32"/>
      <c r="C441" s="26"/>
      <c r="D441" s="396" t="s">
        <v>146</v>
      </c>
      <c r="E441" s="364">
        <v>1861661</v>
      </c>
      <c r="F441" s="376">
        <f>SUM(F442:F445)</f>
        <v>7000</v>
      </c>
      <c r="G441" s="376">
        <f>SUM(G442:G445)</f>
        <v>7000</v>
      </c>
      <c r="H441" s="364">
        <f t="shared" si="80"/>
        <v>1861661</v>
      </c>
    </row>
    <row r="442" spans="1:8" s="16" customFormat="1" ht="12" customHeight="1" x14ac:dyDescent="0.2">
      <c r="A442" s="32"/>
      <c r="B442" s="32"/>
      <c r="C442" s="81" t="s">
        <v>65</v>
      </c>
      <c r="D442" s="62" t="s">
        <v>66</v>
      </c>
      <c r="E442" s="45">
        <v>31800</v>
      </c>
      <c r="F442" s="42">
        <v>3000</v>
      </c>
      <c r="G442" s="42"/>
      <c r="H442" s="42">
        <f t="shared" si="80"/>
        <v>34800</v>
      </c>
    </row>
    <row r="443" spans="1:8" s="16" customFormat="1" ht="12" customHeight="1" x14ac:dyDescent="0.2">
      <c r="A443" s="32"/>
      <c r="B443" s="32"/>
      <c r="C443" s="69">
        <v>4300</v>
      </c>
      <c r="D443" s="62" t="s">
        <v>16</v>
      </c>
      <c r="E443" s="45">
        <v>64400</v>
      </c>
      <c r="F443" s="42">
        <v>4000</v>
      </c>
      <c r="G443" s="42"/>
      <c r="H443" s="42">
        <f t="shared" si="80"/>
        <v>68400</v>
      </c>
    </row>
    <row r="444" spans="1:8" s="16" customFormat="1" ht="12.75" customHeight="1" x14ac:dyDescent="0.2">
      <c r="A444" s="32"/>
      <c r="B444" s="32"/>
      <c r="C444" s="59">
        <v>4520</v>
      </c>
      <c r="D444" s="106" t="s">
        <v>407</v>
      </c>
      <c r="E444" s="45">
        <v>8000</v>
      </c>
      <c r="F444" s="42"/>
      <c r="G444" s="42">
        <v>4000</v>
      </c>
      <c r="H444" s="42">
        <f t="shared" si="80"/>
        <v>4000</v>
      </c>
    </row>
    <row r="445" spans="1:8" s="16" customFormat="1" ht="12" customHeight="1" x14ac:dyDescent="0.2">
      <c r="A445" s="32"/>
      <c r="B445" s="32"/>
      <c r="C445" s="25">
        <v>4710</v>
      </c>
      <c r="D445" s="69" t="s">
        <v>67</v>
      </c>
      <c r="E445" s="45">
        <v>6640</v>
      </c>
      <c r="F445" s="42"/>
      <c r="G445" s="42">
        <v>3000</v>
      </c>
      <c r="H445" s="42">
        <f t="shared" si="80"/>
        <v>3640</v>
      </c>
    </row>
    <row r="446" spans="1:8" s="16" customFormat="1" ht="12" customHeight="1" x14ac:dyDescent="0.2">
      <c r="A446" s="32"/>
      <c r="B446" s="25">
        <v>85516</v>
      </c>
      <c r="C446" s="52"/>
      <c r="D446" s="101" t="s">
        <v>430</v>
      </c>
      <c r="E446" s="75">
        <v>6649590</v>
      </c>
      <c r="F446" s="40">
        <f>SUM(F447)</f>
        <v>11029</v>
      </c>
      <c r="G446" s="40">
        <f>SUM(G447)</f>
        <v>11029</v>
      </c>
      <c r="H446" s="39">
        <f t="shared" si="80"/>
        <v>6649590</v>
      </c>
    </row>
    <row r="447" spans="1:8" s="16" customFormat="1" ht="12" customHeight="1" x14ac:dyDescent="0.2">
      <c r="A447" s="32"/>
      <c r="B447" s="51"/>
      <c r="C447" s="52"/>
      <c r="D447" s="396" t="s">
        <v>431</v>
      </c>
      <c r="E447" s="364">
        <v>6648590</v>
      </c>
      <c r="F447" s="365">
        <f>SUM(F448:F451)</f>
        <v>11029</v>
      </c>
      <c r="G447" s="365">
        <f>SUM(G448:G451)</f>
        <v>11029</v>
      </c>
      <c r="H447" s="364">
        <f>SUM(E447+F447-G447)</f>
        <v>6648590</v>
      </c>
    </row>
    <row r="448" spans="1:8" s="16" customFormat="1" ht="12" customHeight="1" x14ac:dyDescent="0.2">
      <c r="A448" s="32"/>
      <c r="B448" s="37"/>
      <c r="C448" s="25">
        <v>4040</v>
      </c>
      <c r="D448" s="41" t="s">
        <v>72</v>
      </c>
      <c r="E448" s="45">
        <v>263963</v>
      </c>
      <c r="F448" s="44"/>
      <c r="G448" s="44">
        <v>4151</v>
      </c>
      <c r="H448" s="44">
        <f t="shared" ref="H448:H451" si="81">SUM(E448+F448-G448)</f>
        <v>259812</v>
      </c>
    </row>
    <row r="449" spans="1:8" s="16" customFormat="1" ht="12" customHeight="1" x14ac:dyDescent="0.2">
      <c r="A449" s="32"/>
      <c r="B449" s="37"/>
      <c r="C449" s="25">
        <v>4120</v>
      </c>
      <c r="D449" s="62" t="s">
        <v>119</v>
      </c>
      <c r="E449" s="45">
        <v>86435</v>
      </c>
      <c r="F449" s="44"/>
      <c r="G449" s="44">
        <v>3000</v>
      </c>
      <c r="H449" s="44">
        <f t="shared" si="81"/>
        <v>83435</v>
      </c>
    </row>
    <row r="450" spans="1:8" s="16" customFormat="1" ht="12" customHeight="1" x14ac:dyDescent="0.2">
      <c r="A450" s="32"/>
      <c r="B450" s="37"/>
      <c r="C450" s="25">
        <v>4440</v>
      </c>
      <c r="D450" s="41" t="s">
        <v>409</v>
      </c>
      <c r="E450" s="45">
        <v>149861</v>
      </c>
      <c r="F450" s="44">
        <v>11029</v>
      </c>
      <c r="G450" s="44"/>
      <c r="H450" s="44">
        <f t="shared" si="81"/>
        <v>160890</v>
      </c>
    </row>
    <row r="451" spans="1:8" s="16" customFormat="1" ht="12" customHeight="1" x14ac:dyDescent="0.2">
      <c r="A451" s="32"/>
      <c r="B451" s="37"/>
      <c r="C451" s="59">
        <v>4700</v>
      </c>
      <c r="D451" s="87" t="s">
        <v>69</v>
      </c>
      <c r="E451" s="45">
        <v>10800</v>
      </c>
      <c r="F451" s="44"/>
      <c r="G451" s="44">
        <v>3878</v>
      </c>
      <c r="H451" s="44">
        <f t="shared" si="81"/>
        <v>6922</v>
      </c>
    </row>
    <row r="452" spans="1:8" s="16" customFormat="1" ht="12" customHeight="1" x14ac:dyDescent="0.2">
      <c r="A452" s="32"/>
      <c r="B452" s="59">
        <v>85595</v>
      </c>
      <c r="C452" s="26"/>
      <c r="D452" s="98" t="s">
        <v>15</v>
      </c>
      <c r="E452" s="39">
        <v>542715.22</v>
      </c>
      <c r="F452" s="40">
        <f>SUM(F453)</f>
        <v>19309</v>
      </c>
      <c r="G452" s="40">
        <f>SUM(G453)</f>
        <v>0</v>
      </c>
      <c r="H452" s="39">
        <f>SUM(E452+F452-G452)</f>
        <v>562024.22</v>
      </c>
    </row>
    <row r="453" spans="1:8" s="16" customFormat="1" ht="24" customHeight="1" x14ac:dyDescent="0.2">
      <c r="A453" s="32"/>
      <c r="B453" s="37"/>
      <c r="C453" s="371"/>
      <c r="D453" s="367" t="s">
        <v>147</v>
      </c>
      <c r="E453" s="364">
        <v>140771</v>
      </c>
      <c r="F453" s="365">
        <f>SUM(F454:F456)</f>
        <v>19309</v>
      </c>
      <c r="G453" s="365">
        <f>SUM(G454:G456)</f>
        <v>0</v>
      </c>
      <c r="H453" s="364">
        <f t="shared" ref="H453:H491" si="82">SUM(E453+F453-G453)</f>
        <v>160080</v>
      </c>
    </row>
    <row r="454" spans="1:8" s="16" customFormat="1" ht="22.5" customHeight="1" x14ac:dyDescent="0.2">
      <c r="A454" s="32"/>
      <c r="B454" s="37"/>
      <c r="C454" s="59">
        <v>3290</v>
      </c>
      <c r="D454" s="70" t="s">
        <v>126</v>
      </c>
      <c r="E454" s="43">
        <v>137462</v>
      </c>
      <c r="F454" s="43">
        <v>19037</v>
      </c>
      <c r="G454" s="44"/>
      <c r="H454" s="43">
        <f t="shared" si="82"/>
        <v>156499</v>
      </c>
    </row>
    <row r="455" spans="1:8" s="16" customFormat="1" ht="22.5" customHeight="1" x14ac:dyDescent="0.2">
      <c r="A455" s="32"/>
      <c r="B455" s="37"/>
      <c r="C455" s="59">
        <v>4740</v>
      </c>
      <c r="D455" s="70" t="s">
        <v>148</v>
      </c>
      <c r="E455" s="42">
        <v>2759</v>
      </c>
      <c r="F455" s="45">
        <v>227</v>
      </c>
      <c r="G455" s="42"/>
      <c r="H455" s="43">
        <f t="shared" si="82"/>
        <v>2986</v>
      </c>
    </row>
    <row r="456" spans="1:8" s="16" customFormat="1" ht="21.75" customHeight="1" x14ac:dyDescent="0.2">
      <c r="A456" s="32"/>
      <c r="B456" s="37"/>
      <c r="C456" s="59">
        <v>4850</v>
      </c>
      <c r="D456" s="70" t="s">
        <v>90</v>
      </c>
      <c r="E456" s="42">
        <v>550</v>
      </c>
      <c r="F456" s="45">
        <v>45</v>
      </c>
      <c r="G456" s="42"/>
      <c r="H456" s="43">
        <f t="shared" si="82"/>
        <v>595</v>
      </c>
    </row>
    <row r="457" spans="1:8" s="16" customFormat="1" ht="12" customHeight="1" thickBot="1" x14ac:dyDescent="0.25">
      <c r="A457" s="31">
        <v>900</v>
      </c>
      <c r="B457" s="32"/>
      <c r="C457" s="33"/>
      <c r="D457" s="34" t="s">
        <v>432</v>
      </c>
      <c r="E457" s="30">
        <v>81052476.190000013</v>
      </c>
      <c r="F457" s="35">
        <f>SUM(F458,F462,F472,F475)</f>
        <v>66800</v>
      </c>
      <c r="G457" s="35">
        <f>SUM(G458,G462,G472,G475)</f>
        <v>66800</v>
      </c>
      <c r="H457" s="30">
        <f t="shared" si="82"/>
        <v>81052476.190000013</v>
      </c>
    </row>
    <row r="458" spans="1:8" s="16" customFormat="1" ht="12" customHeight="1" thickTop="1" x14ac:dyDescent="0.2">
      <c r="A458" s="31"/>
      <c r="B458" s="109">
        <v>90003</v>
      </c>
      <c r="C458" s="90"/>
      <c r="D458" s="97" t="s">
        <v>433</v>
      </c>
      <c r="E458" s="39">
        <v>1135800</v>
      </c>
      <c r="F458" s="39">
        <f>SUM(F459)</f>
        <v>5000</v>
      </c>
      <c r="G458" s="39">
        <f>SUM(G459)</f>
        <v>5000</v>
      </c>
      <c r="H458" s="39">
        <f t="shared" ref="H458" si="83">SUM(E458+F458-G458)</f>
        <v>1135800</v>
      </c>
    </row>
    <row r="459" spans="1:8" s="16" customFormat="1" ht="12" customHeight="1" x14ac:dyDescent="0.2">
      <c r="A459" s="31"/>
      <c r="B459" s="37"/>
      <c r="C459" s="409"/>
      <c r="D459" s="375" t="s">
        <v>434</v>
      </c>
      <c r="E459" s="398">
        <v>1115800</v>
      </c>
      <c r="F459" s="365">
        <f>SUM(F460:F461)</f>
        <v>5000</v>
      </c>
      <c r="G459" s="365">
        <f>SUM(G460:G461)</f>
        <v>5000</v>
      </c>
      <c r="H459" s="364">
        <f>SUM(E459+F459-G459)</f>
        <v>1115800</v>
      </c>
    </row>
    <row r="460" spans="1:8" s="16" customFormat="1" ht="12" customHeight="1" x14ac:dyDescent="0.2">
      <c r="A460" s="31"/>
      <c r="B460" s="37"/>
      <c r="C460" s="25">
        <v>4270</v>
      </c>
      <c r="D460" s="41" t="s">
        <v>68</v>
      </c>
      <c r="E460" s="45">
        <v>20000</v>
      </c>
      <c r="F460" s="42">
        <v>5000</v>
      </c>
      <c r="G460" s="42"/>
      <c r="H460" s="45">
        <f t="shared" ref="H460:H461" si="84">SUM(E460+F460-G460)</f>
        <v>25000</v>
      </c>
    </row>
    <row r="461" spans="1:8" s="16" customFormat="1" ht="12" customHeight="1" x14ac:dyDescent="0.2">
      <c r="A461" s="31"/>
      <c r="B461" s="37"/>
      <c r="C461" s="25">
        <v>4300</v>
      </c>
      <c r="D461" s="41" t="s">
        <v>16</v>
      </c>
      <c r="E461" s="45">
        <v>325000</v>
      </c>
      <c r="F461" s="42"/>
      <c r="G461" s="42">
        <v>5000</v>
      </c>
      <c r="H461" s="45">
        <f t="shared" si="84"/>
        <v>320000</v>
      </c>
    </row>
    <row r="462" spans="1:8" s="16" customFormat="1" ht="12" customHeight="1" x14ac:dyDescent="0.2">
      <c r="A462" s="31"/>
      <c r="B462" s="37">
        <v>90004</v>
      </c>
      <c r="C462" s="33"/>
      <c r="D462" s="38" t="s">
        <v>435</v>
      </c>
      <c r="E462" s="39">
        <v>535800</v>
      </c>
      <c r="F462" s="39">
        <f>SUM(F464,F467)</f>
        <v>1800</v>
      </c>
      <c r="G462" s="39">
        <f>SUM(G464,G467)</f>
        <v>16800</v>
      </c>
      <c r="H462" s="39">
        <f>SUM(E462+F462-G462)</f>
        <v>520800</v>
      </c>
    </row>
    <row r="463" spans="1:8" s="16" customFormat="1" ht="12" customHeight="1" x14ac:dyDescent="0.2">
      <c r="A463" s="31"/>
      <c r="B463" s="37"/>
      <c r="C463" s="33"/>
      <c r="D463" s="387" t="s">
        <v>402</v>
      </c>
      <c r="E463" s="43"/>
      <c r="F463" s="44"/>
      <c r="G463" s="44"/>
      <c r="H463" s="43"/>
    </row>
    <row r="464" spans="1:8" s="16" customFormat="1" ht="12" customHeight="1" x14ac:dyDescent="0.2">
      <c r="A464" s="31"/>
      <c r="B464" s="37"/>
      <c r="C464" s="25"/>
      <c r="D464" s="388" t="s">
        <v>436</v>
      </c>
      <c r="E464" s="377">
        <v>180000</v>
      </c>
      <c r="F464" s="365">
        <f>SUM(F465:F466)</f>
        <v>0</v>
      </c>
      <c r="G464" s="365">
        <f>SUM(G465:G466)</f>
        <v>15000</v>
      </c>
      <c r="H464" s="364">
        <f t="shared" ref="H464:H466" si="85">SUM(E464+F464-G464)</f>
        <v>165000</v>
      </c>
    </row>
    <row r="465" spans="1:8" s="16" customFormat="1" ht="12" customHeight="1" x14ac:dyDescent="0.2">
      <c r="A465" s="31"/>
      <c r="B465" s="37"/>
      <c r="C465" s="81" t="s">
        <v>65</v>
      </c>
      <c r="D465" s="62" t="s">
        <v>66</v>
      </c>
      <c r="E465" s="45">
        <v>30000</v>
      </c>
      <c r="F465" s="42"/>
      <c r="G465" s="42">
        <v>10000</v>
      </c>
      <c r="H465" s="42">
        <f t="shared" si="85"/>
        <v>20000</v>
      </c>
    </row>
    <row r="466" spans="1:8" s="16" customFormat="1" ht="12" customHeight="1" x14ac:dyDescent="0.2">
      <c r="A466" s="71"/>
      <c r="B466" s="88"/>
      <c r="C466" s="89">
        <v>4300</v>
      </c>
      <c r="D466" s="38" t="s">
        <v>16</v>
      </c>
      <c r="E466" s="75">
        <v>20000</v>
      </c>
      <c r="F466" s="65"/>
      <c r="G466" s="65">
        <v>5000</v>
      </c>
      <c r="H466" s="65">
        <f t="shared" si="85"/>
        <v>15000</v>
      </c>
    </row>
    <row r="467" spans="1:8" s="16" customFormat="1" ht="12" customHeight="1" x14ac:dyDescent="0.2">
      <c r="A467" s="31"/>
      <c r="B467" s="37"/>
      <c r="C467" s="409"/>
      <c r="D467" s="375" t="s">
        <v>434</v>
      </c>
      <c r="E467" s="364">
        <v>355800</v>
      </c>
      <c r="F467" s="365">
        <f>SUM(F468:F471)</f>
        <v>1800</v>
      </c>
      <c r="G467" s="365">
        <f>SUM(G468:G471)</f>
        <v>1800</v>
      </c>
      <c r="H467" s="364">
        <f>SUM(E467+F467-G467)</f>
        <v>355800</v>
      </c>
    </row>
    <row r="468" spans="1:8" s="16" customFormat="1" ht="12" customHeight="1" x14ac:dyDescent="0.2">
      <c r="A468" s="31"/>
      <c r="B468" s="37"/>
      <c r="C468" s="81" t="s">
        <v>65</v>
      </c>
      <c r="D468" s="62" t="s">
        <v>66</v>
      </c>
      <c r="E468" s="45">
        <v>265000</v>
      </c>
      <c r="F468" s="42"/>
      <c r="G468" s="42">
        <v>1000</v>
      </c>
      <c r="H468" s="45">
        <f t="shared" ref="H468:H472" si="86">SUM(E468+F468-G468)</f>
        <v>264000</v>
      </c>
    </row>
    <row r="469" spans="1:8" s="16" customFormat="1" ht="12" customHeight="1" x14ac:dyDescent="0.2">
      <c r="A469" s="31"/>
      <c r="B469" s="37"/>
      <c r="C469" s="25">
        <v>4300</v>
      </c>
      <c r="D469" s="41" t="s">
        <v>16</v>
      </c>
      <c r="E469" s="45">
        <v>40000</v>
      </c>
      <c r="F469" s="42">
        <v>1800</v>
      </c>
      <c r="G469" s="42"/>
      <c r="H469" s="45">
        <f t="shared" si="86"/>
        <v>41800</v>
      </c>
    </row>
    <row r="470" spans="1:8" s="16" customFormat="1" ht="22.5" customHeight="1" x14ac:dyDescent="0.2">
      <c r="A470" s="31"/>
      <c r="B470" s="37"/>
      <c r="C470" s="59">
        <v>4390</v>
      </c>
      <c r="D470" s="70" t="s">
        <v>171</v>
      </c>
      <c r="E470" s="45">
        <v>500</v>
      </c>
      <c r="F470" s="42"/>
      <c r="G470" s="42">
        <v>500</v>
      </c>
      <c r="H470" s="45">
        <f t="shared" si="86"/>
        <v>0</v>
      </c>
    </row>
    <row r="471" spans="1:8" s="16" customFormat="1" ht="12" customHeight="1" x14ac:dyDescent="0.2">
      <c r="A471" s="31"/>
      <c r="B471" s="37"/>
      <c r="C471" s="25">
        <v>4430</v>
      </c>
      <c r="D471" s="41" t="s">
        <v>408</v>
      </c>
      <c r="E471" s="45">
        <v>4300</v>
      </c>
      <c r="F471" s="42"/>
      <c r="G471" s="42">
        <v>300</v>
      </c>
      <c r="H471" s="45">
        <f t="shared" si="86"/>
        <v>4000</v>
      </c>
    </row>
    <row r="472" spans="1:8" s="16" customFormat="1" ht="12" customHeight="1" x14ac:dyDescent="0.2">
      <c r="A472" s="31"/>
      <c r="B472" s="25">
        <v>90013</v>
      </c>
      <c r="C472" s="33"/>
      <c r="D472" s="38" t="s">
        <v>437</v>
      </c>
      <c r="E472" s="75">
        <v>1728544.5</v>
      </c>
      <c r="F472" s="65">
        <f>SUM(F473)</f>
        <v>15000</v>
      </c>
      <c r="G472" s="65">
        <f>SUM(G473)</f>
        <v>0</v>
      </c>
      <c r="H472" s="39">
        <f t="shared" si="86"/>
        <v>1743544.5</v>
      </c>
    </row>
    <row r="473" spans="1:8" s="16" customFormat="1" ht="12" customHeight="1" x14ac:dyDescent="0.2">
      <c r="A473" s="31"/>
      <c r="B473" s="25"/>
      <c r="C473" s="25"/>
      <c r="D473" s="410" t="s">
        <v>438</v>
      </c>
      <c r="E473" s="398">
        <v>1728544.5</v>
      </c>
      <c r="F473" s="395">
        <f>SUM(F474:F474)</f>
        <v>15000</v>
      </c>
      <c r="G473" s="395">
        <f>SUM(G474:G474)</f>
        <v>0</v>
      </c>
      <c r="H473" s="364">
        <f>SUM(E473+F473-G473)</f>
        <v>1743544.5</v>
      </c>
    </row>
    <row r="474" spans="1:8" s="16" customFormat="1" ht="12" customHeight="1" x14ac:dyDescent="0.2">
      <c r="A474" s="31"/>
      <c r="B474" s="37"/>
      <c r="C474" s="81" t="s">
        <v>65</v>
      </c>
      <c r="D474" s="62" t="s">
        <v>66</v>
      </c>
      <c r="E474" s="45">
        <v>100700</v>
      </c>
      <c r="F474" s="42">
        <v>15000</v>
      </c>
      <c r="G474" s="42"/>
      <c r="H474" s="45">
        <f t="shared" ref="H474" si="87">SUM(E474+F474-G474)</f>
        <v>115700</v>
      </c>
    </row>
    <row r="475" spans="1:8" s="16" customFormat="1" ht="12" customHeight="1" x14ac:dyDescent="0.2">
      <c r="A475" s="32"/>
      <c r="B475" s="37">
        <v>90095</v>
      </c>
      <c r="C475" s="33"/>
      <c r="D475" s="98" t="s">
        <v>15</v>
      </c>
      <c r="E475" s="39">
        <v>29286248.160000004</v>
      </c>
      <c r="F475" s="39">
        <f>SUM(F476,F479)</f>
        <v>45000</v>
      </c>
      <c r="G475" s="39">
        <f>SUM(G476,G479)</f>
        <v>45000</v>
      </c>
      <c r="H475" s="39">
        <f t="shared" si="82"/>
        <v>29286248.160000004</v>
      </c>
    </row>
    <row r="476" spans="1:8" s="16" customFormat="1" ht="12" customHeight="1" x14ac:dyDescent="0.2">
      <c r="A476" s="32"/>
      <c r="B476" s="37"/>
      <c r="C476" s="409"/>
      <c r="D476" s="375" t="s">
        <v>434</v>
      </c>
      <c r="E476" s="398">
        <v>8159890</v>
      </c>
      <c r="F476" s="365">
        <f>SUM(F477:F478)</f>
        <v>0</v>
      </c>
      <c r="G476" s="365">
        <f>SUM(G477:G478)</f>
        <v>35000</v>
      </c>
      <c r="H476" s="364">
        <f>SUM(E476+F476-G476)</f>
        <v>8124890</v>
      </c>
    </row>
    <row r="477" spans="1:8" s="16" customFormat="1" ht="12" customHeight="1" x14ac:dyDescent="0.2">
      <c r="A477" s="32"/>
      <c r="B477" s="37"/>
      <c r="C477" s="25">
        <v>4260</v>
      </c>
      <c r="D477" s="41" t="s">
        <v>77</v>
      </c>
      <c r="E477" s="45">
        <v>140000</v>
      </c>
      <c r="F477" s="42"/>
      <c r="G477" s="42">
        <v>25000</v>
      </c>
      <c r="H477" s="45">
        <f t="shared" ref="H477:H482" si="88">SUM(E477+F477-G477)</f>
        <v>115000</v>
      </c>
    </row>
    <row r="478" spans="1:8" s="16" customFormat="1" ht="12" customHeight="1" x14ac:dyDescent="0.2">
      <c r="A478" s="32"/>
      <c r="B478" s="37"/>
      <c r="C478" s="25">
        <v>4300</v>
      </c>
      <c r="D478" s="41" t="s">
        <v>16</v>
      </c>
      <c r="E478" s="45">
        <v>145320</v>
      </c>
      <c r="F478" s="42"/>
      <c r="G478" s="42">
        <v>10000</v>
      </c>
      <c r="H478" s="45">
        <f t="shared" si="88"/>
        <v>135320</v>
      </c>
    </row>
    <row r="479" spans="1:8" s="16" customFormat="1" ht="34.5" customHeight="1" x14ac:dyDescent="0.2">
      <c r="A479" s="32"/>
      <c r="B479" s="37"/>
      <c r="C479" s="405"/>
      <c r="D479" s="367" t="s">
        <v>439</v>
      </c>
      <c r="E479" s="364">
        <v>309180</v>
      </c>
      <c r="F479" s="364">
        <f>SUM(F480:F482)</f>
        <v>45000</v>
      </c>
      <c r="G479" s="364">
        <f>SUM(G480:G482)</f>
        <v>10000</v>
      </c>
      <c r="H479" s="364">
        <f t="shared" si="88"/>
        <v>344180</v>
      </c>
    </row>
    <row r="480" spans="1:8" s="16" customFormat="1" ht="12" customHeight="1" x14ac:dyDescent="0.2">
      <c r="A480" s="32"/>
      <c r="B480" s="37"/>
      <c r="C480" s="25">
        <v>4260</v>
      </c>
      <c r="D480" s="41" t="s">
        <v>77</v>
      </c>
      <c r="E480" s="42">
        <v>150000</v>
      </c>
      <c r="F480" s="45">
        <v>35000</v>
      </c>
      <c r="G480" s="45"/>
      <c r="H480" s="42">
        <f t="shared" si="88"/>
        <v>185000</v>
      </c>
    </row>
    <row r="481" spans="1:8" s="16" customFormat="1" ht="12" customHeight="1" x14ac:dyDescent="0.2">
      <c r="A481" s="32"/>
      <c r="B481" s="37"/>
      <c r="C481" s="25">
        <v>4270</v>
      </c>
      <c r="D481" s="41" t="s">
        <v>68</v>
      </c>
      <c r="E481" s="42">
        <v>90000</v>
      </c>
      <c r="F481" s="45"/>
      <c r="G481" s="45">
        <v>10000</v>
      </c>
      <c r="H481" s="42">
        <f t="shared" si="88"/>
        <v>80000</v>
      </c>
    </row>
    <row r="482" spans="1:8" s="16" customFormat="1" ht="12" customHeight="1" x14ac:dyDescent="0.2">
      <c r="A482" s="32"/>
      <c r="B482" s="37"/>
      <c r="C482" s="25">
        <v>4300</v>
      </c>
      <c r="D482" s="41" t="s">
        <v>16</v>
      </c>
      <c r="E482" s="45">
        <v>40000</v>
      </c>
      <c r="F482" s="45">
        <v>10000</v>
      </c>
      <c r="G482" s="45"/>
      <c r="H482" s="45">
        <f t="shared" si="88"/>
        <v>50000</v>
      </c>
    </row>
    <row r="483" spans="1:8" s="16" customFormat="1" ht="11.25" customHeight="1" thickBot="1" x14ac:dyDescent="0.25">
      <c r="A483" s="31">
        <v>921</v>
      </c>
      <c r="B483" s="31"/>
      <c r="C483" s="33"/>
      <c r="D483" s="34" t="s">
        <v>149</v>
      </c>
      <c r="E483" s="30">
        <v>14667115.369999999</v>
      </c>
      <c r="F483" s="35">
        <f>SUM(F484)</f>
        <v>20000</v>
      </c>
      <c r="G483" s="35">
        <f>SUM(G484)</f>
        <v>0</v>
      </c>
      <c r="H483" s="30">
        <f t="shared" si="82"/>
        <v>14687115.369999999</v>
      </c>
    </row>
    <row r="484" spans="1:8" s="16" customFormat="1" ht="11.25" customHeight="1" thickTop="1" x14ac:dyDescent="0.2">
      <c r="A484" s="32"/>
      <c r="B484" s="78">
        <v>92195</v>
      </c>
      <c r="C484" s="79"/>
      <c r="D484" s="98" t="s">
        <v>15</v>
      </c>
      <c r="E484" s="39">
        <v>823194.26</v>
      </c>
      <c r="F484" s="39">
        <f>SUM(F485)</f>
        <v>20000</v>
      </c>
      <c r="G484" s="39">
        <f>SUM(G485)</f>
        <v>0</v>
      </c>
      <c r="H484" s="39">
        <f t="shared" si="82"/>
        <v>843194.26</v>
      </c>
    </row>
    <row r="485" spans="1:8" s="16" customFormat="1" ht="11.25" customHeight="1" x14ac:dyDescent="0.2">
      <c r="A485" s="32"/>
      <c r="B485" s="102"/>
      <c r="C485" s="78"/>
      <c r="D485" s="384" t="s">
        <v>71</v>
      </c>
      <c r="E485" s="364">
        <v>0</v>
      </c>
      <c r="F485" s="376">
        <f>SUM(F486:F486)</f>
        <v>20000</v>
      </c>
      <c r="G485" s="376">
        <f>SUM(G486:G486)</f>
        <v>0</v>
      </c>
      <c r="H485" s="377">
        <f t="shared" si="82"/>
        <v>20000</v>
      </c>
    </row>
    <row r="486" spans="1:8" s="16" customFormat="1" ht="12" customHeight="1" x14ac:dyDescent="0.2">
      <c r="A486" s="32"/>
      <c r="B486" s="102"/>
      <c r="C486" s="25">
        <v>4240</v>
      </c>
      <c r="D486" s="41" t="s">
        <v>76</v>
      </c>
      <c r="E486" s="45">
        <v>0</v>
      </c>
      <c r="F486" s="42">
        <v>20000</v>
      </c>
      <c r="G486" s="42"/>
      <c r="H486" s="44">
        <f t="shared" si="82"/>
        <v>20000</v>
      </c>
    </row>
    <row r="487" spans="1:8" s="16" customFormat="1" ht="11.25" customHeight="1" thickBot="1" x14ac:dyDescent="0.25">
      <c r="A487" s="31">
        <v>926</v>
      </c>
      <c r="B487" s="31"/>
      <c r="C487" s="33"/>
      <c r="D487" s="34" t="s">
        <v>150</v>
      </c>
      <c r="E487" s="30">
        <v>29056228</v>
      </c>
      <c r="F487" s="30">
        <f>SUM(F488)</f>
        <v>2300</v>
      </c>
      <c r="G487" s="30">
        <f>SUM(G488)</f>
        <v>2300</v>
      </c>
      <c r="H487" s="30">
        <f t="shared" si="82"/>
        <v>29056228</v>
      </c>
    </row>
    <row r="488" spans="1:8" s="16" customFormat="1" ht="11.25" customHeight="1" thickTop="1" x14ac:dyDescent="0.2">
      <c r="A488" s="31"/>
      <c r="B488" s="25">
        <v>92601</v>
      </c>
      <c r="C488" s="51"/>
      <c r="D488" s="38" t="s">
        <v>151</v>
      </c>
      <c r="E488" s="39">
        <v>8998293</v>
      </c>
      <c r="F488" s="39">
        <f>SUM(F489)</f>
        <v>2300</v>
      </c>
      <c r="G488" s="39">
        <f>SUM(G489)</f>
        <v>2300</v>
      </c>
      <c r="H488" s="39">
        <f t="shared" si="82"/>
        <v>8998293</v>
      </c>
    </row>
    <row r="489" spans="1:8" s="16" customFormat="1" ht="11.25" customHeight="1" x14ac:dyDescent="0.2">
      <c r="A489" s="31"/>
      <c r="B489" s="32"/>
      <c r="C489" s="33"/>
      <c r="D489" s="384" t="s">
        <v>71</v>
      </c>
      <c r="E489" s="377">
        <v>464893</v>
      </c>
      <c r="F489" s="377">
        <f>SUM(F490:F491)</f>
        <v>2300</v>
      </c>
      <c r="G489" s="377">
        <f>SUM(G490:G491)</f>
        <v>2300</v>
      </c>
      <c r="H489" s="377">
        <f t="shared" si="82"/>
        <v>464893</v>
      </c>
    </row>
    <row r="490" spans="1:8" s="16" customFormat="1" ht="11.25" customHeight="1" x14ac:dyDescent="0.2">
      <c r="A490" s="31"/>
      <c r="B490" s="32"/>
      <c r="C490" s="25">
        <v>4110</v>
      </c>
      <c r="D490" s="41" t="s">
        <v>73</v>
      </c>
      <c r="E490" s="45">
        <v>23070</v>
      </c>
      <c r="F490" s="45"/>
      <c r="G490" s="45">
        <v>2300</v>
      </c>
      <c r="H490" s="42">
        <f t="shared" si="82"/>
        <v>20770</v>
      </c>
    </row>
    <row r="491" spans="1:8" s="16" customFormat="1" ht="11.25" customHeight="1" x14ac:dyDescent="0.2">
      <c r="A491" s="31"/>
      <c r="B491" s="37"/>
      <c r="C491" s="59">
        <v>4170</v>
      </c>
      <c r="D491" s="103" t="s">
        <v>64</v>
      </c>
      <c r="E491" s="104">
        <v>146403</v>
      </c>
      <c r="F491" s="42">
        <v>2300</v>
      </c>
      <c r="G491" s="42"/>
      <c r="H491" s="42">
        <f t="shared" si="82"/>
        <v>148703</v>
      </c>
    </row>
    <row r="492" spans="1:8" s="16" customFormat="1" ht="24.75" customHeight="1" thickBot="1" x14ac:dyDescent="0.25">
      <c r="A492" s="105"/>
      <c r="B492" s="37"/>
      <c r="C492" s="25"/>
      <c r="D492" s="29" t="s">
        <v>153</v>
      </c>
      <c r="E492" s="30">
        <v>44718348.770000003</v>
      </c>
      <c r="F492" s="30">
        <f>SUM(F493,F499,F512,F521,F530,F535,F541)</f>
        <v>3148314.1</v>
      </c>
      <c r="G492" s="30">
        <f>SUM(G493,G499,G512,G521,G530,G535,G541)</f>
        <v>46951.7</v>
      </c>
      <c r="H492" s="30">
        <f t="shared" ref="H492:H494" si="89">SUM(E492+F492-G492)</f>
        <v>47819711.170000002</v>
      </c>
    </row>
    <row r="493" spans="1:8" s="16" customFormat="1" ht="20.25" customHeight="1" thickTop="1" thickBot="1" x14ac:dyDescent="0.25">
      <c r="A493" s="32">
        <v>750</v>
      </c>
      <c r="B493" s="32"/>
      <c r="C493" s="33"/>
      <c r="D493" s="34" t="s">
        <v>14</v>
      </c>
      <c r="E493" s="30">
        <v>1908271.34</v>
      </c>
      <c r="F493" s="30">
        <f>SUM(F494)</f>
        <v>479.07</v>
      </c>
      <c r="G493" s="30">
        <f>SUM(G494)</f>
        <v>0</v>
      </c>
      <c r="H493" s="30">
        <f t="shared" si="89"/>
        <v>1908750.4100000001</v>
      </c>
    </row>
    <row r="494" spans="1:8" s="16" customFormat="1" ht="12" customHeight="1" thickTop="1" x14ac:dyDescent="0.2">
      <c r="A494" s="32"/>
      <c r="B494" s="25">
        <v>75011</v>
      </c>
      <c r="C494" s="51"/>
      <c r="D494" s="61" t="s">
        <v>33</v>
      </c>
      <c r="E494" s="75">
        <v>1908271.34</v>
      </c>
      <c r="F494" s="40">
        <f>SUM(F495)</f>
        <v>479.07</v>
      </c>
      <c r="G494" s="40">
        <f>SUM(G495)</f>
        <v>0</v>
      </c>
      <c r="H494" s="39">
        <f t="shared" si="89"/>
        <v>1908750.4100000001</v>
      </c>
    </row>
    <row r="495" spans="1:8" s="16" customFormat="1" ht="57" customHeight="1" x14ac:dyDescent="0.2">
      <c r="A495" s="32"/>
      <c r="B495" s="25"/>
      <c r="C495" s="26"/>
      <c r="D495" s="411" t="s">
        <v>154</v>
      </c>
      <c r="E495" s="364">
        <v>1471.34</v>
      </c>
      <c r="F495" s="376">
        <f>SUM(F496:F497)</f>
        <v>479.07</v>
      </c>
      <c r="G495" s="376">
        <f>SUM(G496:G497)</f>
        <v>0</v>
      </c>
      <c r="H495" s="377">
        <f t="shared" ref="H495:H497" si="90">SUM(E495+F495-G495)</f>
        <v>1950.4099999999999</v>
      </c>
    </row>
    <row r="496" spans="1:8" s="16" customFormat="1" ht="21.75" customHeight="1" x14ac:dyDescent="0.2">
      <c r="A496" s="32"/>
      <c r="B496" s="25"/>
      <c r="C496" s="59">
        <v>4740</v>
      </c>
      <c r="D496" s="70" t="s">
        <v>148</v>
      </c>
      <c r="E496" s="42">
        <v>1229.8</v>
      </c>
      <c r="F496" s="45">
        <f>70.76+91.17+238.5</f>
        <v>400.43</v>
      </c>
      <c r="G496" s="45"/>
      <c r="H496" s="44">
        <f t="shared" si="90"/>
        <v>1630.23</v>
      </c>
    </row>
    <row r="497" spans="1:8" s="16" customFormat="1" ht="21.75" customHeight="1" x14ac:dyDescent="0.2">
      <c r="A497" s="32"/>
      <c r="B497" s="25"/>
      <c r="C497" s="59">
        <v>4850</v>
      </c>
      <c r="D497" s="70" t="s">
        <v>90</v>
      </c>
      <c r="E497" s="42">
        <v>241.54</v>
      </c>
      <c r="F497" s="45">
        <f>13.9+17.9+46.84</f>
        <v>78.64</v>
      </c>
      <c r="G497" s="45"/>
      <c r="H497" s="44">
        <f t="shared" si="90"/>
        <v>320.18</v>
      </c>
    </row>
    <row r="498" spans="1:8" s="16" customFormat="1" ht="12" customHeight="1" x14ac:dyDescent="0.2">
      <c r="A498" s="379">
        <v>751</v>
      </c>
      <c r="B498" s="379"/>
      <c r="C498" s="380"/>
      <c r="D498" s="381" t="s">
        <v>396</v>
      </c>
      <c r="E498" s="43"/>
      <c r="F498" s="43"/>
      <c r="G498" s="44"/>
      <c r="H498" s="43"/>
    </row>
    <row r="499" spans="1:8" s="16" customFormat="1" ht="12" customHeight="1" thickBot="1" x14ac:dyDescent="0.25">
      <c r="A499" s="379"/>
      <c r="B499" s="379"/>
      <c r="C499" s="380"/>
      <c r="D499" s="381" t="s">
        <v>397</v>
      </c>
      <c r="E499" s="30">
        <v>15950</v>
      </c>
      <c r="F499" s="35">
        <f>SUM(F500)</f>
        <v>207953</v>
      </c>
      <c r="G499" s="35">
        <f>SUM(G500)</f>
        <v>0</v>
      </c>
      <c r="H499" s="35">
        <f>SUM(E499+F499-G499)</f>
        <v>223903</v>
      </c>
    </row>
    <row r="500" spans="1:8" s="16" customFormat="1" ht="12" customHeight="1" thickTop="1" x14ac:dyDescent="0.2">
      <c r="A500" s="379"/>
      <c r="B500" s="69">
        <v>75108</v>
      </c>
      <c r="C500" s="81"/>
      <c r="D500" s="58" t="s">
        <v>398</v>
      </c>
      <c r="E500" s="39">
        <v>0</v>
      </c>
      <c r="F500" s="40">
        <f t="shared" ref="F500:G500" si="91">SUM(F501)</f>
        <v>207953</v>
      </c>
      <c r="G500" s="40">
        <f t="shared" si="91"/>
        <v>0</v>
      </c>
      <c r="H500" s="39">
        <f t="shared" ref="H500:H510" si="92">SUM(E500+F500-G500)</f>
        <v>207953</v>
      </c>
    </row>
    <row r="501" spans="1:8" s="16" customFormat="1" ht="12" customHeight="1" x14ac:dyDescent="0.2">
      <c r="A501" s="49"/>
      <c r="B501" s="37"/>
      <c r="C501" s="81"/>
      <c r="D501" s="412" t="s">
        <v>440</v>
      </c>
      <c r="E501" s="364">
        <v>0</v>
      </c>
      <c r="F501" s="365">
        <f>SUM(F502:F510)</f>
        <v>207953</v>
      </c>
      <c r="G501" s="365">
        <f>SUM(G502:G510)</f>
        <v>0</v>
      </c>
      <c r="H501" s="364">
        <f t="shared" si="92"/>
        <v>207953</v>
      </c>
    </row>
    <row r="502" spans="1:8" s="16" customFormat="1" ht="12" customHeight="1" x14ac:dyDescent="0.2">
      <c r="A502" s="49"/>
      <c r="B502" s="32"/>
      <c r="C502" s="78">
        <v>3030</v>
      </c>
      <c r="D502" s="62" t="s">
        <v>441</v>
      </c>
      <c r="E502" s="42">
        <v>0</v>
      </c>
      <c r="F502" s="43">
        <v>3400</v>
      </c>
      <c r="G502" s="43"/>
      <c r="H502" s="42">
        <f t="shared" si="92"/>
        <v>3400</v>
      </c>
    </row>
    <row r="503" spans="1:8" s="16" customFormat="1" ht="12" customHeight="1" x14ac:dyDescent="0.2">
      <c r="A503" s="32"/>
      <c r="B503" s="25"/>
      <c r="C503" s="78">
        <v>4010</v>
      </c>
      <c r="D503" s="62" t="s">
        <v>106</v>
      </c>
      <c r="E503" s="42">
        <v>0</v>
      </c>
      <c r="F503" s="45">
        <v>86850</v>
      </c>
      <c r="G503" s="45"/>
      <c r="H503" s="42">
        <f t="shared" si="92"/>
        <v>86850</v>
      </c>
    </row>
    <row r="504" spans="1:8" s="16" customFormat="1" ht="12" customHeight="1" x14ac:dyDescent="0.2">
      <c r="A504" s="32"/>
      <c r="B504" s="25"/>
      <c r="C504" s="78">
        <v>4110</v>
      </c>
      <c r="D504" s="62" t="s">
        <v>73</v>
      </c>
      <c r="E504" s="42">
        <v>0</v>
      </c>
      <c r="F504" s="45">
        <v>15000</v>
      </c>
      <c r="G504" s="45"/>
      <c r="H504" s="42">
        <f t="shared" si="92"/>
        <v>15000</v>
      </c>
    </row>
    <row r="505" spans="1:8" s="16" customFormat="1" ht="12" customHeight="1" x14ac:dyDescent="0.2">
      <c r="A505" s="32"/>
      <c r="B505" s="25"/>
      <c r="C505" s="25">
        <v>4120</v>
      </c>
      <c r="D505" s="41" t="s">
        <v>74</v>
      </c>
      <c r="E505" s="42">
        <v>0</v>
      </c>
      <c r="F505" s="45">
        <v>2130</v>
      </c>
      <c r="G505" s="45"/>
      <c r="H505" s="42">
        <f t="shared" si="92"/>
        <v>2130</v>
      </c>
    </row>
    <row r="506" spans="1:8" s="16" customFormat="1" ht="12" customHeight="1" x14ac:dyDescent="0.2">
      <c r="A506" s="32"/>
      <c r="B506" s="25"/>
      <c r="C506" s="78">
        <v>4170</v>
      </c>
      <c r="D506" s="62" t="s">
        <v>442</v>
      </c>
      <c r="E506" s="42">
        <v>0</v>
      </c>
      <c r="F506" s="45">
        <v>20800</v>
      </c>
      <c r="G506" s="45"/>
      <c r="H506" s="42">
        <f t="shared" si="92"/>
        <v>20800</v>
      </c>
    </row>
    <row r="507" spans="1:8" s="16" customFormat="1" ht="12" customHeight="1" x14ac:dyDescent="0.2">
      <c r="A507" s="32"/>
      <c r="B507" s="25"/>
      <c r="C507" s="81" t="s">
        <v>65</v>
      </c>
      <c r="D507" s="62" t="s">
        <v>66</v>
      </c>
      <c r="E507" s="42">
        <v>0</v>
      </c>
      <c r="F507" s="45">
        <v>62073</v>
      </c>
      <c r="G507" s="45"/>
      <c r="H507" s="42">
        <f t="shared" si="92"/>
        <v>62073</v>
      </c>
    </row>
    <row r="508" spans="1:8" s="16" customFormat="1" ht="12" customHeight="1" x14ac:dyDescent="0.2">
      <c r="A508" s="32"/>
      <c r="B508" s="25"/>
      <c r="C508" s="81">
        <v>4220</v>
      </c>
      <c r="D508" s="62" t="s">
        <v>135</v>
      </c>
      <c r="E508" s="42">
        <v>0</v>
      </c>
      <c r="F508" s="45">
        <v>6500</v>
      </c>
      <c r="G508" s="45"/>
      <c r="H508" s="42">
        <f t="shared" si="92"/>
        <v>6500</v>
      </c>
    </row>
    <row r="509" spans="1:8" s="16" customFormat="1" ht="12" customHeight="1" x14ac:dyDescent="0.2">
      <c r="A509" s="32"/>
      <c r="B509" s="25"/>
      <c r="C509" s="78">
        <v>4300</v>
      </c>
      <c r="D509" s="62" t="s">
        <v>16</v>
      </c>
      <c r="E509" s="42">
        <v>0</v>
      </c>
      <c r="F509" s="45">
        <v>10000</v>
      </c>
      <c r="G509" s="45"/>
      <c r="H509" s="42">
        <f t="shared" si="92"/>
        <v>10000</v>
      </c>
    </row>
    <row r="510" spans="1:8" s="16" customFormat="1" ht="12" customHeight="1" x14ac:dyDescent="0.2">
      <c r="A510" s="32"/>
      <c r="B510" s="25"/>
      <c r="C510" s="25">
        <v>4710</v>
      </c>
      <c r="D510" s="62" t="s">
        <v>67</v>
      </c>
      <c r="E510" s="42">
        <v>0</v>
      </c>
      <c r="F510" s="45">
        <v>1200</v>
      </c>
      <c r="G510" s="45"/>
      <c r="H510" s="42">
        <f t="shared" si="92"/>
        <v>1200</v>
      </c>
    </row>
    <row r="511" spans="1:8" s="16" customFormat="1" ht="12" customHeight="1" x14ac:dyDescent="0.2">
      <c r="A511" s="32">
        <v>754</v>
      </c>
      <c r="B511" s="32"/>
      <c r="C511" s="33"/>
      <c r="D511" s="34" t="s">
        <v>54</v>
      </c>
      <c r="E511" s="42"/>
      <c r="F511" s="43"/>
      <c r="G511" s="43"/>
      <c r="H511" s="42"/>
    </row>
    <row r="512" spans="1:8" s="16" customFormat="1" ht="12" customHeight="1" thickBot="1" x14ac:dyDescent="0.25">
      <c r="A512" s="32"/>
      <c r="B512" s="32"/>
      <c r="C512" s="33"/>
      <c r="D512" s="34" t="s">
        <v>55</v>
      </c>
      <c r="E512" s="35">
        <v>1686276.0000000002</v>
      </c>
      <c r="F512" s="35">
        <f>SUM(F513)</f>
        <v>171103.03</v>
      </c>
      <c r="G512" s="35">
        <f>SUM(G513)</f>
        <v>23863.03</v>
      </c>
      <c r="H512" s="35">
        <f>SUM(E512+F512-G512)</f>
        <v>1833516.0000000002</v>
      </c>
    </row>
    <row r="513" spans="1:8" s="16" customFormat="1" ht="12" customHeight="1" thickTop="1" x14ac:dyDescent="0.2">
      <c r="A513" s="37"/>
      <c r="B513" s="37">
        <v>75495</v>
      </c>
      <c r="C513" s="26"/>
      <c r="D513" s="38" t="s">
        <v>15</v>
      </c>
      <c r="E513" s="39">
        <v>1686276.0000000002</v>
      </c>
      <c r="F513" s="40">
        <f>SUM(F514,F516,F518)</f>
        <v>171103.03</v>
      </c>
      <c r="G513" s="40">
        <f>SUM(G514,G516,G518)</f>
        <v>23863.03</v>
      </c>
      <c r="H513" s="39">
        <f>SUM(E513+F513-G513)</f>
        <v>1833516.0000000002</v>
      </c>
    </row>
    <row r="514" spans="1:8" s="16" customFormat="1" ht="23.25" customHeight="1" x14ac:dyDescent="0.2">
      <c r="A514" s="37"/>
      <c r="B514" s="37"/>
      <c r="C514" s="371"/>
      <c r="D514" s="367" t="s">
        <v>155</v>
      </c>
      <c r="E514" s="364">
        <v>260696</v>
      </c>
      <c r="F514" s="365">
        <f>SUM(F515)</f>
        <v>9240</v>
      </c>
      <c r="G514" s="365">
        <f>SUM(G515)</f>
        <v>0</v>
      </c>
      <c r="H514" s="364">
        <f t="shared" ref="H514:H515" si="93">SUM(E514+F514-G514)</f>
        <v>269936</v>
      </c>
    </row>
    <row r="515" spans="1:8" s="16" customFormat="1" ht="23.25" customHeight="1" x14ac:dyDescent="0.2">
      <c r="A515" s="88"/>
      <c r="B515" s="88"/>
      <c r="C515" s="73">
        <v>3280</v>
      </c>
      <c r="D515" s="68" t="s">
        <v>156</v>
      </c>
      <c r="E515" s="75">
        <v>258520</v>
      </c>
      <c r="F515" s="65">
        <v>9240</v>
      </c>
      <c r="G515" s="65"/>
      <c r="H515" s="75">
        <f t="shared" si="93"/>
        <v>267760</v>
      </c>
    </row>
    <row r="516" spans="1:8" s="16" customFormat="1" ht="35.25" customHeight="1" x14ac:dyDescent="0.2">
      <c r="A516" s="37"/>
      <c r="B516" s="37"/>
      <c r="C516" s="371"/>
      <c r="D516" s="392" t="s">
        <v>157</v>
      </c>
      <c r="E516" s="377">
        <v>1069767</v>
      </c>
      <c r="F516" s="377">
        <f>SUM(F517:F517)</f>
        <v>138000</v>
      </c>
      <c r="G516" s="377">
        <f>SUM(G517:G517)</f>
        <v>23863.03</v>
      </c>
      <c r="H516" s="364">
        <f>SUM(E516+F516-G516)</f>
        <v>1183903.97</v>
      </c>
    </row>
    <row r="517" spans="1:8" s="16" customFormat="1" ht="12" customHeight="1" x14ac:dyDescent="0.2">
      <c r="A517" s="37"/>
      <c r="B517" s="37"/>
      <c r="C517" s="37">
        <v>4370</v>
      </c>
      <c r="D517" s="41" t="s">
        <v>88</v>
      </c>
      <c r="E517" s="45">
        <v>1069767</v>
      </c>
      <c r="F517" s="42">
        <v>138000</v>
      </c>
      <c r="G517" s="42">
        <v>23863.03</v>
      </c>
      <c r="H517" s="45">
        <f t="shared" ref="H517" si="94">SUM(E517+F517-G517)</f>
        <v>1183903.97</v>
      </c>
    </row>
    <row r="518" spans="1:8" s="16" customFormat="1" ht="34.5" customHeight="1" x14ac:dyDescent="0.2">
      <c r="A518" s="37"/>
      <c r="B518" s="37"/>
      <c r="C518" s="26"/>
      <c r="D518" s="413" t="s">
        <v>158</v>
      </c>
      <c r="E518" s="377">
        <v>355813.00000000006</v>
      </c>
      <c r="F518" s="365">
        <f>SUM(F519:F520)</f>
        <v>23863.03</v>
      </c>
      <c r="G518" s="365">
        <f>SUM(G519:G520)</f>
        <v>0</v>
      </c>
      <c r="H518" s="364">
        <f>SUM(E518+F518-G518)</f>
        <v>379676.03</v>
      </c>
    </row>
    <row r="519" spans="1:8" s="16" customFormat="1" ht="12" customHeight="1" x14ac:dyDescent="0.2">
      <c r="A519" s="37"/>
      <c r="B519" s="37"/>
      <c r="C519" s="25">
        <v>4370</v>
      </c>
      <c r="D519" s="41" t="s">
        <v>88</v>
      </c>
      <c r="E519" s="45">
        <v>18948.879999999997</v>
      </c>
      <c r="F519" s="45">
        <v>3283.75</v>
      </c>
      <c r="G519" s="45"/>
      <c r="H519" s="43">
        <f t="shared" ref="H519:H520" si="95">SUM(E519+F519-G519)</f>
        <v>22232.629999999997</v>
      </c>
    </row>
    <row r="520" spans="1:8" s="16" customFormat="1" ht="22.5" customHeight="1" x14ac:dyDescent="0.2">
      <c r="A520" s="37"/>
      <c r="B520" s="37"/>
      <c r="C520" s="59">
        <v>4860</v>
      </c>
      <c r="D520" s="70" t="s">
        <v>91</v>
      </c>
      <c r="E520" s="45">
        <v>336864.12</v>
      </c>
      <c r="F520" s="45">
        <v>20579.28</v>
      </c>
      <c r="G520" s="45"/>
      <c r="H520" s="43">
        <f t="shared" si="95"/>
        <v>357443.4</v>
      </c>
    </row>
    <row r="521" spans="1:8" s="16" customFormat="1" ht="12" customHeight="1" thickBot="1" x14ac:dyDescent="0.25">
      <c r="A521" s="31">
        <v>801</v>
      </c>
      <c r="B521" s="32"/>
      <c r="C521" s="33"/>
      <c r="D521" s="34" t="s">
        <v>38</v>
      </c>
      <c r="E521" s="30">
        <v>848993.96</v>
      </c>
      <c r="F521" s="30">
        <f>SUM(F524)</f>
        <v>0</v>
      </c>
      <c r="G521" s="30">
        <f>SUM(G524)</f>
        <v>23088.67</v>
      </c>
      <c r="H521" s="30">
        <f>SUM(E521+F521-G521)</f>
        <v>825905.28999999992</v>
      </c>
    </row>
    <row r="522" spans="1:8" s="16" customFormat="1" ht="12" customHeight="1" thickTop="1" x14ac:dyDescent="0.2">
      <c r="A522" s="31"/>
      <c r="B522" s="37">
        <v>80153</v>
      </c>
      <c r="C522" s="33"/>
      <c r="D522" s="62" t="s">
        <v>39</v>
      </c>
      <c r="E522" s="56"/>
      <c r="F522" s="56"/>
      <c r="G522" s="56"/>
      <c r="H522" s="56"/>
    </row>
    <row r="523" spans="1:8" s="16" customFormat="1" ht="12" customHeight="1" x14ac:dyDescent="0.2">
      <c r="A523" s="31"/>
      <c r="B523" s="32"/>
      <c r="C523" s="33"/>
      <c r="D523" s="62" t="s">
        <v>40</v>
      </c>
      <c r="E523" s="56"/>
      <c r="F523" s="56"/>
      <c r="G523" s="56"/>
      <c r="H523" s="56"/>
    </row>
    <row r="524" spans="1:8" s="16" customFormat="1" ht="12" customHeight="1" x14ac:dyDescent="0.2">
      <c r="A524" s="32"/>
      <c r="B524" s="37"/>
      <c r="C524" s="26"/>
      <c r="D524" s="38" t="s">
        <v>41</v>
      </c>
      <c r="E524" s="39">
        <v>848993.96</v>
      </c>
      <c r="F524" s="39">
        <f>SUM(F525,F527)</f>
        <v>0</v>
      </c>
      <c r="G524" s="39">
        <f>SUM(G525,G527)</f>
        <v>23088.67</v>
      </c>
      <c r="H524" s="39">
        <f t="shared" ref="H524:H530" si="96">SUM(E524+F524-G524)</f>
        <v>825905.28999999992</v>
      </c>
    </row>
    <row r="525" spans="1:8" s="16" customFormat="1" ht="43.5" customHeight="1" x14ac:dyDescent="0.2">
      <c r="A525" s="31"/>
      <c r="B525" s="49"/>
      <c r="C525" s="371"/>
      <c r="D525" s="367" t="s">
        <v>159</v>
      </c>
      <c r="E525" s="364">
        <v>22832.85</v>
      </c>
      <c r="F525" s="365">
        <f>SUM(F526:F526)</f>
        <v>0</v>
      </c>
      <c r="G525" s="365">
        <f>SUM(G526:G526)</f>
        <v>22832.85</v>
      </c>
      <c r="H525" s="364">
        <f t="shared" si="96"/>
        <v>0</v>
      </c>
    </row>
    <row r="526" spans="1:8" s="16" customFormat="1" ht="23.25" customHeight="1" x14ac:dyDescent="0.2">
      <c r="A526" s="31"/>
      <c r="B526" s="49"/>
      <c r="C526" s="83" t="s">
        <v>86</v>
      </c>
      <c r="D526" s="87" t="s">
        <v>87</v>
      </c>
      <c r="E526" s="43">
        <v>22832.85</v>
      </c>
      <c r="F526" s="43"/>
      <c r="G526" s="44">
        <v>22832.85</v>
      </c>
      <c r="H526" s="43">
        <f t="shared" si="96"/>
        <v>0</v>
      </c>
    </row>
    <row r="527" spans="1:8" s="16" customFormat="1" ht="44.25" customHeight="1" x14ac:dyDescent="0.2">
      <c r="A527" s="31"/>
      <c r="B527" s="49"/>
      <c r="C527" s="371"/>
      <c r="D527" s="367" t="s">
        <v>160</v>
      </c>
      <c r="E527" s="364">
        <v>255.82</v>
      </c>
      <c r="F527" s="365">
        <f>SUM(F528:F529)</f>
        <v>0</v>
      </c>
      <c r="G527" s="365">
        <f>SUM(G528:G529)</f>
        <v>255.82</v>
      </c>
      <c r="H527" s="364">
        <f t="shared" si="96"/>
        <v>0</v>
      </c>
    </row>
    <row r="528" spans="1:8" s="16" customFormat="1" ht="33.75" customHeight="1" x14ac:dyDescent="0.2">
      <c r="A528" s="31"/>
      <c r="B528" s="49"/>
      <c r="C528" s="83" t="s">
        <v>93</v>
      </c>
      <c r="D528" s="87" t="s">
        <v>94</v>
      </c>
      <c r="E528" s="43">
        <v>27.23</v>
      </c>
      <c r="F528" s="43"/>
      <c r="G528" s="44">
        <v>27.23</v>
      </c>
      <c r="H528" s="43">
        <f t="shared" si="96"/>
        <v>0</v>
      </c>
    </row>
    <row r="529" spans="1:8" s="16" customFormat="1" ht="22.5" customHeight="1" x14ac:dyDescent="0.2">
      <c r="A529" s="31"/>
      <c r="B529" s="49"/>
      <c r="C529" s="83" t="s">
        <v>86</v>
      </c>
      <c r="D529" s="87" t="s">
        <v>87</v>
      </c>
      <c r="E529" s="43">
        <v>228.59</v>
      </c>
      <c r="F529" s="43"/>
      <c r="G529" s="44">
        <v>228.59</v>
      </c>
      <c r="H529" s="43">
        <f t="shared" si="96"/>
        <v>0</v>
      </c>
    </row>
    <row r="530" spans="1:8" s="16" customFormat="1" ht="12" customHeight="1" thickBot="1" x14ac:dyDescent="0.25">
      <c r="A530" s="107">
        <v>852</v>
      </c>
      <c r="B530" s="107"/>
      <c r="C530" s="90"/>
      <c r="D530" s="108" t="s">
        <v>26</v>
      </c>
      <c r="E530" s="30">
        <v>4175773</v>
      </c>
      <c r="F530" s="30">
        <f>SUM(F531)</f>
        <v>2361</v>
      </c>
      <c r="G530" s="30">
        <f>SUM(G531)</f>
        <v>0</v>
      </c>
      <c r="H530" s="30">
        <f t="shared" si="96"/>
        <v>4178134</v>
      </c>
    </row>
    <row r="531" spans="1:8" s="16" customFormat="1" ht="12" customHeight="1" thickTop="1" x14ac:dyDescent="0.2">
      <c r="A531" s="107"/>
      <c r="B531" s="90">
        <v>85219</v>
      </c>
      <c r="C531" s="110"/>
      <c r="D531" s="97" t="s">
        <v>399</v>
      </c>
      <c r="E531" s="75">
        <v>43070</v>
      </c>
      <c r="F531" s="40">
        <f>SUM(F532)</f>
        <v>2361</v>
      </c>
      <c r="G531" s="40">
        <f>SUM(G532)</f>
        <v>0</v>
      </c>
      <c r="H531" s="39">
        <f>SUM(E531+F531-G531)</f>
        <v>45431</v>
      </c>
    </row>
    <row r="532" spans="1:8" s="16" customFormat="1" ht="12" customHeight="1" x14ac:dyDescent="0.2">
      <c r="A532" s="107"/>
      <c r="B532" s="109"/>
      <c r="C532" s="110"/>
      <c r="D532" s="414" t="s">
        <v>123</v>
      </c>
      <c r="E532" s="398">
        <v>43070</v>
      </c>
      <c r="F532" s="376">
        <f>SUM(F533:F534)</f>
        <v>2361</v>
      </c>
      <c r="G532" s="376">
        <f>SUM(G533:G534)</f>
        <v>0</v>
      </c>
      <c r="H532" s="377">
        <f>SUM(E532+F532-G532)</f>
        <v>45431</v>
      </c>
    </row>
    <row r="533" spans="1:8" s="16" customFormat="1" ht="12" customHeight="1" x14ac:dyDescent="0.2">
      <c r="A533" s="107"/>
      <c r="B533" s="37"/>
      <c r="C533" s="25">
        <v>3110</v>
      </c>
      <c r="D533" s="41" t="s">
        <v>133</v>
      </c>
      <c r="E533" s="45">
        <v>42434</v>
      </c>
      <c r="F533" s="45">
        <v>2326</v>
      </c>
      <c r="G533" s="45"/>
      <c r="H533" s="44">
        <f>SUM(E533+F533-G533)</f>
        <v>44760</v>
      </c>
    </row>
    <row r="534" spans="1:8" s="16" customFormat="1" ht="12" customHeight="1" x14ac:dyDescent="0.2">
      <c r="A534" s="107"/>
      <c r="B534" s="37"/>
      <c r="C534" s="81" t="s">
        <v>65</v>
      </c>
      <c r="D534" s="62" t="s">
        <v>66</v>
      </c>
      <c r="E534" s="45">
        <v>636</v>
      </c>
      <c r="F534" s="45">
        <v>35</v>
      </c>
      <c r="G534" s="45"/>
      <c r="H534" s="44">
        <f>SUM(E534+F534-G534)</f>
        <v>671</v>
      </c>
    </row>
    <row r="535" spans="1:8" s="16" customFormat="1" ht="12" customHeight="1" thickBot="1" x14ac:dyDescent="0.25">
      <c r="A535" s="31">
        <v>853</v>
      </c>
      <c r="B535" s="32"/>
      <c r="C535" s="33"/>
      <c r="D535" s="34" t="s">
        <v>46</v>
      </c>
      <c r="E535" s="30">
        <v>789552.7</v>
      </c>
      <c r="F535" s="35">
        <f>SUM(F536)</f>
        <v>3978</v>
      </c>
      <c r="G535" s="35">
        <f>SUM(G536)</f>
        <v>0</v>
      </c>
      <c r="H535" s="30">
        <f t="shared" ref="H535:H536" si="97">SUM(E535+F535-G535)</f>
        <v>793530.7</v>
      </c>
    </row>
    <row r="536" spans="1:8" s="16" customFormat="1" ht="12" customHeight="1" thickTop="1" x14ac:dyDescent="0.2">
      <c r="A536" s="33"/>
      <c r="B536" s="37">
        <v>85395</v>
      </c>
      <c r="C536" s="26"/>
      <c r="D536" s="38" t="s">
        <v>15</v>
      </c>
      <c r="E536" s="75">
        <v>789552.7</v>
      </c>
      <c r="F536" s="39">
        <f>SUM(F537)</f>
        <v>3978</v>
      </c>
      <c r="G536" s="39">
        <f>SUM(G537)</f>
        <v>0</v>
      </c>
      <c r="H536" s="39">
        <f t="shared" si="97"/>
        <v>793530.7</v>
      </c>
    </row>
    <row r="537" spans="1:8" s="16" customFormat="1" ht="22.5" customHeight="1" x14ac:dyDescent="0.2">
      <c r="A537" s="33"/>
      <c r="B537" s="37"/>
      <c r="C537" s="371"/>
      <c r="D537" s="411" t="s">
        <v>161</v>
      </c>
      <c r="E537" s="364">
        <v>22950</v>
      </c>
      <c r="F537" s="365">
        <f>SUM(F538:F540)</f>
        <v>3978</v>
      </c>
      <c r="G537" s="365">
        <f>SUM(G538:G540)</f>
        <v>0</v>
      </c>
      <c r="H537" s="364">
        <f>SUM(E537+F537-G537)</f>
        <v>26928</v>
      </c>
    </row>
    <row r="538" spans="1:8" s="16" customFormat="1" ht="22.5" customHeight="1" x14ac:dyDescent="0.2">
      <c r="A538" s="33"/>
      <c r="B538" s="37"/>
      <c r="C538" s="59">
        <v>3290</v>
      </c>
      <c r="D538" s="70" t="s">
        <v>126</v>
      </c>
      <c r="E538" s="43">
        <v>22500</v>
      </c>
      <c r="F538" s="44">
        <v>3900</v>
      </c>
      <c r="G538" s="44"/>
      <c r="H538" s="44">
        <f>SUM(E538+F538-G538)</f>
        <v>26400</v>
      </c>
    </row>
    <row r="539" spans="1:8" s="16" customFormat="1" ht="22.5" customHeight="1" x14ac:dyDescent="0.2">
      <c r="A539" s="33"/>
      <c r="B539" s="37"/>
      <c r="C539" s="59">
        <v>4740</v>
      </c>
      <c r="D539" s="70" t="s">
        <v>148</v>
      </c>
      <c r="E539" s="42">
        <v>375</v>
      </c>
      <c r="F539" s="44">
        <v>65</v>
      </c>
      <c r="G539" s="44"/>
      <c r="H539" s="44">
        <f t="shared" ref="H539:H541" si="98">SUM(E539+F539-G539)</f>
        <v>440</v>
      </c>
    </row>
    <row r="540" spans="1:8" s="16" customFormat="1" ht="22.5" customHeight="1" x14ac:dyDescent="0.2">
      <c r="A540" s="33"/>
      <c r="B540" s="37"/>
      <c r="C540" s="59">
        <v>4850</v>
      </c>
      <c r="D540" s="70" t="s">
        <v>90</v>
      </c>
      <c r="E540" s="42">
        <v>75</v>
      </c>
      <c r="F540" s="44">
        <v>13</v>
      </c>
      <c r="G540" s="44"/>
      <c r="H540" s="44">
        <f t="shared" si="98"/>
        <v>88</v>
      </c>
    </row>
    <row r="541" spans="1:8" s="16" customFormat="1" ht="12" customHeight="1" thickBot="1" x14ac:dyDescent="0.25">
      <c r="A541" s="32">
        <v>855</v>
      </c>
      <c r="B541" s="32"/>
      <c r="C541" s="33"/>
      <c r="D541" s="34" t="s">
        <v>30</v>
      </c>
      <c r="E541" s="35">
        <v>35282073</v>
      </c>
      <c r="F541" s="30">
        <f>SUM(F544,F549,F556)</f>
        <v>2762440</v>
      </c>
      <c r="G541" s="30">
        <f>SUM(G544,G549,G556)</f>
        <v>0</v>
      </c>
      <c r="H541" s="30">
        <f t="shared" si="98"/>
        <v>38044513</v>
      </c>
    </row>
    <row r="542" spans="1:8" s="16" customFormat="1" ht="12" customHeight="1" thickTop="1" x14ac:dyDescent="0.2">
      <c r="A542" s="32"/>
      <c r="B542" s="69">
        <v>85502</v>
      </c>
      <c r="C542" s="81"/>
      <c r="D542" s="96" t="s">
        <v>162</v>
      </c>
      <c r="E542" s="42"/>
      <c r="F542" s="42"/>
      <c r="G542" s="111"/>
      <c r="H542" s="44"/>
    </row>
    <row r="543" spans="1:8" s="16" customFormat="1" ht="12" customHeight="1" x14ac:dyDescent="0.2">
      <c r="A543" s="32"/>
      <c r="B543" s="69"/>
      <c r="C543" s="81"/>
      <c r="D543" s="96" t="s">
        <v>163</v>
      </c>
      <c r="E543" s="42"/>
      <c r="F543" s="42"/>
      <c r="G543" s="111"/>
      <c r="H543" s="44"/>
    </row>
    <row r="544" spans="1:8" s="16" customFormat="1" ht="12" customHeight="1" x14ac:dyDescent="0.2">
      <c r="A544" s="32"/>
      <c r="B544" s="69"/>
      <c r="C544" s="81"/>
      <c r="D544" s="58" t="s">
        <v>164</v>
      </c>
      <c r="E544" s="40">
        <v>34879875</v>
      </c>
      <c r="F544" s="40">
        <f>SUM(F545)</f>
        <v>2710544</v>
      </c>
      <c r="G544" s="40">
        <f t="shared" ref="G544" si="99">SUM(G545)</f>
        <v>0</v>
      </c>
      <c r="H544" s="39">
        <f t="shared" ref="H544:H553" si="100">SUM(E544+F544-G544)</f>
        <v>37590419</v>
      </c>
    </row>
    <row r="545" spans="1:8" s="16" customFormat="1" ht="12" customHeight="1" x14ac:dyDescent="0.2">
      <c r="A545" s="32"/>
      <c r="B545" s="37"/>
      <c r="C545" s="26"/>
      <c r="D545" s="414" t="s">
        <v>123</v>
      </c>
      <c r="E545" s="376">
        <v>34779500</v>
      </c>
      <c r="F545" s="376">
        <f>SUM(F546:F548)</f>
        <v>2710544</v>
      </c>
      <c r="G545" s="376">
        <f>SUM(G546:G548)</f>
        <v>0</v>
      </c>
      <c r="H545" s="377">
        <f t="shared" si="100"/>
        <v>37490044</v>
      </c>
    </row>
    <row r="546" spans="1:8" s="16" customFormat="1" ht="12" customHeight="1" x14ac:dyDescent="0.2">
      <c r="A546" s="32"/>
      <c r="B546" s="32"/>
      <c r="C546" s="90">
        <v>3110</v>
      </c>
      <c r="D546" s="91" t="s">
        <v>133</v>
      </c>
      <c r="E546" s="42">
        <v>30964730</v>
      </c>
      <c r="F546" s="45">
        <v>2631596</v>
      </c>
      <c r="G546" s="45"/>
      <c r="H546" s="44">
        <f t="shared" si="100"/>
        <v>33596326</v>
      </c>
    </row>
    <row r="547" spans="1:8" s="16" customFormat="1" ht="12" customHeight="1" x14ac:dyDescent="0.2">
      <c r="A547" s="32"/>
      <c r="B547" s="32"/>
      <c r="C547" s="25">
        <v>4010</v>
      </c>
      <c r="D547" s="41" t="s">
        <v>106</v>
      </c>
      <c r="E547" s="42">
        <v>676767</v>
      </c>
      <c r="F547" s="45">
        <v>65548</v>
      </c>
      <c r="G547" s="45"/>
      <c r="H547" s="44">
        <f t="shared" si="100"/>
        <v>742315</v>
      </c>
    </row>
    <row r="548" spans="1:8" s="16" customFormat="1" ht="12" customHeight="1" x14ac:dyDescent="0.2">
      <c r="A548" s="32"/>
      <c r="B548" s="32"/>
      <c r="C548" s="78">
        <v>4110</v>
      </c>
      <c r="D548" s="62" t="s">
        <v>73</v>
      </c>
      <c r="E548" s="42">
        <v>2994293</v>
      </c>
      <c r="F548" s="45">
        <v>13400</v>
      </c>
      <c r="G548" s="45"/>
      <c r="H548" s="44">
        <f t="shared" si="100"/>
        <v>3007693</v>
      </c>
    </row>
    <row r="549" spans="1:8" s="16" customFormat="1" ht="12" customHeight="1" x14ac:dyDescent="0.2">
      <c r="A549" s="32"/>
      <c r="B549" s="90">
        <v>85503</v>
      </c>
      <c r="C549" s="112"/>
      <c r="D549" s="97" t="s">
        <v>49</v>
      </c>
      <c r="E549" s="65">
        <v>10725</v>
      </c>
      <c r="F549" s="40">
        <f t="shared" ref="F549:G549" si="101">SUM(F550)</f>
        <v>962</v>
      </c>
      <c r="G549" s="40">
        <f t="shared" si="101"/>
        <v>0</v>
      </c>
      <c r="H549" s="39">
        <f t="shared" si="100"/>
        <v>11687</v>
      </c>
    </row>
    <row r="550" spans="1:8" s="16" customFormat="1" ht="12" customHeight="1" x14ac:dyDescent="0.2">
      <c r="A550" s="32"/>
      <c r="B550" s="109"/>
      <c r="C550" s="112"/>
      <c r="D550" s="415" t="s">
        <v>165</v>
      </c>
      <c r="E550" s="395">
        <v>10725</v>
      </c>
      <c r="F550" s="376">
        <f>SUM(F551:F553)</f>
        <v>962</v>
      </c>
      <c r="G550" s="376">
        <f>SUM(G551:G553)</f>
        <v>0</v>
      </c>
      <c r="H550" s="377">
        <f t="shared" si="100"/>
        <v>11687</v>
      </c>
    </row>
    <row r="551" spans="1:8" s="16" customFormat="1" ht="12" customHeight="1" x14ac:dyDescent="0.2">
      <c r="A551" s="32"/>
      <c r="B551" s="109"/>
      <c r="C551" s="25">
        <v>4010</v>
      </c>
      <c r="D551" s="41" t="s">
        <v>106</v>
      </c>
      <c r="E551" s="42">
        <v>7860</v>
      </c>
      <c r="F551" s="45">
        <v>805</v>
      </c>
      <c r="G551" s="45"/>
      <c r="H551" s="44">
        <f t="shared" si="100"/>
        <v>8665</v>
      </c>
    </row>
    <row r="552" spans="1:8" s="16" customFormat="1" ht="12" customHeight="1" x14ac:dyDescent="0.2">
      <c r="A552" s="32"/>
      <c r="B552" s="109"/>
      <c r="C552" s="78">
        <v>4110</v>
      </c>
      <c r="D552" s="62" t="s">
        <v>73</v>
      </c>
      <c r="E552" s="42">
        <v>1357</v>
      </c>
      <c r="F552" s="45">
        <v>137</v>
      </c>
      <c r="G552" s="45"/>
      <c r="H552" s="44">
        <f t="shared" si="100"/>
        <v>1494</v>
      </c>
    </row>
    <row r="553" spans="1:8" s="16" customFormat="1" ht="12" customHeight="1" x14ac:dyDescent="0.2">
      <c r="A553" s="32"/>
      <c r="B553" s="109"/>
      <c r="C553" s="78">
        <v>4120</v>
      </c>
      <c r="D553" s="41" t="s">
        <v>74</v>
      </c>
      <c r="E553" s="42">
        <v>198</v>
      </c>
      <c r="F553" s="45">
        <v>20</v>
      </c>
      <c r="G553" s="45"/>
      <c r="H553" s="44">
        <f t="shared" si="100"/>
        <v>218</v>
      </c>
    </row>
    <row r="554" spans="1:8" s="16" customFormat="1" ht="12" customHeight="1" x14ac:dyDescent="0.2">
      <c r="A554" s="32"/>
      <c r="B554" s="37">
        <v>85513</v>
      </c>
      <c r="C554" s="26"/>
      <c r="D554" s="69" t="s">
        <v>50</v>
      </c>
      <c r="E554" s="44"/>
      <c r="F554" s="44"/>
      <c r="G554" s="44"/>
      <c r="H554" s="44"/>
    </row>
    <row r="555" spans="1:8" s="16" customFormat="1" ht="12" customHeight="1" x14ac:dyDescent="0.2">
      <c r="A555" s="32"/>
      <c r="B555" s="49"/>
      <c r="C555" s="26"/>
      <c r="D555" s="55" t="s">
        <v>51</v>
      </c>
      <c r="E555" s="44"/>
      <c r="F555" s="44"/>
      <c r="G555" s="44"/>
      <c r="H555" s="44"/>
    </row>
    <row r="556" spans="1:8" s="16" customFormat="1" ht="12" customHeight="1" x14ac:dyDescent="0.2">
      <c r="A556" s="32"/>
      <c r="B556" s="37"/>
      <c r="C556" s="26"/>
      <c r="D556" s="38" t="s">
        <v>52</v>
      </c>
      <c r="E556" s="39">
        <v>391473</v>
      </c>
      <c r="F556" s="40">
        <f t="shared" ref="F556:G556" si="102">SUM(F557)</f>
        <v>50934</v>
      </c>
      <c r="G556" s="40">
        <f t="shared" si="102"/>
        <v>0</v>
      </c>
      <c r="H556" s="39">
        <f>SUM(E556+F556-G556)</f>
        <v>442407</v>
      </c>
    </row>
    <row r="557" spans="1:8" s="16" customFormat="1" ht="12" customHeight="1" x14ac:dyDescent="0.2">
      <c r="A557" s="32"/>
      <c r="B557" s="37"/>
      <c r="C557" s="26"/>
      <c r="D557" s="384" t="s">
        <v>123</v>
      </c>
      <c r="E557" s="364">
        <v>391473</v>
      </c>
      <c r="F557" s="365">
        <f>SUM(F558)</f>
        <v>50934</v>
      </c>
      <c r="G557" s="365">
        <f>SUM(G558)</f>
        <v>0</v>
      </c>
      <c r="H557" s="364">
        <f>SUM(E557+F557-G557)</f>
        <v>442407</v>
      </c>
    </row>
    <row r="558" spans="1:8" s="16" customFormat="1" ht="12" customHeight="1" x14ac:dyDescent="0.2">
      <c r="A558" s="63"/>
      <c r="B558" s="63"/>
      <c r="C558" s="89">
        <v>4130</v>
      </c>
      <c r="D558" s="38" t="s">
        <v>166</v>
      </c>
      <c r="E558" s="65">
        <v>391473</v>
      </c>
      <c r="F558" s="40">
        <v>50934</v>
      </c>
      <c r="G558" s="40"/>
      <c r="H558" s="65">
        <f>SUM(E558+F558-G558)</f>
        <v>442407</v>
      </c>
    </row>
    <row r="559" spans="1:8" s="16" customFormat="1" ht="21.75" customHeight="1" thickBot="1" x14ac:dyDescent="0.25">
      <c r="A559" s="113"/>
      <c r="B559" s="37"/>
      <c r="C559" s="25"/>
      <c r="D559" s="29" t="s">
        <v>167</v>
      </c>
      <c r="E559" s="30">
        <v>20554066.16</v>
      </c>
      <c r="F559" s="30">
        <f>SUM(F560,F570,F588,F598,F606)</f>
        <v>1035838.04</v>
      </c>
      <c r="G559" s="30">
        <f>SUM(G560,G570,G588,G598,G606)</f>
        <v>56988.17</v>
      </c>
      <c r="H559" s="30">
        <f>SUM(E559+F559-G559)</f>
        <v>21532916.029999997</v>
      </c>
    </row>
    <row r="560" spans="1:8" s="16" customFormat="1" ht="18.75" customHeight="1" thickTop="1" thickBot="1" x14ac:dyDescent="0.25">
      <c r="A560" s="114">
        <v>710</v>
      </c>
      <c r="B560" s="115"/>
      <c r="C560" s="90"/>
      <c r="D560" s="116" t="s">
        <v>168</v>
      </c>
      <c r="E560" s="30">
        <v>1436100</v>
      </c>
      <c r="F560" s="30">
        <f>SUM(F561)</f>
        <v>6594</v>
      </c>
      <c r="G560" s="30">
        <f>SUM(G561)</f>
        <v>6594</v>
      </c>
      <c r="H560" s="30">
        <f t="shared" ref="H560:H569" si="103">SUM(E560+F560-G560)</f>
        <v>1436100</v>
      </c>
    </row>
    <row r="561" spans="1:8" s="16" customFormat="1" ht="12" customHeight="1" thickTop="1" x14ac:dyDescent="0.2">
      <c r="A561" s="32"/>
      <c r="B561" s="109">
        <v>71015</v>
      </c>
      <c r="C561" s="117"/>
      <c r="D561" s="97" t="s">
        <v>169</v>
      </c>
      <c r="E561" s="75">
        <v>937100</v>
      </c>
      <c r="F561" s="40">
        <f>SUM(F562)</f>
        <v>6594</v>
      </c>
      <c r="G561" s="40">
        <f>SUM(G562)</f>
        <v>6594</v>
      </c>
      <c r="H561" s="39">
        <f t="shared" si="103"/>
        <v>937100</v>
      </c>
    </row>
    <row r="562" spans="1:8" s="16" customFormat="1" ht="23.25" customHeight="1" x14ac:dyDescent="0.2">
      <c r="A562" s="32"/>
      <c r="B562" s="109"/>
      <c r="C562" s="90"/>
      <c r="D562" s="416" t="s">
        <v>170</v>
      </c>
      <c r="E562" s="398">
        <v>937100</v>
      </c>
      <c r="F562" s="376">
        <f>SUM(F563:F569)</f>
        <v>6594</v>
      </c>
      <c r="G562" s="376">
        <f>SUM(G563:G569)</f>
        <v>6594</v>
      </c>
      <c r="H562" s="377">
        <f t="shared" si="103"/>
        <v>937100</v>
      </c>
    </row>
    <row r="563" spans="1:8" s="16" customFormat="1" ht="12" customHeight="1" x14ac:dyDescent="0.2">
      <c r="A563" s="32"/>
      <c r="B563" s="109"/>
      <c r="C563" s="81" t="s">
        <v>65</v>
      </c>
      <c r="D563" s="62" t="s">
        <v>66</v>
      </c>
      <c r="E563" s="45">
        <v>32518</v>
      </c>
      <c r="F563" s="44">
        <v>1000</v>
      </c>
      <c r="G563" s="44"/>
      <c r="H563" s="44">
        <f t="shared" si="103"/>
        <v>33518</v>
      </c>
    </row>
    <row r="564" spans="1:8" s="16" customFormat="1" ht="12" customHeight="1" x14ac:dyDescent="0.2">
      <c r="A564" s="32"/>
      <c r="B564" s="25"/>
      <c r="C564" s="25">
        <v>4260</v>
      </c>
      <c r="D564" s="41" t="s">
        <v>77</v>
      </c>
      <c r="E564" s="42">
        <v>19757</v>
      </c>
      <c r="F564" s="42">
        <v>4790</v>
      </c>
      <c r="G564" s="42"/>
      <c r="H564" s="44">
        <f t="shared" si="103"/>
        <v>24547</v>
      </c>
    </row>
    <row r="565" spans="1:8" s="16" customFormat="1" ht="12" customHeight="1" x14ac:dyDescent="0.2">
      <c r="A565" s="32"/>
      <c r="B565" s="25"/>
      <c r="C565" s="25">
        <v>4360</v>
      </c>
      <c r="D565" s="41" t="s">
        <v>101</v>
      </c>
      <c r="E565" s="42">
        <v>2800</v>
      </c>
      <c r="F565" s="42"/>
      <c r="G565" s="42">
        <v>210</v>
      </c>
      <c r="H565" s="44">
        <f t="shared" si="103"/>
        <v>2590</v>
      </c>
    </row>
    <row r="566" spans="1:8" s="16" customFormat="1" ht="12" customHeight="1" x14ac:dyDescent="0.2">
      <c r="A566" s="32"/>
      <c r="B566" s="25"/>
      <c r="C566" s="25">
        <v>4440</v>
      </c>
      <c r="D566" s="41" t="s">
        <v>409</v>
      </c>
      <c r="E566" s="42">
        <v>10644</v>
      </c>
      <c r="F566" s="42">
        <v>804</v>
      </c>
      <c r="G566" s="42"/>
      <c r="H566" s="44">
        <f t="shared" si="103"/>
        <v>11448</v>
      </c>
    </row>
    <row r="567" spans="1:8" s="16" customFormat="1" ht="12" customHeight="1" x14ac:dyDescent="0.2">
      <c r="A567" s="32"/>
      <c r="B567" s="25"/>
      <c r="C567" s="25">
        <v>4480</v>
      </c>
      <c r="D567" s="41" t="s">
        <v>152</v>
      </c>
      <c r="E567" s="42">
        <v>2500</v>
      </c>
      <c r="F567" s="42"/>
      <c r="G567" s="42">
        <v>184</v>
      </c>
      <c r="H567" s="44">
        <f t="shared" si="103"/>
        <v>2316</v>
      </c>
    </row>
    <row r="568" spans="1:8" s="16" customFormat="1" ht="12" customHeight="1" x14ac:dyDescent="0.2">
      <c r="A568" s="32"/>
      <c r="B568" s="25"/>
      <c r="C568" s="25">
        <v>4610</v>
      </c>
      <c r="D568" s="77" t="s">
        <v>62</v>
      </c>
      <c r="E568" s="42">
        <v>200</v>
      </c>
      <c r="F568" s="42"/>
      <c r="G568" s="42">
        <v>200</v>
      </c>
      <c r="H568" s="44">
        <f t="shared" si="103"/>
        <v>0</v>
      </c>
    </row>
    <row r="569" spans="1:8" s="16" customFormat="1" ht="12" customHeight="1" x14ac:dyDescent="0.2">
      <c r="A569" s="32"/>
      <c r="B569" s="25"/>
      <c r="C569" s="25">
        <v>4710</v>
      </c>
      <c r="D569" s="62" t="s">
        <v>67</v>
      </c>
      <c r="E569" s="42">
        <v>6000</v>
      </c>
      <c r="F569" s="42"/>
      <c r="G569" s="42">
        <v>6000</v>
      </c>
      <c r="H569" s="44">
        <f t="shared" si="103"/>
        <v>0</v>
      </c>
    </row>
    <row r="570" spans="1:8" s="16" customFormat="1" ht="12" customHeight="1" thickBot="1" x14ac:dyDescent="0.25">
      <c r="A570" s="32">
        <v>754</v>
      </c>
      <c r="B570" s="32"/>
      <c r="C570" s="33"/>
      <c r="D570" s="34" t="s">
        <v>35</v>
      </c>
      <c r="E570" s="30">
        <v>17123093.539999999</v>
      </c>
      <c r="F570" s="35">
        <f t="shared" ref="F570:G571" si="104">SUM(F571)</f>
        <v>1023460.04</v>
      </c>
      <c r="G570" s="35">
        <f t="shared" si="104"/>
        <v>43668</v>
      </c>
      <c r="H570" s="30">
        <f>SUM(E570+F570-G570)</f>
        <v>18102885.579999998</v>
      </c>
    </row>
    <row r="571" spans="1:8" s="16" customFormat="1" ht="12.75" customHeight="1" thickTop="1" x14ac:dyDescent="0.2">
      <c r="A571" s="105"/>
      <c r="B571" s="25">
        <v>75411</v>
      </c>
      <c r="C571" s="51"/>
      <c r="D571" s="61" t="s">
        <v>56</v>
      </c>
      <c r="E571" s="39">
        <v>17123093.539999999</v>
      </c>
      <c r="F571" s="40">
        <f t="shared" si="104"/>
        <v>1023460.04</v>
      </c>
      <c r="G571" s="40">
        <f t="shared" si="104"/>
        <v>43668</v>
      </c>
      <c r="H571" s="39">
        <f>SUM(E571+F571-G571)</f>
        <v>18102885.579999998</v>
      </c>
    </row>
    <row r="572" spans="1:8" s="16" customFormat="1" ht="12.6" customHeight="1" x14ac:dyDescent="0.2">
      <c r="A572" s="17"/>
      <c r="B572" s="51"/>
      <c r="C572" s="25"/>
      <c r="D572" s="394" t="s">
        <v>172</v>
      </c>
      <c r="E572" s="377">
        <v>17123093.539999999</v>
      </c>
      <c r="F572" s="377">
        <f>SUM(F573:F587)</f>
        <v>1023460.04</v>
      </c>
      <c r="G572" s="377">
        <f>SUM(G573:G587)</f>
        <v>43668</v>
      </c>
      <c r="H572" s="364">
        <f>SUM(E572+F572-G572)</f>
        <v>18102885.579999998</v>
      </c>
    </row>
    <row r="573" spans="1:8" s="16" customFormat="1" ht="12" customHeight="1" x14ac:dyDescent="0.2">
      <c r="A573" s="31"/>
      <c r="B573" s="37"/>
      <c r="C573" s="25">
        <v>4010</v>
      </c>
      <c r="D573" s="41" t="s">
        <v>106</v>
      </c>
      <c r="E573" s="42">
        <v>108071</v>
      </c>
      <c r="F573" s="42">
        <v>4089</v>
      </c>
      <c r="G573" s="42"/>
      <c r="H573" s="44">
        <f t="shared" ref="H573:H587" si="105">SUM(E573+F573-G573)</f>
        <v>112160</v>
      </c>
    </row>
    <row r="574" spans="1:8" s="16" customFormat="1" ht="12" customHeight="1" x14ac:dyDescent="0.2">
      <c r="A574" s="31"/>
      <c r="B574" s="37"/>
      <c r="C574" s="25">
        <v>4020</v>
      </c>
      <c r="D574" s="41" t="s">
        <v>443</v>
      </c>
      <c r="E574" s="42">
        <v>109851</v>
      </c>
      <c r="F574" s="42">
        <v>3379</v>
      </c>
      <c r="G574" s="42"/>
      <c r="H574" s="44">
        <f t="shared" si="105"/>
        <v>113230</v>
      </c>
    </row>
    <row r="575" spans="1:8" s="16" customFormat="1" ht="12" customHeight="1" x14ac:dyDescent="0.2">
      <c r="A575" s="31"/>
      <c r="B575" s="37"/>
      <c r="C575" s="25">
        <v>4050</v>
      </c>
      <c r="D575" s="417" t="s">
        <v>444</v>
      </c>
      <c r="E575" s="42">
        <v>11710485</v>
      </c>
      <c r="F575" s="42"/>
      <c r="G575" s="42">
        <v>7468</v>
      </c>
      <c r="H575" s="44">
        <f t="shared" si="105"/>
        <v>11703017</v>
      </c>
    </row>
    <row r="576" spans="1:8" s="16" customFormat="1" ht="12" customHeight="1" x14ac:dyDescent="0.2">
      <c r="A576" s="31"/>
      <c r="B576" s="37"/>
      <c r="C576" s="25">
        <v>4110</v>
      </c>
      <c r="D576" s="41" t="s">
        <v>73</v>
      </c>
      <c r="E576" s="42">
        <v>37072</v>
      </c>
      <c r="F576" s="42">
        <v>1607</v>
      </c>
      <c r="G576" s="42"/>
      <c r="H576" s="44">
        <f t="shared" si="105"/>
        <v>38679</v>
      </c>
    </row>
    <row r="577" spans="1:8" s="16" customFormat="1" ht="22.5" customHeight="1" x14ac:dyDescent="0.2">
      <c r="A577" s="31"/>
      <c r="B577" s="37"/>
      <c r="C577" s="86">
        <v>4180</v>
      </c>
      <c r="D577" s="418" t="s">
        <v>445</v>
      </c>
      <c r="E577" s="42">
        <v>2436992.54</v>
      </c>
      <c r="F577" s="42">
        <f>163719.36+163295.68+652777</f>
        <v>979792.04</v>
      </c>
      <c r="G577" s="42"/>
      <c r="H577" s="44">
        <f t="shared" si="105"/>
        <v>3416784.58</v>
      </c>
    </row>
    <row r="578" spans="1:8" s="16" customFormat="1" ht="12" customHeight="1" x14ac:dyDescent="0.2">
      <c r="A578" s="31"/>
      <c r="B578" s="37"/>
      <c r="C578" s="81" t="s">
        <v>65</v>
      </c>
      <c r="D578" s="62" t="s">
        <v>66</v>
      </c>
      <c r="E578" s="42">
        <v>245860</v>
      </c>
      <c r="F578" s="42">
        <v>15000</v>
      </c>
      <c r="G578" s="42"/>
      <c r="H578" s="44">
        <f t="shared" si="105"/>
        <v>260860</v>
      </c>
    </row>
    <row r="579" spans="1:8" s="16" customFormat="1" ht="12" customHeight="1" x14ac:dyDescent="0.2">
      <c r="A579" s="31"/>
      <c r="B579" s="37"/>
      <c r="C579" s="25">
        <v>4260</v>
      </c>
      <c r="D579" s="41" t="s">
        <v>77</v>
      </c>
      <c r="E579" s="42">
        <v>303000</v>
      </c>
      <c r="F579" s="42">
        <v>14000</v>
      </c>
      <c r="G579" s="42"/>
      <c r="H579" s="44">
        <f t="shared" si="105"/>
        <v>317000</v>
      </c>
    </row>
    <row r="580" spans="1:8" s="16" customFormat="1" ht="12" customHeight="1" x14ac:dyDescent="0.2">
      <c r="A580" s="31"/>
      <c r="B580" s="37"/>
      <c r="C580" s="25">
        <v>4270</v>
      </c>
      <c r="D580" s="41" t="s">
        <v>68</v>
      </c>
      <c r="E580" s="42">
        <v>53000</v>
      </c>
      <c r="F580" s="42"/>
      <c r="G580" s="42">
        <v>30000</v>
      </c>
      <c r="H580" s="44">
        <f t="shared" si="105"/>
        <v>23000</v>
      </c>
    </row>
    <row r="581" spans="1:8" s="16" customFormat="1" ht="12" customHeight="1" x14ac:dyDescent="0.2">
      <c r="A581" s="31"/>
      <c r="B581" s="37"/>
      <c r="C581" s="25">
        <v>4280</v>
      </c>
      <c r="D581" s="41" t="s">
        <v>78</v>
      </c>
      <c r="E581" s="42">
        <v>45000</v>
      </c>
      <c r="F581" s="42"/>
      <c r="G581" s="42">
        <v>3000</v>
      </c>
      <c r="H581" s="44">
        <f t="shared" si="105"/>
        <v>42000</v>
      </c>
    </row>
    <row r="582" spans="1:8" s="16" customFormat="1" ht="12" customHeight="1" x14ac:dyDescent="0.2">
      <c r="A582" s="31"/>
      <c r="B582" s="37"/>
      <c r="C582" s="25">
        <v>4300</v>
      </c>
      <c r="D582" s="41" t="s">
        <v>16</v>
      </c>
      <c r="E582" s="42">
        <v>90000</v>
      </c>
      <c r="F582" s="42">
        <v>5000</v>
      </c>
      <c r="G582" s="42"/>
      <c r="H582" s="44">
        <f t="shared" si="105"/>
        <v>95000</v>
      </c>
    </row>
    <row r="583" spans="1:8" s="16" customFormat="1" ht="12" customHeight="1" x14ac:dyDescent="0.2">
      <c r="A583" s="31"/>
      <c r="B583" s="37"/>
      <c r="C583" s="25">
        <v>4360</v>
      </c>
      <c r="D583" s="41" t="s">
        <v>101</v>
      </c>
      <c r="E583" s="93">
        <v>15000</v>
      </c>
      <c r="F583" s="42"/>
      <c r="G583" s="42">
        <v>1000</v>
      </c>
      <c r="H583" s="44">
        <f t="shared" si="105"/>
        <v>14000</v>
      </c>
    </row>
    <row r="584" spans="1:8" s="16" customFormat="1" ht="12" customHeight="1" x14ac:dyDescent="0.2">
      <c r="A584" s="31"/>
      <c r="B584" s="37"/>
      <c r="C584" s="25">
        <v>4380</v>
      </c>
      <c r="D584" s="62" t="s">
        <v>446</v>
      </c>
      <c r="E584" s="93">
        <v>1200</v>
      </c>
      <c r="F584" s="42"/>
      <c r="G584" s="42">
        <v>1200</v>
      </c>
      <c r="H584" s="44">
        <f t="shared" si="105"/>
        <v>0</v>
      </c>
    </row>
    <row r="585" spans="1:8" s="16" customFormat="1" ht="12" customHeight="1" x14ac:dyDescent="0.2">
      <c r="A585" s="31"/>
      <c r="B585" s="37"/>
      <c r="C585" s="25">
        <v>4430</v>
      </c>
      <c r="D585" s="41" t="s">
        <v>408</v>
      </c>
      <c r="E585" s="93">
        <v>5500</v>
      </c>
      <c r="F585" s="42"/>
      <c r="G585" s="42">
        <v>1000</v>
      </c>
      <c r="H585" s="44">
        <f t="shared" si="105"/>
        <v>4500</v>
      </c>
    </row>
    <row r="586" spans="1:8" s="16" customFormat="1" ht="12" customHeight="1" x14ac:dyDescent="0.2">
      <c r="A586" s="31"/>
      <c r="B586" s="37"/>
      <c r="C586" s="25">
        <v>4440</v>
      </c>
      <c r="D586" s="41" t="s">
        <v>409</v>
      </c>
      <c r="E586" s="93">
        <v>6652</v>
      </c>
      <c r="F586" s="42">
        <v>503</v>
      </c>
      <c r="G586" s="42"/>
      <c r="H586" s="44">
        <f t="shared" si="105"/>
        <v>7155</v>
      </c>
    </row>
    <row r="587" spans="1:8" s="16" customFormat="1" ht="12" customHeight="1" x14ac:dyDescent="0.2">
      <c r="A587" s="31"/>
      <c r="B587" s="37"/>
      <c r="C587" s="25">
        <v>4480</v>
      </c>
      <c r="D587" s="41" t="s">
        <v>152</v>
      </c>
      <c r="E587" s="93">
        <v>48100</v>
      </c>
      <c r="F587" s="42">
        <v>90</v>
      </c>
      <c r="G587" s="42"/>
      <c r="H587" s="44">
        <f t="shared" si="105"/>
        <v>48190</v>
      </c>
    </row>
    <row r="588" spans="1:8" s="16" customFormat="1" ht="12" customHeight="1" thickBot="1" x14ac:dyDescent="0.25">
      <c r="A588" s="32">
        <v>755</v>
      </c>
      <c r="B588" s="32"/>
      <c r="C588" s="33"/>
      <c r="D588" s="34" t="s">
        <v>447</v>
      </c>
      <c r="E588" s="30">
        <v>264000</v>
      </c>
      <c r="F588" s="35">
        <f>SUM(F589)</f>
        <v>5572</v>
      </c>
      <c r="G588" s="35">
        <f>SUM(G589)</f>
        <v>5572</v>
      </c>
      <c r="H588" s="30">
        <f>SUM(E588+F588-G588)</f>
        <v>264000</v>
      </c>
    </row>
    <row r="589" spans="1:8" s="16" customFormat="1" ht="12" customHeight="1" thickTop="1" x14ac:dyDescent="0.2">
      <c r="A589" s="105"/>
      <c r="B589" s="25">
        <v>75515</v>
      </c>
      <c r="C589" s="51"/>
      <c r="D589" s="61" t="s">
        <v>448</v>
      </c>
      <c r="E589" s="39">
        <v>264000</v>
      </c>
      <c r="F589" s="40">
        <f>SUM(F590)</f>
        <v>5572</v>
      </c>
      <c r="G589" s="40">
        <f>SUM(G590)</f>
        <v>5572</v>
      </c>
      <c r="H589" s="39">
        <f>SUM(E589+F589-G589)</f>
        <v>264000</v>
      </c>
    </row>
    <row r="590" spans="1:8" s="16" customFormat="1" ht="12" customHeight="1" x14ac:dyDescent="0.2">
      <c r="A590" s="17"/>
      <c r="B590" s="51"/>
      <c r="C590" s="25"/>
      <c r="D590" s="394" t="s">
        <v>165</v>
      </c>
      <c r="E590" s="377">
        <v>264000</v>
      </c>
      <c r="F590" s="377">
        <f>SUM(F591:F597)</f>
        <v>5572</v>
      </c>
      <c r="G590" s="377">
        <f>SUM(G591:G597)</f>
        <v>5572</v>
      </c>
      <c r="H590" s="364">
        <f>SUM(E590+F590-G590)</f>
        <v>264000</v>
      </c>
    </row>
    <row r="591" spans="1:8" s="16" customFormat="1" ht="12" customHeight="1" x14ac:dyDescent="0.2">
      <c r="A591" s="31"/>
      <c r="B591" s="37"/>
      <c r="C591" s="25">
        <v>4010</v>
      </c>
      <c r="D591" s="41" t="s">
        <v>106</v>
      </c>
      <c r="E591" s="44">
        <v>0</v>
      </c>
      <c r="F591" s="42">
        <v>4600</v>
      </c>
      <c r="G591" s="42"/>
      <c r="H591" s="43">
        <f t="shared" ref="H591:H597" si="106">SUM(E591+F591-G591)</f>
        <v>4600</v>
      </c>
    </row>
    <row r="592" spans="1:8" s="16" customFormat="1" ht="12" customHeight="1" x14ac:dyDescent="0.2">
      <c r="A592" s="31"/>
      <c r="B592" s="37"/>
      <c r="C592" s="25">
        <v>4110</v>
      </c>
      <c r="D592" s="41" t="s">
        <v>73</v>
      </c>
      <c r="E592" s="44">
        <v>0</v>
      </c>
      <c r="F592" s="42">
        <v>790</v>
      </c>
      <c r="G592" s="42"/>
      <c r="H592" s="43">
        <f t="shared" si="106"/>
        <v>790</v>
      </c>
    </row>
    <row r="593" spans="1:8" s="16" customFormat="1" ht="12" customHeight="1" x14ac:dyDescent="0.2">
      <c r="A593" s="31"/>
      <c r="B593" s="37"/>
      <c r="C593" s="25">
        <v>4120</v>
      </c>
      <c r="D593" s="41" t="s">
        <v>119</v>
      </c>
      <c r="E593" s="44">
        <v>0</v>
      </c>
      <c r="F593" s="42">
        <v>113</v>
      </c>
      <c r="G593" s="42"/>
      <c r="H593" s="43">
        <f t="shared" si="106"/>
        <v>113</v>
      </c>
    </row>
    <row r="594" spans="1:8" s="16" customFormat="1" ht="12" customHeight="1" x14ac:dyDescent="0.2">
      <c r="A594" s="31"/>
      <c r="B594" s="37"/>
      <c r="C594" s="81" t="s">
        <v>65</v>
      </c>
      <c r="D594" s="62" t="s">
        <v>66</v>
      </c>
      <c r="E594" s="44">
        <v>2490</v>
      </c>
      <c r="F594" s="42"/>
      <c r="G594" s="42">
        <v>1872</v>
      </c>
      <c r="H594" s="43">
        <f t="shared" si="106"/>
        <v>618</v>
      </c>
    </row>
    <row r="595" spans="1:8" s="16" customFormat="1" ht="12" customHeight="1" x14ac:dyDescent="0.2">
      <c r="A595" s="31"/>
      <c r="B595" s="37"/>
      <c r="C595" s="59">
        <v>4360</v>
      </c>
      <c r="D595" s="103" t="s">
        <v>101</v>
      </c>
      <c r="E595" s="44">
        <v>2900</v>
      </c>
      <c r="F595" s="42"/>
      <c r="G595" s="42">
        <v>1700</v>
      </c>
      <c r="H595" s="43">
        <f t="shared" si="106"/>
        <v>1200</v>
      </c>
    </row>
    <row r="596" spans="1:8" s="16" customFormat="1" ht="12" customHeight="1" x14ac:dyDescent="0.2">
      <c r="A596" s="31"/>
      <c r="B596" s="37"/>
      <c r="C596" s="59">
        <v>4700</v>
      </c>
      <c r="D596" s="85" t="s">
        <v>69</v>
      </c>
      <c r="E596" s="44">
        <v>2000</v>
      </c>
      <c r="F596" s="42"/>
      <c r="G596" s="42">
        <v>2000</v>
      </c>
      <c r="H596" s="43">
        <f t="shared" si="106"/>
        <v>0</v>
      </c>
    </row>
    <row r="597" spans="1:8" s="16" customFormat="1" ht="12" customHeight="1" x14ac:dyDescent="0.2">
      <c r="A597" s="31"/>
      <c r="B597" s="37"/>
      <c r="C597" s="25">
        <v>4710</v>
      </c>
      <c r="D597" s="62" t="s">
        <v>67</v>
      </c>
      <c r="E597" s="44">
        <v>0</v>
      </c>
      <c r="F597" s="42">
        <v>69</v>
      </c>
      <c r="G597" s="42"/>
      <c r="H597" s="43">
        <f t="shared" si="106"/>
        <v>69</v>
      </c>
    </row>
    <row r="598" spans="1:8" s="16" customFormat="1" ht="12" customHeight="1" thickBot="1" x14ac:dyDescent="0.25">
      <c r="A598" s="31">
        <v>801</v>
      </c>
      <c r="B598" s="32"/>
      <c r="C598" s="33"/>
      <c r="D598" s="34" t="s">
        <v>38</v>
      </c>
      <c r="E598" s="30">
        <v>53437.619999999995</v>
      </c>
      <c r="F598" s="30">
        <f>SUM(F601)</f>
        <v>0</v>
      </c>
      <c r="G598" s="30">
        <f>SUM(G601)</f>
        <v>942.17</v>
      </c>
      <c r="H598" s="30">
        <f>SUM(E598+F598-G598)</f>
        <v>52495.45</v>
      </c>
    </row>
    <row r="599" spans="1:8" s="16" customFormat="1" ht="12" customHeight="1" thickTop="1" x14ac:dyDescent="0.2">
      <c r="A599" s="31"/>
      <c r="B599" s="37">
        <v>80153</v>
      </c>
      <c r="C599" s="33"/>
      <c r="D599" s="62" t="s">
        <v>39</v>
      </c>
      <c r="E599" s="56"/>
      <c r="F599" s="56"/>
      <c r="G599" s="56"/>
      <c r="H599" s="56"/>
    </row>
    <row r="600" spans="1:8" s="16" customFormat="1" ht="12" customHeight="1" x14ac:dyDescent="0.2">
      <c r="A600" s="31"/>
      <c r="B600" s="32"/>
      <c r="C600" s="33"/>
      <c r="D600" s="62" t="s">
        <v>40</v>
      </c>
      <c r="E600" s="56"/>
      <c r="F600" s="56"/>
      <c r="G600" s="56"/>
      <c r="H600" s="56"/>
    </row>
    <row r="601" spans="1:8" s="16" customFormat="1" ht="12" customHeight="1" x14ac:dyDescent="0.2">
      <c r="A601" s="32"/>
      <c r="B601" s="37"/>
      <c r="C601" s="26"/>
      <c r="D601" s="38" t="s">
        <v>41</v>
      </c>
      <c r="E601" s="39">
        <v>53437.619999999995</v>
      </c>
      <c r="F601" s="39">
        <f>SUM(F602,F604)</f>
        <v>0</v>
      </c>
      <c r="G601" s="39">
        <f>SUM(G602,G604)</f>
        <v>942.17</v>
      </c>
      <c r="H601" s="39">
        <f>SUM(E601+F601-G601)</f>
        <v>52495.45</v>
      </c>
    </row>
    <row r="602" spans="1:8" s="16" customFormat="1" ht="45" customHeight="1" x14ac:dyDescent="0.2">
      <c r="A602" s="31"/>
      <c r="B602" s="49"/>
      <c r="C602" s="371"/>
      <c r="D602" s="367" t="s">
        <v>159</v>
      </c>
      <c r="E602" s="364">
        <v>932.86</v>
      </c>
      <c r="F602" s="365">
        <f>SUM(F603:F603)</f>
        <v>0</v>
      </c>
      <c r="G602" s="365">
        <f>SUM(G603:G603)</f>
        <v>932.86</v>
      </c>
      <c r="H602" s="364">
        <f t="shared" ref="H602:H607" si="107">SUM(E602+F602-G602)</f>
        <v>0</v>
      </c>
    </row>
    <row r="603" spans="1:8" s="16" customFormat="1" ht="23.25" customHeight="1" x14ac:dyDescent="0.2">
      <c r="A603" s="31"/>
      <c r="B603" s="49"/>
      <c r="C603" s="83" t="s">
        <v>86</v>
      </c>
      <c r="D603" s="87" t="s">
        <v>87</v>
      </c>
      <c r="E603" s="43">
        <v>932.86</v>
      </c>
      <c r="F603" s="43"/>
      <c r="G603" s="44">
        <v>932.86</v>
      </c>
      <c r="H603" s="43">
        <f t="shared" si="107"/>
        <v>0</v>
      </c>
    </row>
    <row r="604" spans="1:8" s="16" customFormat="1" ht="46.5" customHeight="1" x14ac:dyDescent="0.2">
      <c r="A604" s="31"/>
      <c r="B604" s="49"/>
      <c r="C604" s="371"/>
      <c r="D604" s="367" t="s">
        <v>160</v>
      </c>
      <c r="E604" s="364">
        <v>9.31</v>
      </c>
      <c r="F604" s="365">
        <f>SUM(F605:F605)</f>
        <v>0</v>
      </c>
      <c r="G604" s="365">
        <f>SUM(G605:G605)</f>
        <v>9.31</v>
      </c>
      <c r="H604" s="364">
        <f t="shared" si="107"/>
        <v>0</v>
      </c>
    </row>
    <row r="605" spans="1:8" s="16" customFormat="1" ht="23.25" customHeight="1" x14ac:dyDescent="0.2">
      <c r="A605" s="71"/>
      <c r="B605" s="72"/>
      <c r="C605" s="389" t="s">
        <v>86</v>
      </c>
      <c r="D605" s="390" t="s">
        <v>87</v>
      </c>
      <c r="E605" s="39">
        <v>9.31</v>
      </c>
      <c r="F605" s="39"/>
      <c r="G605" s="40">
        <v>9.31</v>
      </c>
      <c r="H605" s="39">
        <f t="shared" si="107"/>
        <v>0</v>
      </c>
    </row>
    <row r="606" spans="1:8" s="16" customFormat="1" ht="12" customHeight="1" thickBot="1" x14ac:dyDescent="0.25">
      <c r="A606" s="31">
        <v>852</v>
      </c>
      <c r="B606" s="32"/>
      <c r="C606" s="33"/>
      <c r="D606" s="108" t="s">
        <v>26</v>
      </c>
      <c r="E606" s="30">
        <v>516936</v>
      </c>
      <c r="F606" s="30">
        <f t="shared" ref="F606:G607" si="108">SUM(F607)</f>
        <v>212</v>
      </c>
      <c r="G606" s="30">
        <f t="shared" si="108"/>
        <v>212</v>
      </c>
      <c r="H606" s="30">
        <f t="shared" si="107"/>
        <v>516936</v>
      </c>
    </row>
    <row r="607" spans="1:8" s="16" customFormat="1" ht="12" customHeight="1" thickTop="1" x14ac:dyDescent="0.2">
      <c r="A607" s="31"/>
      <c r="B607" s="37">
        <v>85205</v>
      </c>
      <c r="C607" s="26"/>
      <c r="D607" s="97" t="s">
        <v>58</v>
      </c>
      <c r="E607" s="75">
        <v>516936</v>
      </c>
      <c r="F607" s="40">
        <f t="shared" si="108"/>
        <v>212</v>
      </c>
      <c r="G607" s="40">
        <f t="shared" si="108"/>
        <v>212</v>
      </c>
      <c r="H607" s="39">
        <f t="shared" si="107"/>
        <v>516936</v>
      </c>
    </row>
    <row r="608" spans="1:8" s="16" customFormat="1" ht="23.25" customHeight="1" x14ac:dyDescent="0.2">
      <c r="A608" s="113"/>
      <c r="B608" s="37"/>
      <c r="C608" s="409"/>
      <c r="D608" s="414" t="s">
        <v>173</v>
      </c>
      <c r="E608" s="364">
        <v>484536</v>
      </c>
      <c r="F608" s="365">
        <f>SUM(F609:F610)</f>
        <v>212</v>
      </c>
      <c r="G608" s="365">
        <f>SUM(G609:G610)</f>
        <v>212</v>
      </c>
      <c r="H608" s="364">
        <f>SUM(E608+F608-G608)</f>
        <v>484536</v>
      </c>
    </row>
    <row r="609" spans="1:8" s="16" customFormat="1" ht="12" customHeight="1" x14ac:dyDescent="0.2">
      <c r="A609" s="113"/>
      <c r="B609" s="37"/>
      <c r="C609" s="25">
        <v>4010</v>
      </c>
      <c r="D609" s="41" t="s">
        <v>106</v>
      </c>
      <c r="E609" s="45">
        <v>159436</v>
      </c>
      <c r="F609" s="42"/>
      <c r="G609" s="42">
        <v>212</v>
      </c>
      <c r="H609" s="45">
        <f t="shared" ref="H609:H610" si="109">SUM(E609+F609-G609)</f>
        <v>159224</v>
      </c>
    </row>
    <row r="610" spans="1:8" s="16" customFormat="1" ht="12" customHeight="1" x14ac:dyDescent="0.2">
      <c r="A610" s="113"/>
      <c r="B610" s="37"/>
      <c r="C610" s="25">
        <v>4440</v>
      </c>
      <c r="D610" s="41" t="s">
        <v>409</v>
      </c>
      <c r="E610" s="45">
        <v>3812</v>
      </c>
      <c r="F610" s="42">
        <v>212</v>
      </c>
      <c r="G610" s="42"/>
      <c r="H610" s="45">
        <f t="shared" si="109"/>
        <v>4024</v>
      </c>
    </row>
    <row r="611" spans="1:8" s="16" customFormat="1" ht="3.75" customHeight="1" x14ac:dyDescent="0.2">
      <c r="A611" s="118"/>
      <c r="B611" s="118"/>
      <c r="C611" s="46"/>
      <c r="D611" s="47"/>
      <c r="E611" s="39"/>
      <c r="F611" s="39"/>
      <c r="G611" s="39"/>
      <c r="H611" s="39"/>
    </row>
    <row r="612" spans="1:8" s="16" customFormat="1" ht="12.95" customHeight="1" x14ac:dyDescent="0.2"/>
    <row r="613" spans="1:8" s="16" customFormat="1" ht="12.95" customHeight="1" x14ac:dyDescent="0.2"/>
    <row r="614" spans="1:8" s="16" customFormat="1" ht="12.95" customHeight="1" x14ac:dyDescent="0.2"/>
    <row r="615" spans="1:8" s="16" customFormat="1" ht="12.95" customHeight="1" x14ac:dyDescent="0.2"/>
    <row r="616" spans="1:8" s="16" customFormat="1" ht="12.95" customHeight="1" x14ac:dyDescent="0.2"/>
    <row r="617" spans="1:8" s="16" customFormat="1" ht="12.95" customHeight="1" x14ac:dyDescent="0.2"/>
    <row r="618" spans="1:8" s="16" customFormat="1" ht="12.95" customHeight="1" x14ac:dyDescent="0.2"/>
    <row r="619" spans="1:8" s="16" customFormat="1" ht="12.95" customHeight="1" x14ac:dyDescent="0.2"/>
    <row r="620" spans="1:8" s="16" customFormat="1" ht="12.95" customHeight="1" x14ac:dyDescent="0.2"/>
    <row r="621" spans="1:8" s="16" customFormat="1" ht="12.95" customHeight="1" x14ac:dyDescent="0.2"/>
    <row r="622" spans="1:8" s="16" customFormat="1" ht="12.95" customHeight="1" x14ac:dyDescent="0.2"/>
    <row r="623" spans="1:8" s="16" customFormat="1" ht="12.95" customHeight="1" x14ac:dyDescent="0.2"/>
    <row r="624" spans="1:8" s="16" customFormat="1" ht="12.95" customHeight="1" x14ac:dyDescent="0.2"/>
    <row r="625" s="16" customFormat="1" ht="12.95" customHeight="1" x14ac:dyDescent="0.2"/>
    <row r="626" s="16" customFormat="1" ht="12.95" customHeight="1" x14ac:dyDescent="0.2"/>
    <row r="627" s="16" customFormat="1" ht="12.95" customHeight="1" x14ac:dyDescent="0.2"/>
    <row r="628" s="16" customFormat="1" ht="12.95" customHeight="1" x14ac:dyDescent="0.2"/>
    <row r="629" s="16" customFormat="1" ht="12.95" customHeight="1" x14ac:dyDescent="0.2"/>
    <row r="630" s="16" customFormat="1" ht="12.95" customHeight="1" x14ac:dyDescent="0.2"/>
    <row r="631" s="16" customFormat="1" ht="12.95" customHeight="1" x14ac:dyDescent="0.2"/>
    <row r="632" s="16" customFormat="1" ht="12.95" customHeight="1" x14ac:dyDescent="0.2"/>
    <row r="633" s="16" customFormat="1" ht="12.95" customHeight="1" x14ac:dyDescent="0.2"/>
    <row r="634" s="16" customFormat="1" ht="12.95" customHeight="1" x14ac:dyDescent="0.2"/>
    <row r="635" s="16" customFormat="1" ht="12.95" customHeight="1" x14ac:dyDescent="0.2"/>
    <row r="636" s="16" customFormat="1" ht="12.95" customHeight="1" x14ac:dyDescent="0.2"/>
    <row r="637" s="16" customFormat="1" ht="12.95" customHeight="1" x14ac:dyDescent="0.2"/>
    <row r="638" s="16" customFormat="1" ht="12.95" customHeight="1" x14ac:dyDescent="0.2"/>
    <row r="639" s="16" customFormat="1" ht="12.95" customHeight="1" x14ac:dyDescent="0.2"/>
    <row r="640" s="16" customFormat="1" ht="12.95" customHeight="1" x14ac:dyDescent="0.2"/>
    <row r="641" s="16" customFormat="1" ht="12.95" customHeight="1" x14ac:dyDescent="0.2"/>
    <row r="642" s="16" customFormat="1" ht="12.95" customHeight="1" x14ac:dyDescent="0.2"/>
    <row r="643" s="16" customFormat="1" ht="12.95" customHeight="1" x14ac:dyDescent="0.2"/>
    <row r="644" s="16" customFormat="1" ht="12.95" customHeight="1" x14ac:dyDescent="0.2"/>
    <row r="645" s="16" customFormat="1" ht="12.95" customHeight="1" x14ac:dyDescent="0.2"/>
    <row r="646" s="16" customFormat="1" ht="12.95" customHeight="1" x14ac:dyDescent="0.2"/>
    <row r="647" s="16" customFormat="1" ht="12.95" customHeight="1" x14ac:dyDescent="0.2"/>
    <row r="648" s="16" customFormat="1" ht="12.95" customHeight="1" x14ac:dyDescent="0.2"/>
    <row r="649" s="16" customFormat="1" ht="12.95" customHeight="1" x14ac:dyDescent="0.2"/>
    <row r="650" s="16" customFormat="1" ht="12.95" customHeight="1" x14ac:dyDescent="0.2"/>
    <row r="651" s="16" customFormat="1" ht="12.95" customHeight="1" x14ac:dyDescent="0.2"/>
    <row r="652" s="16" customFormat="1" ht="12.95" customHeight="1" x14ac:dyDescent="0.2"/>
    <row r="653" s="16" customFormat="1" ht="12.95" customHeight="1" x14ac:dyDescent="0.2"/>
    <row r="654" s="16" customFormat="1" ht="12.95" customHeight="1" x14ac:dyDescent="0.2"/>
    <row r="655" s="16" customFormat="1" ht="12.95" customHeight="1" x14ac:dyDescent="0.2"/>
    <row r="656" s="16" customFormat="1" ht="12.95" customHeight="1" x14ac:dyDescent="0.2"/>
    <row r="657" s="16" customFormat="1" ht="12.95" customHeight="1" x14ac:dyDescent="0.2"/>
    <row r="658" s="16" customFormat="1" ht="12.95" customHeight="1" x14ac:dyDescent="0.2"/>
    <row r="659" s="16" customFormat="1" ht="12.95" customHeight="1" x14ac:dyDescent="0.2"/>
    <row r="660" s="16" customFormat="1" ht="12.95" customHeight="1" x14ac:dyDescent="0.2"/>
    <row r="661" s="16" customFormat="1" ht="12.95" customHeight="1" x14ac:dyDescent="0.2"/>
    <row r="662" s="16" customFormat="1" ht="12.95" customHeight="1" x14ac:dyDescent="0.2"/>
    <row r="663" s="16" customFormat="1" ht="12.95" customHeight="1" x14ac:dyDescent="0.2"/>
    <row r="664" s="16" customFormat="1" ht="12.95" customHeight="1" x14ac:dyDescent="0.2"/>
    <row r="665" s="16" customFormat="1" ht="12.95" customHeight="1" x14ac:dyDescent="0.2"/>
    <row r="666" s="16" customFormat="1" ht="12.95" customHeight="1" x14ac:dyDescent="0.2"/>
    <row r="667" s="16" customFormat="1" ht="12.95" customHeight="1" x14ac:dyDescent="0.2"/>
    <row r="668" s="16" customFormat="1" ht="12.95" customHeight="1" x14ac:dyDescent="0.2"/>
    <row r="669" s="16" customFormat="1" ht="12.95" customHeight="1" x14ac:dyDescent="0.2"/>
    <row r="670" s="16" customFormat="1" ht="12.95" customHeight="1" x14ac:dyDescent="0.2"/>
    <row r="671" s="16" customFormat="1" ht="12.95" customHeight="1" x14ac:dyDescent="0.2"/>
    <row r="672" s="16" customFormat="1" ht="12.95" customHeight="1" x14ac:dyDescent="0.2"/>
    <row r="673" s="16" customFormat="1" ht="12.95" customHeight="1" x14ac:dyDescent="0.2"/>
    <row r="674" s="16" customFormat="1" ht="12.95" customHeight="1" x14ac:dyDescent="0.2"/>
    <row r="675" s="16" customFormat="1" ht="12.95" customHeight="1" x14ac:dyDescent="0.2"/>
    <row r="676" s="16" customFormat="1" ht="12.95" customHeight="1" x14ac:dyDescent="0.2"/>
    <row r="677" s="16" customFormat="1" ht="12.95" customHeight="1" x14ac:dyDescent="0.2"/>
    <row r="678" s="16" customFormat="1" ht="12.95" customHeight="1" x14ac:dyDescent="0.2"/>
    <row r="679" ht="12.95" customHeight="1" x14ac:dyDescent="0.25"/>
    <row r="680" ht="12.95" customHeight="1" x14ac:dyDescent="0.25"/>
    <row r="681" ht="12.95" customHeight="1" x14ac:dyDescent="0.25"/>
    <row r="682" ht="12.95" customHeight="1" x14ac:dyDescent="0.25"/>
    <row r="683" ht="12.95" customHeight="1" x14ac:dyDescent="0.25"/>
    <row r="684" ht="12.95" customHeight="1" x14ac:dyDescent="0.25"/>
    <row r="685" ht="12.95" customHeight="1" x14ac:dyDescent="0.25"/>
    <row r="686" ht="12.95" customHeight="1" x14ac:dyDescent="0.25"/>
    <row r="687" ht="12.95" customHeight="1" x14ac:dyDescent="0.25"/>
    <row r="688" ht="12.95" customHeight="1" x14ac:dyDescent="0.25"/>
    <row r="689" ht="12.95" customHeight="1" x14ac:dyDescent="0.25"/>
    <row r="690" ht="12.9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8" manualBreakCount="8">
    <brk id="76" max="7" man="1"/>
    <brk id="108" max="7" man="1"/>
    <brk id="156" max="7" man="1"/>
    <brk id="205" max="7" man="1"/>
    <brk id="251" max="7" man="1"/>
    <brk id="302" max="7" man="1"/>
    <brk id="466" max="7" man="1"/>
    <brk id="60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4F9C8-0470-4FE0-BAFC-E0154E26229D}">
  <sheetPr>
    <tabColor theme="4" tint="0.79998168889431442"/>
  </sheetPr>
  <dimension ref="A1:O41"/>
  <sheetViews>
    <sheetView zoomScaleNormal="100" workbookViewId="0">
      <pane ySplit="15" topLeftCell="A16" activePane="bottomLeft" state="frozen"/>
      <selection pane="bottomLeft"/>
    </sheetView>
  </sheetViews>
  <sheetFormatPr defaultRowHeight="12.75" x14ac:dyDescent="0.25"/>
  <cols>
    <col min="1" max="1" width="4.140625" style="499" customWidth="1"/>
    <col min="2" max="2" width="6.7109375" style="499" customWidth="1"/>
    <col min="3" max="3" width="5.5703125" style="442" hidden="1" customWidth="1"/>
    <col min="4" max="4" width="61.7109375" style="429" customWidth="1"/>
    <col min="5" max="5" width="12.7109375" style="429" customWidth="1"/>
    <col min="6" max="6" width="12.42578125" style="429" customWidth="1"/>
    <col min="7" max="7" width="14.140625" style="502" customWidth="1"/>
    <col min="8" max="8" width="13.140625" style="502" customWidth="1"/>
    <col min="9" max="9" width="13" style="502" customWidth="1"/>
    <col min="10" max="10" width="12.5703125" style="502" customWidth="1"/>
    <col min="11" max="11" width="14.5703125" style="502" customWidth="1"/>
    <col min="12" max="12" width="7.5703125" style="502" customWidth="1"/>
    <col min="13" max="13" width="13.7109375" style="501" customWidth="1"/>
    <col min="14" max="14" width="13.42578125" style="429" customWidth="1"/>
    <col min="15" max="15" width="15.140625" style="429" customWidth="1"/>
    <col min="16" max="256" width="9.140625" style="429"/>
    <col min="257" max="257" width="4.140625" style="429" customWidth="1"/>
    <col min="258" max="258" width="7.28515625" style="429" customWidth="1"/>
    <col min="259" max="259" width="0" style="429" hidden="1" customWidth="1"/>
    <col min="260" max="260" width="61.7109375" style="429" customWidth="1"/>
    <col min="261" max="261" width="14" style="429" customWidth="1"/>
    <col min="262" max="262" width="13.28515625" style="429" customWidth="1"/>
    <col min="263" max="263" width="14.140625" style="429" customWidth="1"/>
    <col min="264" max="264" width="13.140625" style="429" customWidth="1"/>
    <col min="265" max="265" width="13" style="429" customWidth="1"/>
    <col min="266" max="266" width="12.5703125" style="429" customWidth="1"/>
    <col min="267" max="267" width="14.5703125" style="429" customWidth="1"/>
    <col min="268" max="268" width="7.5703125" style="429" customWidth="1"/>
    <col min="269" max="269" width="13.7109375" style="429" customWidth="1"/>
    <col min="270" max="270" width="13.42578125" style="429" customWidth="1"/>
    <col min="271" max="271" width="15.140625" style="429" customWidth="1"/>
    <col min="272" max="512" width="9.140625" style="429"/>
    <col min="513" max="513" width="4.140625" style="429" customWidth="1"/>
    <col min="514" max="514" width="7.28515625" style="429" customWidth="1"/>
    <col min="515" max="515" width="0" style="429" hidden="1" customWidth="1"/>
    <col min="516" max="516" width="61.7109375" style="429" customWidth="1"/>
    <col min="517" max="517" width="14" style="429" customWidth="1"/>
    <col min="518" max="518" width="13.28515625" style="429" customWidth="1"/>
    <col min="519" max="519" width="14.140625" style="429" customWidth="1"/>
    <col min="520" max="520" width="13.140625" style="429" customWidth="1"/>
    <col min="521" max="521" width="13" style="429" customWidth="1"/>
    <col min="522" max="522" width="12.5703125" style="429" customWidth="1"/>
    <col min="523" max="523" width="14.5703125" style="429" customWidth="1"/>
    <col min="524" max="524" width="7.5703125" style="429" customWidth="1"/>
    <col min="525" max="525" width="13.7109375" style="429" customWidth="1"/>
    <col min="526" max="526" width="13.42578125" style="429" customWidth="1"/>
    <col min="527" max="527" width="15.140625" style="429" customWidth="1"/>
    <col min="528" max="768" width="9.140625" style="429"/>
    <col min="769" max="769" width="4.140625" style="429" customWidth="1"/>
    <col min="770" max="770" width="7.28515625" style="429" customWidth="1"/>
    <col min="771" max="771" width="0" style="429" hidden="1" customWidth="1"/>
    <col min="772" max="772" width="61.7109375" style="429" customWidth="1"/>
    <col min="773" max="773" width="14" style="429" customWidth="1"/>
    <col min="774" max="774" width="13.28515625" style="429" customWidth="1"/>
    <col min="775" max="775" width="14.140625" style="429" customWidth="1"/>
    <col min="776" max="776" width="13.140625" style="429" customWidth="1"/>
    <col min="777" max="777" width="13" style="429" customWidth="1"/>
    <col min="778" max="778" width="12.5703125" style="429" customWidth="1"/>
    <col min="779" max="779" width="14.5703125" style="429" customWidth="1"/>
    <col min="780" max="780" width="7.5703125" style="429" customWidth="1"/>
    <col min="781" max="781" width="13.7109375" style="429" customWidth="1"/>
    <col min="782" max="782" width="13.42578125" style="429" customWidth="1"/>
    <col min="783" max="783" width="15.140625" style="429" customWidth="1"/>
    <col min="784" max="1024" width="9.140625" style="429"/>
    <col min="1025" max="1025" width="4.140625" style="429" customWidth="1"/>
    <col min="1026" max="1026" width="7.28515625" style="429" customWidth="1"/>
    <col min="1027" max="1027" width="0" style="429" hidden="1" customWidth="1"/>
    <col min="1028" max="1028" width="61.7109375" style="429" customWidth="1"/>
    <col min="1029" max="1029" width="14" style="429" customWidth="1"/>
    <col min="1030" max="1030" width="13.28515625" style="429" customWidth="1"/>
    <col min="1031" max="1031" width="14.140625" style="429" customWidth="1"/>
    <col min="1032" max="1032" width="13.140625" style="429" customWidth="1"/>
    <col min="1033" max="1033" width="13" style="429" customWidth="1"/>
    <col min="1034" max="1034" width="12.5703125" style="429" customWidth="1"/>
    <col min="1035" max="1035" width="14.5703125" style="429" customWidth="1"/>
    <col min="1036" max="1036" width="7.5703125" style="429" customWidth="1"/>
    <col min="1037" max="1037" width="13.7109375" style="429" customWidth="1"/>
    <col min="1038" max="1038" width="13.42578125" style="429" customWidth="1"/>
    <col min="1039" max="1039" width="15.140625" style="429" customWidth="1"/>
    <col min="1040" max="1280" width="9.140625" style="429"/>
    <col min="1281" max="1281" width="4.140625" style="429" customWidth="1"/>
    <col min="1282" max="1282" width="7.28515625" style="429" customWidth="1"/>
    <col min="1283" max="1283" width="0" style="429" hidden="1" customWidth="1"/>
    <col min="1284" max="1284" width="61.7109375" style="429" customWidth="1"/>
    <col min="1285" max="1285" width="14" style="429" customWidth="1"/>
    <col min="1286" max="1286" width="13.28515625" style="429" customWidth="1"/>
    <col min="1287" max="1287" width="14.140625" style="429" customWidth="1"/>
    <col min="1288" max="1288" width="13.140625" style="429" customWidth="1"/>
    <col min="1289" max="1289" width="13" style="429" customWidth="1"/>
    <col min="1290" max="1290" width="12.5703125" style="429" customWidth="1"/>
    <col min="1291" max="1291" width="14.5703125" style="429" customWidth="1"/>
    <col min="1292" max="1292" width="7.5703125" style="429" customWidth="1"/>
    <col min="1293" max="1293" width="13.7109375" style="429" customWidth="1"/>
    <col min="1294" max="1294" width="13.42578125" style="429" customWidth="1"/>
    <col min="1295" max="1295" width="15.140625" style="429" customWidth="1"/>
    <col min="1296" max="1536" width="9.140625" style="429"/>
    <col min="1537" max="1537" width="4.140625" style="429" customWidth="1"/>
    <col min="1538" max="1538" width="7.28515625" style="429" customWidth="1"/>
    <col min="1539" max="1539" width="0" style="429" hidden="1" customWidth="1"/>
    <col min="1540" max="1540" width="61.7109375" style="429" customWidth="1"/>
    <col min="1541" max="1541" width="14" style="429" customWidth="1"/>
    <col min="1542" max="1542" width="13.28515625" style="429" customWidth="1"/>
    <col min="1543" max="1543" width="14.140625" style="429" customWidth="1"/>
    <col min="1544" max="1544" width="13.140625" style="429" customWidth="1"/>
    <col min="1545" max="1545" width="13" style="429" customWidth="1"/>
    <col min="1546" max="1546" width="12.5703125" style="429" customWidth="1"/>
    <col min="1547" max="1547" width="14.5703125" style="429" customWidth="1"/>
    <col min="1548" max="1548" width="7.5703125" style="429" customWidth="1"/>
    <col min="1549" max="1549" width="13.7109375" style="429" customWidth="1"/>
    <col min="1550" max="1550" width="13.42578125" style="429" customWidth="1"/>
    <col min="1551" max="1551" width="15.140625" style="429" customWidth="1"/>
    <col min="1552" max="1792" width="9.140625" style="429"/>
    <col min="1793" max="1793" width="4.140625" style="429" customWidth="1"/>
    <col min="1794" max="1794" width="7.28515625" style="429" customWidth="1"/>
    <col min="1795" max="1795" width="0" style="429" hidden="1" customWidth="1"/>
    <col min="1796" max="1796" width="61.7109375" style="429" customWidth="1"/>
    <col min="1797" max="1797" width="14" style="429" customWidth="1"/>
    <col min="1798" max="1798" width="13.28515625" style="429" customWidth="1"/>
    <col min="1799" max="1799" width="14.140625" style="429" customWidth="1"/>
    <col min="1800" max="1800" width="13.140625" style="429" customWidth="1"/>
    <col min="1801" max="1801" width="13" style="429" customWidth="1"/>
    <col min="1802" max="1802" width="12.5703125" style="429" customWidth="1"/>
    <col min="1803" max="1803" width="14.5703125" style="429" customWidth="1"/>
    <col min="1804" max="1804" width="7.5703125" style="429" customWidth="1"/>
    <col min="1805" max="1805" width="13.7109375" style="429" customWidth="1"/>
    <col min="1806" max="1806" width="13.42578125" style="429" customWidth="1"/>
    <col min="1807" max="1807" width="15.140625" style="429" customWidth="1"/>
    <col min="1808" max="2048" width="9.140625" style="429"/>
    <col min="2049" max="2049" width="4.140625" style="429" customWidth="1"/>
    <col min="2050" max="2050" width="7.28515625" style="429" customWidth="1"/>
    <col min="2051" max="2051" width="0" style="429" hidden="1" customWidth="1"/>
    <col min="2052" max="2052" width="61.7109375" style="429" customWidth="1"/>
    <col min="2053" max="2053" width="14" style="429" customWidth="1"/>
    <col min="2054" max="2054" width="13.28515625" style="429" customWidth="1"/>
    <col min="2055" max="2055" width="14.140625" style="429" customWidth="1"/>
    <col min="2056" max="2056" width="13.140625" style="429" customWidth="1"/>
    <col min="2057" max="2057" width="13" style="429" customWidth="1"/>
    <col min="2058" max="2058" width="12.5703125" style="429" customWidth="1"/>
    <col min="2059" max="2059" width="14.5703125" style="429" customWidth="1"/>
    <col min="2060" max="2060" width="7.5703125" style="429" customWidth="1"/>
    <col min="2061" max="2061" width="13.7109375" style="429" customWidth="1"/>
    <col min="2062" max="2062" width="13.42578125" style="429" customWidth="1"/>
    <col min="2063" max="2063" width="15.140625" style="429" customWidth="1"/>
    <col min="2064" max="2304" width="9.140625" style="429"/>
    <col min="2305" max="2305" width="4.140625" style="429" customWidth="1"/>
    <col min="2306" max="2306" width="7.28515625" style="429" customWidth="1"/>
    <col min="2307" max="2307" width="0" style="429" hidden="1" customWidth="1"/>
    <col min="2308" max="2308" width="61.7109375" style="429" customWidth="1"/>
    <col min="2309" max="2309" width="14" style="429" customWidth="1"/>
    <col min="2310" max="2310" width="13.28515625" style="429" customWidth="1"/>
    <col min="2311" max="2311" width="14.140625" style="429" customWidth="1"/>
    <col min="2312" max="2312" width="13.140625" style="429" customWidth="1"/>
    <col min="2313" max="2313" width="13" style="429" customWidth="1"/>
    <col min="2314" max="2314" width="12.5703125" style="429" customWidth="1"/>
    <col min="2315" max="2315" width="14.5703125" style="429" customWidth="1"/>
    <col min="2316" max="2316" width="7.5703125" style="429" customWidth="1"/>
    <col min="2317" max="2317" width="13.7109375" style="429" customWidth="1"/>
    <col min="2318" max="2318" width="13.42578125" style="429" customWidth="1"/>
    <col min="2319" max="2319" width="15.140625" style="429" customWidth="1"/>
    <col min="2320" max="2560" width="9.140625" style="429"/>
    <col min="2561" max="2561" width="4.140625" style="429" customWidth="1"/>
    <col min="2562" max="2562" width="7.28515625" style="429" customWidth="1"/>
    <col min="2563" max="2563" width="0" style="429" hidden="1" customWidth="1"/>
    <col min="2564" max="2564" width="61.7109375" style="429" customWidth="1"/>
    <col min="2565" max="2565" width="14" style="429" customWidth="1"/>
    <col min="2566" max="2566" width="13.28515625" style="429" customWidth="1"/>
    <col min="2567" max="2567" width="14.140625" style="429" customWidth="1"/>
    <col min="2568" max="2568" width="13.140625" style="429" customWidth="1"/>
    <col min="2569" max="2569" width="13" style="429" customWidth="1"/>
    <col min="2570" max="2570" width="12.5703125" style="429" customWidth="1"/>
    <col min="2571" max="2571" width="14.5703125" style="429" customWidth="1"/>
    <col min="2572" max="2572" width="7.5703125" style="429" customWidth="1"/>
    <col min="2573" max="2573" width="13.7109375" style="429" customWidth="1"/>
    <col min="2574" max="2574" width="13.42578125" style="429" customWidth="1"/>
    <col min="2575" max="2575" width="15.140625" style="429" customWidth="1"/>
    <col min="2576" max="2816" width="9.140625" style="429"/>
    <col min="2817" max="2817" width="4.140625" style="429" customWidth="1"/>
    <col min="2818" max="2818" width="7.28515625" style="429" customWidth="1"/>
    <col min="2819" max="2819" width="0" style="429" hidden="1" customWidth="1"/>
    <col min="2820" max="2820" width="61.7109375" style="429" customWidth="1"/>
    <col min="2821" max="2821" width="14" style="429" customWidth="1"/>
    <col min="2822" max="2822" width="13.28515625" style="429" customWidth="1"/>
    <col min="2823" max="2823" width="14.140625" style="429" customWidth="1"/>
    <col min="2824" max="2824" width="13.140625" style="429" customWidth="1"/>
    <col min="2825" max="2825" width="13" style="429" customWidth="1"/>
    <col min="2826" max="2826" width="12.5703125" style="429" customWidth="1"/>
    <col min="2827" max="2827" width="14.5703125" style="429" customWidth="1"/>
    <col min="2828" max="2828" width="7.5703125" style="429" customWidth="1"/>
    <col min="2829" max="2829" width="13.7109375" style="429" customWidth="1"/>
    <col min="2830" max="2830" width="13.42578125" style="429" customWidth="1"/>
    <col min="2831" max="2831" width="15.140625" style="429" customWidth="1"/>
    <col min="2832" max="3072" width="9.140625" style="429"/>
    <col min="3073" max="3073" width="4.140625" style="429" customWidth="1"/>
    <col min="3074" max="3074" width="7.28515625" style="429" customWidth="1"/>
    <col min="3075" max="3075" width="0" style="429" hidden="1" customWidth="1"/>
    <col min="3076" max="3076" width="61.7109375" style="429" customWidth="1"/>
    <col min="3077" max="3077" width="14" style="429" customWidth="1"/>
    <col min="3078" max="3078" width="13.28515625" style="429" customWidth="1"/>
    <col min="3079" max="3079" width="14.140625" style="429" customWidth="1"/>
    <col min="3080" max="3080" width="13.140625" style="429" customWidth="1"/>
    <col min="3081" max="3081" width="13" style="429" customWidth="1"/>
    <col min="3082" max="3082" width="12.5703125" style="429" customWidth="1"/>
    <col min="3083" max="3083" width="14.5703125" style="429" customWidth="1"/>
    <col min="3084" max="3084" width="7.5703125" style="429" customWidth="1"/>
    <col min="3085" max="3085" width="13.7109375" style="429" customWidth="1"/>
    <col min="3086" max="3086" width="13.42578125" style="429" customWidth="1"/>
    <col min="3087" max="3087" width="15.140625" style="429" customWidth="1"/>
    <col min="3088" max="3328" width="9.140625" style="429"/>
    <col min="3329" max="3329" width="4.140625" style="429" customWidth="1"/>
    <col min="3330" max="3330" width="7.28515625" style="429" customWidth="1"/>
    <col min="3331" max="3331" width="0" style="429" hidden="1" customWidth="1"/>
    <col min="3332" max="3332" width="61.7109375" style="429" customWidth="1"/>
    <col min="3333" max="3333" width="14" style="429" customWidth="1"/>
    <col min="3334" max="3334" width="13.28515625" style="429" customWidth="1"/>
    <col min="3335" max="3335" width="14.140625" style="429" customWidth="1"/>
    <col min="3336" max="3336" width="13.140625" style="429" customWidth="1"/>
    <col min="3337" max="3337" width="13" style="429" customWidth="1"/>
    <col min="3338" max="3338" width="12.5703125" style="429" customWidth="1"/>
    <col min="3339" max="3339" width="14.5703125" style="429" customWidth="1"/>
    <col min="3340" max="3340" width="7.5703125" style="429" customWidth="1"/>
    <col min="3341" max="3341" width="13.7109375" style="429" customWidth="1"/>
    <col min="3342" max="3342" width="13.42578125" style="429" customWidth="1"/>
    <col min="3343" max="3343" width="15.140625" style="429" customWidth="1"/>
    <col min="3344" max="3584" width="9.140625" style="429"/>
    <col min="3585" max="3585" width="4.140625" style="429" customWidth="1"/>
    <col min="3586" max="3586" width="7.28515625" style="429" customWidth="1"/>
    <col min="3587" max="3587" width="0" style="429" hidden="1" customWidth="1"/>
    <col min="3588" max="3588" width="61.7109375" style="429" customWidth="1"/>
    <col min="3589" max="3589" width="14" style="429" customWidth="1"/>
    <col min="3590" max="3590" width="13.28515625" style="429" customWidth="1"/>
    <col min="3591" max="3591" width="14.140625" style="429" customWidth="1"/>
    <col min="3592" max="3592" width="13.140625" style="429" customWidth="1"/>
    <col min="3593" max="3593" width="13" style="429" customWidth="1"/>
    <col min="3594" max="3594" width="12.5703125" style="429" customWidth="1"/>
    <col min="3595" max="3595" width="14.5703125" style="429" customWidth="1"/>
    <col min="3596" max="3596" width="7.5703125" style="429" customWidth="1"/>
    <col min="3597" max="3597" width="13.7109375" style="429" customWidth="1"/>
    <col min="3598" max="3598" width="13.42578125" style="429" customWidth="1"/>
    <col min="3599" max="3599" width="15.140625" style="429" customWidth="1"/>
    <col min="3600" max="3840" width="9.140625" style="429"/>
    <col min="3841" max="3841" width="4.140625" style="429" customWidth="1"/>
    <col min="3842" max="3842" width="7.28515625" style="429" customWidth="1"/>
    <col min="3843" max="3843" width="0" style="429" hidden="1" customWidth="1"/>
    <col min="3844" max="3844" width="61.7109375" style="429" customWidth="1"/>
    <col min="3845" max="3845" width="14" style="429" customWidth="1"/>
    <col min="3846" max="3846" width="13.28515625" style="429" customWidth="1"/>
    <col min="3847" max="3847" width="14.140625" style="429" customWidth="1"/>
    <col min="3848" max="3848" width="13.140625" style="429" customWidth="1"/>
    <col min="3849" max="3849" width="13" style="429" customWidth="1"/>
    <col min="3850" max="3850" width="12.5703125" style="429" customWidth="1"/>
    <col min="3851" max="3851" width="14.5703125" style="429" customWidth="1"/>
    <col min="3852" max="3852" width="7.5703125" style="429" customWidth="1"/>
    <col min="3853" max="3853" width="13.7109375" style="429" customWidth="1"/>
    <col min="3854" max="3854" width="13.42578125" style="429" customWidth="1"/>
    <col min="3855" max="3855" width="15.140625" style="429" customWidth="1"/>
    <col min="3856" max="4096" width="9.140625" style="429"/>
    <col min="4097" max="4097" width="4.140625" style="429" customWidth="1"/>
    <col min="4098" max="4098" width="7.28515625" style="429" customWidth="1"/>
    <col min="4099" max="4099" width="0" style="429" hidden="1" customWidth="1"/>
    <col min="4100" max="4100" width="61.7109375" style="429" customWidth="1"/>
    <col min="4101" max="4101" width="14" style="429" customWidth="1"/>
    <col min="4102" max="4102" width="13.28515625" style="429" customWidth="1"/>
    <col min="4103" max="4103" width="14.140625" style="429" customWidth="1"/>
    <col min="4104" max="4104" width="13.140625" style="429" customWidth="1"/>
    <col min="4105" max="4105" width="13" style="429" customWidth="1"/>
    <col min="4106" max="4106" width="12.5703125" style="429" customWidth="1"/>
    <col min="4107" max="4107" width="14.5703125" style="429" customWidth="1"/>
    <col min="4108" max="4108" width="7.5703125" style="429" customWidth="1"/>
    <col min="4109" max="4109" width="13.7109375" style="429" customWidth="1"/>
    <col min="4110" max="4110" width="13.42578125" style="429" customWidth="1"/>
    <col min="4111" max="4111" width="15.140625" style="429" customWidth="1"/>
    <col min="4112" max="4352" width="9.140625" style="429"/>
    <col min="4353" max="4353" width="4.140625" style="429" customWidth="1"/>
    <col min="4354" max="4354" width="7.28515625" style="429" customWidth="1"/>
    <col min="4355" max="4355" width="0" style="429" hidden="1" customWidth="1"/>
    <col min="4356" max="4356" width="61.7109375" style="429" customWidth="1"/>
    <col min="4357" max="4357" width="14" style="429" customWidth="1"/>
    <col min="4358" max="4358" width="13.28515625" style="429" customWidth="1"/>
    <col min="4359" max="4359" width="14.140625" style="429" customWidth="1"/>
    <col min="4360" max="4360" width="13.140625" style="429" customWidth="1"/>
    <col min="4361" max="4361" width="13" style="429" customWidth="1"/>
    <col min="4362" max="4362" width="12.5703125" style="429" customWidth="1"/>
    <col min="4363" max="4363" width="14.5703125" style="429" customWidth="1"/>
    <col min="4364" max="4364" width="7.5703125" style="429" customWidth="1"/>
    <col min="4365" max="4365" width="13.7109375" style="429" customWidth="1"/>
    <col min="4366" max="4366" width="13.42578125" style="429" customWidth="1"/>
    <col min="4367" max="4367" width="15.140625" style="429" customWidth="1"/>
    <col min="4368" max="4608" width="9.140625" style="429"/>
    <col min="4609" max="4609" width="4.140625" style="429" customWidth="1"/>
    <col min="4610" max="4610" width="7.28515625" style="429" customWidth="1"/>
    <col min="4611" max="4611" width="0" style="429" hidden="1" customWidth="1"/>
    <col min="4612" max="4612" width="61.7109375" style="429" customWidth="1"/>
    <col min="4613" max="4613" width="14" style="429" customWidth="1"/>
    <col min="4614" max="4614" width="13.28515625" style="429" customWidth="1"/>
    <col min="4615" max="4615" width="14.140625" style="429" customWidth="1"/>
    <col min="4616" max="4616" width="13.140625" style="429" customWidth="1"/>
    <col min="4617" max="4617" width="13" style="429" customWidth="1"/>
    <col min="4618" max="4618" width="12.5703125" style="429" customWidth="1"/>
    <col min="4619" max="4619" width="14.5703125" style="429" customWidth="1"/>
    <col min="4620" max="4620" width="7.5703125" style="429" customWidth="1"/>
    <col min="4621" max="4621" width="13.7109375" style="429" customWidth="1"/>
    <col min="4622" max="4622" width="13.42578125" style="429" customWidth="1"/>
    <col min="4623" max="4623" width="15.140625" style="429" customWidth="1"/>
    <col min="4624" max="4864" width="9.140625" style="429"/>
    <col min="4865" max="4865" width="4.140625" style="429" customWidth="1"/>
    <col min="4866" max="4866" width="7.28515625" style="429" customWidth="1"/>
    <col min="4867" max="4867" width="0" style="429" hidden="1" customWidth="1"/>
    <col min="4868" max="4868" width="61.7109375" style="429" customWidth="1"/>
    <col min="4869" max="4869" width="14" style="429" customWidth="1"/>
    <col min="4870" max="4870" width="13.28515625" style="429" customWidth="1"/>
    <col min="4871" max="4871" width="14.140625" style="429" customWidth="1"/>
    <col min="4872" max="4872" width="13.140625" style="429" customWidth="1"/>
    <col min="4873" max="4873" width="13" style="429" customWidth="1"/>
    <col min="4874" max="4874" width="12.5703125" style="429" customWidth="1"/>
    <col min="4875" max="4875" width="14.5703125" style="429" customWidth="1"/>
    <col min="4876" max="4876" width="7.5703125" style="429" customWidth="1"/>
    <col min="4877" max="4877" width="13.7109375" style="429" customWidth="1"/>
    <col min="4878" max="4878" width="13.42578125" style="429" customWidth="1"/>
    <col min="4879" max="4879" width="15.140625" style="429" customWidth="1"/>
    <col min="4880" max="5120" width="9.140625" style="429"/>
    <col min="5121" max="5121" width="4.140625" style="429" customWidth="1"/>
    <col min="5122" max="5122" width="7.28515625" style="429" customWidth="1"/>
    <col min="5123" max="5123" width="0" style="429" hidden="1" customWidth="1"/>
    <col min="5124" max="5124" width="61.7109375" style="429" customWidth="1"/>
    <col min="5125" max="5125" width="14" style="429" customWidth="1"/>
    <col min="5126" max="5126" width="13.28515625" style="429" customWidth="1"/>
    <col min="5127" max="5127" width="14.140625" style="429" customWidth="1"/>
    <col min="5128" max="5128" width="13.140625" style="429" customWidth="1"/>
    <col min="5129" max="5129" width="13" style="429" customWidth="1"/>
    <col min="5130" max="5130" width="12.5703125" style="429" customWidth="1"/>
    <col min="5131" max="5131" width="14.5703125" style="429" customWidth="1"/>
    <col min="5132" max="5132" width="7.5703125" style="429" customWidth="1"/>
    <col min="5133" max="5133" width="13.7109375" style="429" customWidth="1"/>
    <col min="5134" max="5134" width="13.42578125" style="429" customWidth="1"/>
    <col min="5135" max="5135" width="15.140625" style="429" customWidth="1"/>
    <col min="5136" max="5376" width="9.140625" style="429"/>
    <col min="5377" max="5377" width="4.140625" style="429" customWidth="1"/>
    <col min="5378" max="5378" width="7.28515625" style="429" customWidth="1"/>
    <col min="5379" max="5379" width="0" style="429" hidden="1" customWidth="1"/>
    <col min="5380" max="5380" width="61.7109375" style="429" customWidth="1"/>
    <col min="5381" max="5381" width="14" style="429" customWidth="1"/>
    <col min="5382" max="5382" width="13.28515625" style="429" customWidth="1"/>
    <col min="5383" max="5383" width="14.140625" style="429" customWidth="1"/>
    <col min="5384" max="5384" width="13.140625" style="429" customWidth="1"/>
    <col min="5385" max="5385" width="13" style="429" customWidth="1"/>
    <col min="5386" max="5386" width="12.5703125" style="429" customWidth="1"/>
    <col min="5387" max="5387" width="14.5703125" style="429" customWidth="1"/>
    <col min="5388" max="5388" width="7.5703125" style="429" customWidth="1"/>
    <col min="5389" max="5389" width="13.7109375" style="429" customWidth="1"/>
    <col min="5390" max="5390" width="13.42578125" style="429" customWidth="1"/>
    <col min="5391" max="5391" width="15.140625" style="429" customWidth="1"/>
    <col min="5392" max="5632" width="9.140625" style="429"/>
    <col min="5633" max="5633" width="4.140625" style="429" customWidth="1"/>
    <col min="5634" max="5634" width="7.28515625" style="429" customWidth="1"/>
    <col min="5635" max="5635" width="0" style="429" hidden="1" customWidth="1"/>
    <col min="5636" max="5636" width="61.7109375" style="429" customWidth="1"/>
    <col min="5637" max="5637" width="14" style="429" customWidth="1"/>
    <col min="5638" max="5638" width="13.28515625" style="429" customWidth="1"/>
    <col min="5639" max="5639" width="14.140625" style="429" customWidth="1"/>
    <col min="5640" max="5640" width="13.140625" style="429" customWidth="1"/>
    <col min="5641" max="5641" width="13" style="429" customWidth="1"/>
    <col min="5642" max="5642" width="12.5703125" style="429" customWidth="1"/>
    <col min="5643" max="5643" width="14.5703125" style="429" customWidth="1"/>
    <col min="5644" max="5644" width="7.5703125" style="429" customWidth="1"/>
    <col min="5645" max="5645" width="13.7109375" style="429" customWidth="1"/>
    <col min="5646" max="5646" width="13.42578125" style="429" customWidth="1"/>
    <col min="5647" max="5647" width="15.140625" style="429" customWidth="1"/>
    <col min="5648" max="5888" width="9.140625" style="429"/>
    <col min="5889" max="5889" width="4.140625" style="429" customWidth="1"/>
    <col min="5890" max="5890" width="7.28515625" style="429" customWidth="1"/>
    <col min="5891" max="5891" width="0" style="429" hidden="1" customWidth="1"/>
    <col min="5892" max="5892" width="61.7109375" style="429" customWidth="1"/>
    <col min="5893" max="5893" width="14" style="429" customWidth="1"/>
    <col min="5894" max="5894" width="13.28515625" style="429" customWidth="1"/>
    <col min="5895" max="5895" width="14.140625" style="429" customWidth="1"/>
    <col min="5896" max="5896" width="13.140625" style="429" customWidth="1"/>
    <col min="5897" max="5897" width="13" style="429" customWidth="1"/>
    <col min="5898" max="5898" width="12.5703125" style="429" customWidth="1"/>
    <col min="5899" max="5899" width="14.5703125" style="429" customWidth="1"/>
    <col min="5900" max="5900" width="7.5703125" style="429" customWidth="1"/>
    <col min="5901" max="5901" width="13.7109375" style="429" customWidth="1"/>
    <col min="5902" max="5902" width="13.42578125" style="429" customWidth="1"/>
    <col min="5903" max="5903" width="15.140625" style="429" customWidth="1"/>
    <col min="5904" max="6144" width="9.140625" style="429"/>
    <col min="6145" max="6145" width="4.140625" style="429" customWidth="1"/>
    <col min="6146" max="6146" width="7.28515625" style="429" customWidth="1"/>
    <col min="6147" max="6147" width="0" style="429" hidden="1" customWidth="1"/>
    <col min="6148" max="6148" width="61.7109375" style="429" customWidth="1"/>
    <col min="6149" max="6149" width="14" style="429" customWidth="1"/>
    <col min="6150" max="6150" width="13.28515625" style="429" customWidth="1"/>
    <col min="6151" max="6151" width="14.140625" style="429" customWidth="1"/>
    <col min="6152" max="6152" width="13.140625" style="429" customWidth="1"/>
    <col min="6153" max="6153" width="13" style="429" customWidth="1"/>
    <col min="6154" max="6154" width="12.5703125" style="429" customWidth="1"/>
    <col min="6155" max="6155" width="14.5703125" style="429" customWidth="1"/>
    <col min="6156" max="6156" width="7.5703125" style="429" customWidth="1"/>
    <col min="6157" max="6157" width="13.7109375" style="429" customWidth="1"/>
    <col min="6158" max="6158" width="13.42578125" style="429" customWidth="1"/>
    <col min="6159" max="6159" width="15.140625" style="429" customWidth="1"/>
    <col min="6160" max="6400" width="9.140625" style="429"/>
    <col min="6401" max="6401" width="4.140625" style="429" customWidth="1"/>
    <col min="6402" max="6402" width="7.28515625" style="429" customWidth="1"/>
    <col min="6403" max="6403" width="0" style="429" hidden="1" customWidth="1"/>
    <col min="6404" max="6404" width="61.7109375" style="429" customWidth="1"/>
    <col min="6405" max="6405" width="14" style="429" customWidth="1"/>
    <col min="6406" max="6406" width="13.28515625" style="429" customWidth="1"/>
    <col min="6407" max="6407" width="14.140625" style="429" customWidth="1"/>
    <col min="6408" max="6408" width="13.140625" style="429" customWidth="1"/>
    <col min="6409" max="6409" width="13" style="429" customWidth="1"/>
    <col min="6410" max="6410" width="12.5703125" style="429" customWidth="1"/>
    <col min="6411" max="6411" width="14.5703125" style="429" customWidth="1"/>
    <col min="6412" max="6412" width="7.5703125" style="429" customWidth="1"/>
    <col min="6413" max="6413" width="13.7109375" style="429" customWidth="1"/>
    <col min="6414" max="6414" width="13.42578125" style="429" customWidth="1"/>
    <col min="6415" max="6415" width="15.140625" style="429" customWidth="1"/>
    <col min="6416" max="6656" width="9.140625" style="429"/>
    <col min="6657" max="6657" width="4.140625" style="429" customWidth="1"/>
    <col min="6658" max="6658" width="7.28515625" style="429" customWidth="1"/>
    <col min="6659" max="6659" width="0" style="429" hidden="1" customWidth="1"/>
    <col min="6660" max="6660" width="61.7109375" style="429" customWidth="1"/>
    <col min="6661" max="6661" width="14" style="429" customWidth="1"/>
    <col min="6662" max="6662" width="13.28515625" style="429" customWidth="1"/>
    <col min="6663" max="6663" width="14.140625" style="429" customWidth="1"/>
    <col min="6664" max="6664" width="13.140625" style="429" customWidth="1"/>
    <col min="6665" max="6665" width="13" style="429" customWidth="1"/>
    <col min="6666" max="6666" width="12.5703125" style="429" customWidth="1"/>
    <col min="6667" max="6667" width="14.5703125" style="429" customWidth="1"/>
    <col min="6668" max="6668" width="7.5703125" style="429" customWidth="1"/>
    <col min="6669" max="6669" width="13.7109375" style="429" customWidth="1"/>
    <col min="6670" max="6670" width="13.42578125" style="429" customWidth="1"/>
    <col min="6671" max="6671" width="15.140625" style="429" customWidth="1"/>
    <col min="6672" max="6912" width="9.140625" style="429"/>
    <col min="6913" max="6913" width="4.140625" style="429" customWidth="1"/>
    <col min="6914" max="6914" width="7.28515625" style="429" customWidth="1"/>
    <col min="6915" max="6915" width="0" style="429" hidden="1" customWidth="1"/>
    <col min="6916" max="6916" width="61.7109375" style="429" customWidth="1"/>
    <col min="6917" max="6917" width="14" style="429" customWidth="1"/>
    <col min="6918" max="6918" width="13.28515625" style="429" customWidth="1"/>
    <col min="6919" max="6919" width="14.140625" style="429" customWidth="1"/>
    <col min="6920" max="6920" width="13.140625" style="429" customWidth="1"/>
    <col min="6921" max="6921" width="13" style="429" customWidth="1"/>
    <col min="6922" max="6922" width="12.5703125" style="429" customWidth="1"/>
    <col min="6923" max="6923" width="14.5703125" style="429" customWidth="1"/>
    <col min="6924" max="6924" width="7.5703125" style="429" customWidth="1"/>
    <col min="6925" max="6925" width="13.7109375" style="429" customWidth="1"/>
    <col min="6926" max="6926" width="13.42578125" style="429" customWidth="1"/>
    <col min="6927" max="6927" width="15.140625" style="429" customWidth="1"/>
    <col min="6928" max="7168" width="9.140625" style="429"/>
    <col min="7169" max="7169" width="4.140625" style="429" customWidth="1"/>
    <col min="7170" max="7170" width="7.28515625" style="429" customWidth="1"/>
    <col min="7171" max="7171" width="0" style="429" hidden="1" customWidth="1"/>
    <col min="7172" max="7172" width="61.7109375" style="429" customWidth="1"/>
    <col min="7173" max="7173" width="14" style="429" customWidth="1"/>
    <col min="7174" max="7174" width="13.28515625" style="429" customWidth="1"/>
    <col min="7175" max="7175" width="14.140625" style="429" customWidth="1"/>
    <col min="7176" max="7176" width="13.140625" style="429" customWidth="1"/>
    <col min="7177" max="7177" width="13" style="429" customWidth="1"/>
    <col min="7178" max="7178" width="12.5703125" style="429" customWidth="1"/>
    <col min="7179" max="7179" width="14.5703125" style="429" customWidth="1"/>
    <col min="7180" max="7180" width="7.5703125" style="429" customWidth="1"/>
    <col min="7181" max="7181" width="13.7109375" style="429" customWidth="1"/>
    <col min="7182" max="7182" width="13.42578125" style="429" customWidth="1"/>
    <col min="7183" max="7183" width="15.140625" style="429" customWidth="1"/>
    <col min="7184" max="7424" width="9.140625" style="429"/>
    <col min="7425" max="7425" width="4.140625" style="429" customWidth="1"/>
    <col min="7426" max="7426" width="7.28515625" style="429" customWidth="1"/>
    <col min="7427" max="7427" width="0" style="429" hidden="1" customWidth="1"/>
    <col min="7428" max="7428" width="61.7109375" style="429" customWidth="1"/>
    <col min="7429" max="7429" width="14" style="429" customWidth="1"/>
    <col min="7430" max="7430" width="13.28515625" style="429" customWidth="1"/>
    <col min="7431" max="7431" width="14.140625" style="429" customWidth="1"/>
    <col min="7432" max="7432" width="13.140625" style="429" customWidth="1"/>
    <col min="7433" max="7433" width="13" style="429" customWidth="1"/>
    <col min="7434" max="7434" width="12.5703125" style="429" customWidth="1"/>
    <col min="7435" max="7435" width="14.5703125" style="429" customWidth="1"/>
    <col min="7436" max="7436" width="7.5703125" style="429" customWidth="1"/>
    <col min="7437" max="7437" width="13.7109375" style="429" customWidth="1"/>
    <col min="7438" max="7438" width="13.42578125" style="429" customWidth="1"/>
    <col min="7439" max="7439" width="15.140625" style="429" customWidth="1"/>
    <col min="7440" max="7680" width="9.140625" style="429"/>
    <col min="7681" max="7681" width="4.140625" style="429" customWidth="1"/>
    <col min="7682" max="7682" width="7.28515625" style="429" customWidth="1"/>
    <col min="7683" max="7683" width="0" style="429" hidden="1" customWidth="1"/>
    <col min="7684" max="7684" width="61.7109375" style="429" customWidth="1"/>
    <col min="7685" max="7685" width="14" style="429" customWidth="1"/>
    <col min="7686" max="7686" width="13.28515625" style="429" customWidth="1"/>
    <col min="7687" max="7687" width="14.140625" style="429" customWidth="1"/>
    <col min="7688" max="7688" width="13.140625" style="429" customWidth="1"/>
    <col min="7689" max="7689" width="13" style="429" customWidth="1"/>
    <col min="7690" max="7690" width="12.5703125" style="429" customWidth="1"/>
    <col min="7691" max="7691" width="14.5703125" style="429" customWidth="1"/>
    <col min="7692" max="7692" width="7.5703125" style="429" customWidth="1"/>
    <col min="7693" max="7693" width="13.7109375" style="429" customWidth="1"/>
    <col min="7694" max="7694" width="13.42578125" style="429" customWidth="1"/>
    <col min="7695" max="7695" width="15.140625" style="429" customWidth="1"/>
    <col min="7696" max="7936" width="9.140625" style="429"/>
    <col min="7937" max="7937" width="4.140625" style="429" customWidth="1"/>
    <col min="7938" max="7938" width="7.28515625" style="429" customWidth="1"/>
    <col min="7939" max="7939" width="0" style="429" hidden="1" customWidth="1"/>
    <col min="7940" max="7940" width="61.7109375" style="429" customWidth="1"/>
    <col min="7941" max="7941" width="14" style="429" customWidth="1"/>
    <col min="7942" max="7942" width="13.28515625" style="429" customWidth="1"/>
    <col min="7943" max="7943" width="14.140625" style="429" customWidth="1"/>
    <col min="7944" max="7944" width="13.140625" style="429" customWidth="1"/>
    <col min="7945" max="7945" width="13" style="429" customWidth="1"/>
    <col min="7946" max="7946" width="12.5703125" style="429" customWidth="1"/>
    <col min="7947" max="7947" width="14.5703125" style="429" customWidth="1"/>
    <col min="7948" max="7948" width="7.5703125" style="429" customWidth="1"/>
    <col min="7949" max="7949" width="13.7109375" style="429" customWidth="1"/>
    <col min="7950" max="7950" width="13.42578125" style="429" customWidth="1"/>
    <col min="7951" max="7951" width="15.140625" style="429" customWidth="1"/>
    <col min="7952" max="8192" width="9.140625" style="429"/>
    <col min="8193" max="8193" width="4.140625" style="429" customWidth="1"/>
    <col min="8194" max="8194" width="7.28515625" style="429" customWidth="1"/>
    <col min="8195" max="8195" width="0" style="429" hidden="1" customWidth="1"/>
    <col min="8196" max="8196" width="61.7109375" style="429" customWidth="1"/>
    <col min="8197" max="8197" width="14" style="429" customWidth="1"/>
    <col min="8198" max="8198" width="13.28515625" style="429" customWidth="1"/>
    <col min="8199" max="8199" width="14.140625" style="429" customWidth="1"/>
    <col min="8200" max="8200" width="13.140625" style="429" customWidth="1"/>
    <col min="8201" max="8201" width="13" style="429" customWidth="1"/>
    <col min="8202" max="8202" width="12.5703125" style="429" customWidth="1"/>
    <col min="8203" max="8203" width="14.5703125" style="429" customWidth="1"/>
    <col min="8204" max="8204" width="7.5703125" style="429" customWidth="1"/>
    <col min="8205" max="8205" width="13.7109375" style="429" customWidth="1"/>
    <col min="8206" max="8206" width="13.42578125" style="429" customWidth="1"/>
    <col min="8207" max="8207" width="15.140625" style="429" customWidth="1"/>
    <col min="8208" max="8448" width="9.140625" style="429"/>
    <col min="8449" max="8449" width="4.140625" style="429" customWidth="1"/>
    <col min="8450" max="8450" width="7.28515625" style="429" customWidth="1"/>
    <col min="8451" max="8451" width="0" style="429" hidden="1" customWidth="1"/>
    <col min="8452" max="8452" width="61.7109375" style="429" customWidth="1"/>
    <col min="8453" max="8453" width="14" style="429" customWidth="1"/>
    <col min="8454" max="8454" width="13.28515625" style="429" customWidth="1"/>
    <col min="8455" max="8455" width="14.140625" style="429" customWidth="1"/>
    <col min="8456" max="8456" width="13.140625" style="429" customWidth="1"/>
    <col min="8457" max="8457" width="13" style="429" customWidth="1"/>
    <col min="8458" max="8458" width="12.5703125" style="429" customWidth="1"/>
    <col min="8459" max="8459" width="14.5703125" style="429" customWidth="1"/>
    <col min="8460" max="8460" width="7.5703125" style="429" customWidth="1"/>
    <col min="8461" max="8461" width="13.7109375" style="429" customWidth="1"/>
    <col min="8462" max="8462" width="13.42578125" style="429" customWidth="1"/>
    <col min="8463" max="8463" width="15.140625" style="429" customWidth="1"/>
    <col min="8464" max="8704" width="9.140625" style="429"/>
    <col min="8705" max="8705" width="4.140625" style="429" customWidth="1"/>
    <col min="8706" max="8706" width="7.28515625" style="429" customWidth="1"/>
    <col min="8707" max="8707" width="0" style="429" hidden="1" customWidth="1"/>
    <col min="8708" max="8708" width="61.7109375" style="429" customWidth="1"/>
    <col min="8709" max="8709" width="14" style="429" customWidth="1"/>
    <col min="8710" max="8710" width="13.28515625" style="429" customWidth="1"/>
    <col min="8711" max="8711" width="14.140625" style="429" customWidth="1"/>
    <col min="8712" max="8712" width="13.140625" style="429" customWidth="1"/>
    <col min="8713" max="8713" width="13" style="429" customWidth="1"/>
    <col min="8714" max="8714" width="12.5703125" style="429" customWidth="1"/>
    <col min="8715" max="8715" width="14.5703125" style="429" customWidth="1"/>
    <col min="8716" max="8716" width="7.5703125" style="429" customWidth="1"/>
    <col min="8717" max="8717" width="13.7109375" style="429" customWidth="1"/>
    <col min="8718" max="8718" width="13.42578125" style="429" customWidth="1"/>
    <col min="8719" max="8719" width="15.140625" style="429" customWidth="1"/>
    <col min="8720" max="8960" width="9.140625" style="429"/>
    <col min="8961" max="8961" width="4.140625" style="429" customWidth="1"/>
    <col min="8962" max="8962" width="7.28515625" style="429" customWidth="1"/>
    <col min="8963" max="8963" width="0" style="429" hidden="1" customWidth="1"/>
    <col min="8964" max="8964" width="61.7109375" style="429" customWidth="1"/>
    <col min="8965" max="8965" width="14" style="429" customWidth="1"/>
    <col min="8966" max="8966" width="13.28515625" style="429" customWidth="1"/>
    <col min="8967" max="8967" width="14.140625" style="429" customWidth="1"/>
    <col min="8968" max="8968" width="13.140625" style="429" customWidth="1"/>
    <col min="8969" max="8969" width="13" style="429" customWidth="1"/>
    <col min="8970" max="8970" width="12.5703125" style="429" customWidth="1"/>
    <col min="8971" max="8971" width="14.5703125" style="429" customWidth="1"/>
    <col min="8972" max="8972" width="7.5703125" style="429" customWidth="1"/>
    <col min="8973" max="8973" width="13.7109375" style="429" customWidth="1"/>
    <col min="8974" max="8974" width="13.42578125" style="429" customWidth="1"/>
    <col min="8975" max="8975" width="15.140625" style="429" customWidth="1"/>
    <col min="8976" max="9216" width="9.140625" style="429"/>
    <col min="9217" max="9217" width="4.140625" style="429" customWidth="1"/>
    <col min="9218" max="9218" width="7.28515625" style="429" customWidth="1"/>
    <col min="9219" max="9219" width="0" style="429" hidden="1" customWidth="1"/>
    <col min="9220" max="9220" width="61.7109375" style="429" customWidth="1"/>
    <col min="9221" max="9221" width="14" style="429" customWidth="1"/>
    <col min="9222" max="9222" width="13.28515625" style="429" customWidth="1"/>
    <col min="9223" max="9223" width="14.140625" style="429" customWidth="1"/>
    <col min="9224" max="9224" width="13.140625" style="429" customWidth="1"/>
    <col min="9225" max="9225" width="13" style="429" customWidth="1"/>
    <col min="9226" max="9226" width="12.5703125" style="429" customWidth="1"/>
    <col min="9227" max="9227" width="14.5703125" style="429" customWidth="1"/>
    <col min="9228" max="9228" width="7.5703125" style="429" customWidth="1"/>
    <col min="9229" max="9229" width="13.7109375" style="429" customWidth="1"/>
    <col min="9230" max="9230" width="13.42578125" style="429" customWidth="1"/>
    <col min="9231" max="9231" width="15.140625" style="429" customWidth="1"/>
    <col min="9232" max="9472" width="9.140625" style="429"/>
    <col min="9473" max="9473" width="4.140625" style="429" customWidth="1"/>
    <col min="9474" max="9474" width="7.28515625" style="429" customWidth="1"/>
    <col min="9475" max="9475" width="0" style="429" hidden="1" customWidth="1"/>
    <col min="9476" max="9476" width="61.7109375" style="429" customWidth="1"/>
    <col min="9477" max="9477" width="14" style="429" customWidth="1"/>
    <col min="9478" max="9478" width="13.28515625" style="429" customWidth="1"/>
    <col min="9479" max="9479" width="14.140625" style="429" customWidth="1"/>
    <col min="9480" max="9480" width="13.140625" style="429" customWidth="1"/>
    <col min="9481" max="9481" width="13" style="429" customWidth="1"/>
    <col min="9482" max="9482" width="12.5703125" style="429" customWidth="1"/>
    <col min="9483" max="9483" width="14.5703125" style="429" customWidth="1"/>
    <col min="9484" max="9484" width="7.5703125" style="429" customWidth="1"/>
    <col min="9485" max="9485" width="13.7109375" style="429" customWidth="1"/>
    <col min="9486" max="9486" width="13.42578125" style="429" customWidth="1"/>
    <col min="9487" max="9487" width="15.140625" style="429" customWidth="1"/>
    <col min="9488" max="9728" width="9.140625" style="429"/>
    <col min="9729" max="9729" width="4.140625" style="429" customWidth="1"/>
    <col min="9730" max="9730" width="7.28515625" style="429" customWidth="1"/>
    <col min="9731" max="9731" width="0" style="429" hidden="1" customWidth="1"/>
    <col min="9732" max="9732" width="61.7109375" style="429" customWidth="1"/>
    <col min="9733" max="9733" width="14" style="429" customWidth="1"/>
    <col min="9734" max="9734" width="13.28515625" style="429" customWidth="1"/>
    <col min="9735" max="9735" width="14.140625" style="429" customWidth="1"/>
    <col min="9736" max="9736" width="13.140625" style="429" customWidth="1"/>
    <col min="9737" max="9737" width="13" style="429" customWidth="1"/>
    <col min="9738" max="9738" width="12.5703125" style="429" customWidth="1"/>
    <col min="9739" max="9739" width="14.5703125" style="429" customWidth="1"/>
    <col min="9740" max="9740" width="7.5703125" style="429" customWidth="1"/>
    <col min="9741" max="9741" width="13.7109375" style="429" customWidth="1"/>
    <col min="9742" max="9742" width="13.42578125" style="429" customWidth="1"/>
    <col min="9743" max="9743" width="15.140625" style="429" customWidth="1"/>
    <col min="9744" max="9984" width="9.140625" style="429"/>
    <col min="9985" max="9985" width="4.140625" style="429" customWidth="1"/>
    <col min="9986" max="9986" width="7.28515625" style="429" customWidth="1"/>
    <col min="9987" max="9987" width="0" style="429" hidden="1" customWidth="1"/>
    <col min="9988" max="9988" width="61.7109375" style="429" customWidth="1"/>
    <col min="9989" max="9989" width="14" style="429" customWidth="1"/>
    <col min="9990" max="9990" width="13.28515625" style="429" customWidth="1"/>
    <col min="9991" max="9991" width="14.140625" style="429" customWidth="1"/>
    <col min="9992" max="9992" width="13.140625" style="429" customWidth="1"/>
    <col min="9993" max="9993" width="13" style="429" customWidth="1"/>
    <col min="9994" max="9994" width="12.5703125" style="429" customWidth="1"/>
    <col min="9995" max="9995" width="14.5703125" style="429" customWidth="1"/>
    <col min="9996" max="9996" width="7.5703125" style="429" customWidth="1"/>
    <col min="9997" max="9997" width="13.7109375" style="429" customWidth="1"/>
    <col min="9998" max="9998" width="13.42578125" style="429" customWidth="1"/>
    <col min="9999" max="9999" width="15.140625" style="429" customWidth="1"/>
    <col min="10000" max="10240" width="9.140625" style="429"/>
    <col min="10241" max="10241" width="4.140625" style="429" customWidth="1"/>
    <col min="10242" max="10242" width="7.28515625" style="429" customWidth="1"/>
    <col min="10243" max="10243" width="0" style="429" hidden="1" customWidth="1"/>
    <col min="10244" max="10244" width="61.7109375" style="429" customWidth="1"/>
    <col min="10245" max="10245" width="14" style="429" customWidth="1"/>
    <col min="10246" max="10246" width="13.28515625" style="429" customWidth="1"/>
    <col min="10247" max="10247" width="14.140625" style="429" customWidth="1"/>
    <col min="10248" max="10248" width="13.140625" style="429" customWidth="1"/>
    <col min="10249" max="10249" width="13" style="429" customWidth="1"/>
    <col min="10250" max="10250" width="12.5703125" style="429" customWidth="1"/>
    <col min="10251" max="10251" width="14.5703125" style="429" customWidth="1"/>
    <col min="10252" max="10252" width="7.5703125" style="429" customWidth="1"/>
    <col min="10253" max="10253" width="13.7109375" style="429" customWidth="1"/>
    <col min="10254" max="10254" width="13.42578125" style="429" customWidth="1"/>
    <col min="10255" max="10255" width="15.140625" style="429" customWidth="1"/>
    <col min="10256" max="10496" width="9.140625" style="429"/>
    <col min="10497" max="10497" width="4.140625" style="429" customWidth="1"/>
    <col min="10498" max="10498" width="7.28515625" style="429" customWidth="1"/>
    <col min="10499" max="10499" width="0" style="429" hidden="1" customWidth="1"/>
    <col min="10500" max="10500" width="61.7109375" style="429" customWidth="1"/>
    <col min="10501" max="10501" width="14" style="429" customWidth="1"/>
    <col min="10502" max="10502" width="13.28515625" style="429" customWidth="1"/>
    <col min="10503" max="10503" width="14.140625" style="429" customWidth="1"/>
    <col min="10504" max="10504" width="13.140625" style="429" customWidth="1"/>
    <col min="10505" max="10505" width="13" style="429" customWidth="1"/>
    <col min="10506" max="10506" width="12.5703125" style="429" customWidth="1"/>
    <col min="10507" max="10507" width="14.5703125" style="429" customWidth="1"/>
    <col min="10508" max="10508" width="7.5703125" style="429" customWidth="1"/>
    <col min="10509" max="10509" width="13.7109375" style="429" customWidth="1"/>
    <col min="10510" max="10510" width="13.42578125" style="429" customWidth="1"/>
    <col min="10511" max="10511" width="15.140625" style="429" customWidth="1"/>
    <col min="10512" max="10752" width="9.140625" style="429"/>
    <col min="10753" max="10753" width="4.140625" style="429" customWidth="1"/>
    <col min="10754" max="10754" width="7.28515625" style="429" customWidth="1"/>
    <col min="10755" max="10755" width="0" style="429" hidden="1" customWidth="1"/>
    <col min="10756" max="10756" width="61.7109375" style="429" customWidth="1"/>
    <col min="10757" max="10757" width="14" style="429" customWidth="1"/>
    <col min="10758" max="10758" width="13.28515625" style="429" customWidth="1"/>
    <col min="10759" max="10759" width="14.140625" style="429" customWidth="1"/>
    <col min="10760" max="10760" width="13.140625" style="429" customWidth="1"/>
    <col min="10761" max="10761" width="13" style="429" customWidth="1"/>
    <col min="10762" max="10762" width="12.5703125" style="429" customWidth="1"/>
    <col min="10763" max="10763" width="14.5703125" style="429" customWidth="1"/>
    <col min="10764" max="10764" width="7.5703125" style="429" customWidth="1"/>
    <col min="10765" max="10765" width="13.7109375" style="429" customWidth="1"/>
    <col min="10766" max="10766" width="13.42578125" style="429" customWidth="1"/>
    <col min="10767" max="10767" width="15.140625" style="429" customWidth="1"/>
    <col min="10768" max="11008" width="9.140625" style="429"/>
    <col min="11009" max="11009" width="4.140625" style="429" customWidth="1"/>
    <col min="11010" max="11010" width="7.28515625" style="429" customWidth="1"/>
    <col min="11011" max="11011" width="0" style="429" hidden="1" customWidth="1"/>
    <col min="11012" max="11012" width="61.7109375" style="429" customWidth="1"/>
    <col min="11013" max="11013" width="14" style="429" customWidth="1"/>
    <col min="11014" max="11014" width="13.28515625" style="429" customWidth="1"/>
    <col min="11015" max="11015" width="14.140625" style="429" customWidth="1"/>
    <col min="11016" max="11016" width="13.140625" style="429" customWidth="1"/>
    <col min="11017" max="11017" width="13" style="429" customWidth="1"/>
    <col min="11018" max="11018" width="12.5703125" style="429" customWidth="1"/>
    <col min="11019" max="11019" width="14.5703125" style="429" customWidth="1"/>
    <col min="11020" max="11020" width="7.5703125" style="429" customWidth="1"/>
    <col min="11021" max="11021" width="13.7109375" style="429" customWidth="1"/>
    <col min="11022" max="11022" width="13.42578125" style="429" customWidth="1"/>
    <col min="11023" max="11023" width="15.140625" style="429" customWidth="1"/>
    <col min="11024" max="11264" width="9.140625" style="429"/>
    <col min="11265" max="11265" width="4.140625" style="429" customWidth="1"/>
    <col min="11266" max="11266" width="7.28515625" style="429" customWidth="1"/>
    <col min="11267" max="11267" width="0" style="429" hidden="1" customWidth="1"/>
    <col min="11268" max="11268" width="61.7109375" style="429" customWidth="1"/>
    <col min="11269" max="11269" width="14" style="429" customWidth="1"/>
    <col min="11270" max="11270" width="13.28515625" style="429" customWidth="1"/>
    <col min="11271" max="11271" width="14.140625" style="429" customWidth="1"/>
    <col min="11272" max="11272" width="13.140625" style="429" customWidth="1"/>
    <col min="11273" max="11273" width="13" style="429" customWidth="1"/>
    <col min="11274" max="11274" width="12.5703125" style="429" customWidth="1"/>
    <col min="11275" max="11275" width="14.5703125" style="429" customWidth="1"/>
    <col min="11276" max="11276" width="7.5703125" style="429" customWidth="1"/>
    <col min="11277" max="11277" width="13.7109375" style="429" customWidth="1"/>
    <col min="11278" max="11278" width="13.42578125" style="429" customWidth="1"/>
    <col min="11279" max="11279" width="15.140625" style="429" customWidth="1"/>
    <col min="11280" max="11520" width="9.140625" style="429"/>
    <col min="11521" max="11521" width="4.140625" style="429" customWidth="1"/>
    <col min="11522" max="11522" width="7.28515625" style="429" customWidth="1"/>
    <col min="11523" max="11523" width="0" style="429" hidden="1" customWidth="1"/>
    <col min="11524" max="11524" width="61.7109375" style="429" customWidth="1"/>
    <col min="11525" max="11525" width="14" style="429" customWidth="1"/>
    <col min="11526" max="11526" width="13.28515625" style="429" customWidth="1"/>
    <col min="11527" max="11527" width="14.140625" style="429" customWidth="1"/>
    <col min="11528" max="11528" width="13.140625" style="429" customWidth="1"/>
    <col min="11529" max="11529" width="13" style="429" customWidth="1"/>
    <col min="11530" max="11530" width="12.5703125" style="429" customWidth="1"/>
    <col min="11531" max="11531" width="14.5703125" style="429" customWidth="1"/>
    <col min="11532" max="11532" width="7.5703125" style="429" customWidth="1"/>
    <col min="11533" max="11533" width="13.7109375" style="429" customWidth="1"/>
    <col min="11534" max="11534" width="13.42578125" style="429" customWidth="1"/>
    <col min="11535" max="11535" width="15.140625" style="429" customWidth="1"/>
    <col min="11536" max="11776" width="9.140625" style="429"/>
    <col min="11777" max="11777" width="4.140625" style="429" customWidth="1"/>
    <col min="11778" max="11778" width="7.28515625" style="429" customWidth="1"/>
    <col min="11779" max="11779" width="0" style="429" hidden="1" customWidth="1"/>
    <col min="11780" max="11780" width="61.7109375" style="429" customWidth="1"/>
    <col min="11781" max="11781" width="14" style="429" customWidth="1"/>
    <col min="11782" max="11782" width="13.28515625" style="429" customWidth="1"/>
    <col min="11783" max="11783" width="14.140625" style="429" customWidth="1"/>
    <col min="11784" max="11784" width="13.140625" style="429" customWidth="1"/>
    <col min="11785" max="11785" width="13" style="429" customWidth="1"/>
    <col min="11786" max="11786" width="12.5703125" style="429" customWidth="1"/>
    <col min="11787" max="11787" width="14.5703125" style="429" customWidth="1"/>
    <col min="11788" max="11788" width="7.5703125" style="429" customWidth="1"/>
    <col min="11789" max="11789" width="13.7109375" style="429" customWidth="1"/>
    <col min="11790" max="11790" width="13.42578125" style="429" customWidth="1"/>
    <col min="11791" max="11791" width="15.140625" style="429" customWidth="1"/>
    <col min="11792" max="12032" width="9.140625" style="429"/>
    <col min="12033" max="12033" width="4.140625" style="429" customWidth="1"/>
    <col min="12034" max="12034" width="7.28515625" style="429" customWidth="1"/>
    <col min="12035" max="12035" width="0" style="429" hidden="1" customWidth="1"/>
    <col min="12036" max="12036" width="61.7109375" style="429" customWidth="1"/>
    <col min="12037" max="12037" width="14" style="429" customWidth="1"/>
    <col min="12038" max="12038" width="13.28515625" style="429" customWidth="1"/>
    <col min="12039" max="12039" width="14.140625" style="429" customWidth="1"/>
    <col min="12040" max="12040" width="13.140625" style="429" customWidth="1"/>
    <col min="12041" max="12041" width="13" style="429" customWidth="1"/>
    <col min="12042" max="12042" width="12.5703125" style="429" customWidth="1"/>
    <col min="12043" max="12043" width="14.5703125" style="429" customWidth="1"/>
    <col min="12044" max="12044" width="7.5703125" style="429" customWidth="1"/>
    <col min="12045" max="12045" width="13.7109375" style="429" customWidth="1"/>
    <col min="12046" max="12046" width="13.42578125" style="429" customWidth="1"/>
    <col min="12047" max="12047" width="15.140625" style="429" customWidth="1"/>
    <col min="12048" max="12288" width="9.140625" style="429"/>
    <col min="12289" max="12289" width="4.140625" style="429" customWidth="1"/>
    <col min="12290" max="12290" width="7.28515625" style="429" customWidth="1"/>
    <col min="12291" max="12291" width="0" style="429" hidden="1" customWidth="1"/>
    <col min="12292" max="12292" width="61.7109375" style="429" customWidth="1"/>
    <col min="12293" max="12293" width="14" style="429" customWidth="1"/>
    <col min="12294" max="12294" width="13.28515625" style="429" customWidth="1"/>
    <col min="12295" max="12295" width="14.140625" style="429" customWidth="1"/>
    <col min="12296" max="12296" width="13.140625" style="429" customWidth="1"/>
    <col min="12297" max="12297" width="13" style="429" customWidth="1"/>
    <col min="12298" max="12298" width="12.5703125" style="429" customWidth="1"/>
    <col min="12299" max="12299" width="14.5703125" style="429" customWidth="1"/>
    <col min="12300" max="12300" width="7.5703125" style="429" customWidth="1"/>
    <col min="12301" max="12301" width="13.7109375" style="429" customWidth="1"/>
    <col min="12302" max="12302" width="13.42578125" style="429" customWidth="1"/>
    <col min="12303" max="12303" width="15.140625" style="429" customWidth="1"/>
    <col min="12304" max="12544" width="9.140625" style="429"/>
    <col min="12545" max="12545" width="4.140625" style="429" customWidth="1"/>
    <col min="12546" max="12546" width="7.28515625" style="429" customWidth="1"/>
    <col min="12547" max="12547" width="0" style="429" hidden="1" customWidth="1"/>
    <col min="12548" max="12548" width="61.7109375" style="429" customWidth="1"/>
    <col min="12549" max="12549" width="14" style="429" customWidth="1"/>
    <col min="12550" max="12550" width="13.28515625" style="429" customWidth="1"/>
    <col min="12551" max="12551" width="14.140625" style="429" customWidth="1"/>
    <col min="12552" max="12552" width="13.140625" style="429" customWidth="1"/>
    <col min="12553" max="12553" width="13" style="429" customWidth="1"/>
    <col min="12554" max="12554" width="12.5703125" style="429" customWidth="1"/>
    <col min="12555" max="12555" width="14.5703125" style="429" customWidth="1"/>
    <col min="12556" max="12556" width="7.5703125" style="429" customWidth="1"/>
    <col min="12557" max="12557" width="13.7109375" style="429" customWidth="1"/>
    <col min="12558" max="12558" width="13.42578125" style="429" customWidth="1"/>
    <col min="12559" max="12559" width="15.140625" style="429" customWidth="1"/>
    <col min="12560" max="12800" width="9.140625" style="429"/>
    <col min="12801" max="12801" width="4.140625" style="429" customWidth="1"/>
    <col min="12802" max="12802" width="7.28515625" style="429" customWidth="1"/>
    <col min="12803" max="12803" width="0" style="429" hidden="1" customWidth="1"/>
    <col min="12804" max="12804" width="61.7109375" style="429" customWidth="1"/>
    <col min="12805" max="12805" width="14" style="429" customWidth="1"/>
    <col min="12806" max="12806" width="13.28515625" style="429" customWidth="1"/>
    <col min="12807" max="12807" width="14.140625" style="429" customWidth="1"/>
    <col min="12808" max="12808" width="13.140625" style="429" customWidth="1"/>
    <col min="12809" max="12809" width="13" style="429" customWidth="1"/>
    <col min="12810" max="12810" width="12.5703125" style="429" customWidth="1"/>
    <col min="12811" max="12811" width="14.5703125" style="429" customWidth="1"/>
    <col min="12812" max="12812" width="7.5703125" style="429" customWidth="1"/>
    <col min="12813" max="12813" width="13.7109375" style="429" customWidth="1"/>
    <col min="12814" max="12814" width="13.42578125" style="429" customWidth="1"/>
    <col min="12815" max="12815" width="15.140625" style="429" customWidth="1"/>
    <col min="12816" max="13056" width="9.140625" style="429"/>
    <col min="13057" max="13057" width="4.140625" style="429" customWidth="1"/>
    <col min="13058" max="13058" width="7.28515625" style="429" customWidth="1"/>
    <col min="13059" max="13059" width="0" style="429" hidden="1" customWidth="1"/>
    <col min="13060" max="13060" width="61.7109375" style="429" customWidth="1"/>
    <col min="13061" max="13061" width="14" style="429" customWidth="1"/>
    <col min="13062" max="13062" width="13.28515625" style="429" customWidth="1"/>
    <col min="13063" max="13063" width="14.140625" style="429" customWidth="1"/>
    <col min="13064" max="13064" width="13.140625" style="429" customWidth="1"/>
    <col min="13065" max="13065" width="13" style="429" customWidth="1"/>
    <col min="13066" max="13066" width="12.5703125" style="429" customWidth="1"/>
    <col min="13067" max="13067" width="14.5703125" style="429" customWidth="1"/>
    <col min="13068" max="13068" width="7.5703125" style="429" customWidth="1"/>
    <col min="13069" max="13069" width="13.7109375" style="429" customWidth="1"/>
    <col min="13070" max="13070" width="13.42578125" style="429" customWidth="1"/>
    <col min="13071" max="13071" width="15.140625" style="429" customWidth="1"/>
    <col min="13072" max="13312" width="9.140625" style="429"/>
    <col min="13313" max="13313" width="4.140625" style="429" customWidth="1"/>
    <col min="13314" max="13314" width="7.28515625" style="429" customWidth="1"/>
    <col min="13315" max="13315" width="0" style="429" hidden="1" customWidth="1"/>
    <col min="13316" max="13316" width="61.7109375" style="429" customWidth="1"/>
    <col min="13317" max="13317" width="14" style="429" customWidth="1"/>
    <col min="13318" max="13318" width="13.28515625" style="429" customWidth="1"/>
    <col min="13319" max="13319" width="14.140625" style="429" customWidth="1"/>
    <col min="13320" max="13320" width="13.140625" style="429" customWidth="1"/>
    <col min="13321" max="13321" width="13" style="429" customWidth="1"/>
    <col min="13322" max="13322" width="12.5703125" style="429" customWidth="1"/>
    <col min="13323" max="13323" width="14.5703125" style="429" customWidth="1"/>
    <col min="13324" max="13324" width="7.5703125" style="429" customWidth="1"/>
    <col min="13325" max="13325" width="13.7109375" style="429" customWidth="1"/>
    <col min="13326" max="13326" width="13.42578125" style="429" customWidth="1"/>
    <col min="13327" max="13327" width="15.140625" style="429" customWidth="1"/>
    <col min="13328" max="13568" width="9.140625" style="429"/>
    <col min="13569" max="13569" width="4.140625" style="429" customWidth="1"/>
    <col min="13570" max="13570" width="7.28515625" style="429" customWidth="1"/>
    <col min="13571" max="13571" width="0" style="429" hidden="1" customWidth="1"/>
    <col min="13572" max="13572" width="61.7109375" style="429" customWidth="1"/>
    <col min="13573" max="13573" width="14" style="429" customWidth="1"/>
    <col min="13574" max="13574" width="13.28515625" style="429" customWidth="1"/>
    <col min="13575" max="13575" width="14.140625" style="429" customWidth="1"/>
    <col min="13576" max="13576" width="13.140625" style="429" customWidth="1"/>
    <col min="13577" max="13577" width="13" style="429" customWidth="1"/>
    <col min="13578" max="13578" width="12.5703125" style="429" customWidth="1"/>
    <col min="13579" max="13579" width="14.5703125" style="429" customWidth="1"/>
    <col min="13580" max="13580" width="7.5703125" style="429" customWidth="1"/>
    <col min="13581" max="13581" width="13.7109375" style="429" customWidth="1"/>
    <col min="13582" max="13582" width="13.42578125" style="429" customWidth="1"/>
    <col min="13583" max="13583" width="15.140625" style="429" customWidth="1"/>
    <col min="13584" max="13824" width="9.140625" style="429"/>
    <col min="13825" max="13825" width="4.140625" style="429" customWidth="1"/>
    <col min="13826" max="13826" width="7.28515625" style="429" customWidth="1"/>
    <col min="13827" max="13827" width="0" style="429" hidden="1" customWidth="1"/>
    <col min="13828" max="13828" width="61.7109375" style="429" customWidth="1"/>
    <col min="13829" max="13829" width="14" style="429" customWidth="1"/>
    <col min="13830" max="13830" width="13.28515625" style="429" customWidth="1"/>
    <col min="13831" max="13831" width="14.140625" style="429" customWidth="1"/>
    <col min="13832" max="13832" width="13.140625" style="429" customWidth="1"/>
    <col min="13833" max="13833" width="13" style="429" customWidth="1"/>
    <col min="13834" max="13834" width="12.5703125" style="429" customWidth="1"/>
    <col min="13835" max="13835" width="14.5703125" style="429" customWidth="1"/>
    <col min="13836" max="13836" width="7.5703125" style="429" customWidth="1"/>
    <col min="13837" max="13837" width="13.7109375" style="429" customWidth="1"/>
    <col min="13838" max="13838" width="13.42578125" style="429" customWidth="1"/>
    <col min="13839" max="13839" width="15.140625" style="429" customWidth="1"/>
    <col min="13840" max="14080" width="9.140625" style="429"/>
    <col min="14081" max="14081" width="4.140625" style="429" customWidth="1"/>
    <col min="14082" max="14082" width="7.28515625" style="429" customWidth="1"/>
    <col min="14083" max="14083" width="0" style="429" hidden="1" customWidth="1"/>
    <col min="14084" max="14084" width="61.7109375" style="429" customWidth="1"/>
    <col min="14085" max="14085" width="14" style="429" customWidth="1"/>
    <col min="14086" max="14086" width="13.28515625" style="429" customWidth="1"/>
    <col min="14087" max="14087" width="14.140625" style="429" customWidth="1"/>
    <col min="14088" max="14088" width="13.140625" style="429" customWidth="1"/>
    <col min="14089" max="14089" width="13" style="429" customWidth="1"/>
    <col min="14090" max="14090" width="12.5703125" style="429" customWidth="1"/>
    <col min="14091" max="14091" width="14.5703125" style="429" customWidth="1"/>
    <col min="14092" max="14092" width="7.5703125" style="429" customWidth="1"/>
    <col min="14093" max="14093" width="13.7109375" style="429" customWidth="1"/>
    <col min="14094" max="14094" width="13.42578125" style="429" customWidth="1"/>
    <col min="14095" max="14095" width="15.140625" style="429" customWidth="1"/>
    <col min="14096" max="14336" width="9.140625" style="429"/>
    <col min="14337" max="14337" width="4.140625" style="429" customWidth="1"/>
    <col min="14338" max="14338" width="7.28515625" style="429" customWidth="1"/>
    <col min="14339" max="14339" width="0" style="429" hidden="1" customWidth="1"/>
    <col min="14340" max="14340" width="61.7109375" style="429" customWidth="1"/>
    <col min="14341" max="14341" width="14" style="429" customWidth="1"/>
    <col min="14342" max="14342" width="13.28515625" style="429" customWidth="1"/>
    <col min="14343" max="14343" width="14.140625" style="429" customWidth="1"/>
    <col min="14344" max="14344" width="13.140625" style="429" customWidth="1"/>
    <col min="14345" max="14345" width="13" style="429" customWidth="1"/>
    <col min="14346" max="14346" width="12.5703125" style="429" customWidth="1"/>
    <col min="14347" max="14347" width="14.5703125" style="429" customWidth="1"/>
    <col min="14348" max="14348" width="7.5703125" style="429" customWidth="1"/>
    <col min="14349" max="14349" width="13.7109375" style="429" customWidth="1"/>
    <col min="14350" max="14350" width="13.42578125" style="429" customWidth="1"/>
    <col min="14351" max="14351" width="15.140625" style="429" customWidth="1"/>
    <col min="14352" max="14592" width="9.140625" style="429"/>
    <col min="14593" max="14593" width="4.140625" style="429" customWidth="1"/>
    <col min="14594" max="14594" width="7.28515625" style="429" customWidth="1"/>
    <col min="14595" max="14595" width="0" style="429" hidden="1" customWidth="1"/>
    <col min="14596" max="14596" width="61.7109375" style="429" customWidth="1"/>
    <col min="14597" max="14597" width="14" style="429" customWidth="1"/>
    <col min="14598" max="14598" width="13.28515625" style="429" customWidth="1"/>
    <col min="14599" max="14599" width="14.140625" style="429" customWidth="1"/>
    <col min="14600" max="14600" width="13.140625" style="429" customWidth="1"/>
    <col min="14601" max="14601" width="13" style="429" customWidth="1"/>
    <col min="14602" max="14602" width="12.5703125" style="429" customWidth="1"/>
    <col min="14603" max="14603" width="14.5703125" style="429" customWidth="1"/>
    <col min="14604" max="14604" width="7.5703125" style="429" customWidth="1"/>
    <col min="14605" max="14605" width="13.7109375" style="429" customWidth="1"/>
    <col min="14606" max="14606" width="13.42578125" style="429" customWidth="1"/>
    <col min="14607" max="14607" width="15.140625" style="429" customWidth="1"/>
    <col min="14608" max="14848" width="9.140625" style="429"/>
    <col min="14849" max="14849" width="4.140625" style="429" customWidth="1"/>
    <col min="14850" max="14850" width="7.28515625" style="429" customWidth="1"/>
    <col min="14851" max="14851" width="0" style="429" hidden="1" customWidth="1"/>
    <col min="14852" max="14852" width="61.7109375" style="429" customWidth="1"/>
    <col min="14853" max="14853" width="14" style="429" customWidth="1"/>
    <col min="14854" max="14854" width="13.28515625" style="429" customWidth="1"/>
    <col min="14855" max="14855" width="14.140625" style="429" customWidth="1"/>
    <col min="14856" max="14856" width="13.140625" style="429" customWidth="1"/>
    <col min="14857" max="14857" width="13" style="429" customWidth="1"/>
    <col min="14858" max="14858" width="12.5703125" style="429" customWidth="1"/>
    <col min="14859" max="14859" width="14.5703125" style="429" customWidth="1"/>
    <col min="14860" max="14860" width="7.5703125" style="429" customWidth="1"/>
    <col min="14861" max="14861" width="13.7109375" style="429" customWidth="1"/>
    <col min="14862" max="14862" width="13.42578125" style="429" customWidth="1"/>
    <col min="14863" max="14863" width="15.140625" style="429" customWidth="1"/>
    <col min="14864" max="15104" width="9.140625" style="429"/>
    <col min="15105" max="15105" width="4.140625" style="429" customWidth="1"/>
    <col min="15106" max="15106" width="7.28515625" style="429" customWidth="1"/>
    <col min="15107" max="15107" width="0" style="429" hidden="1" customWidth="1"/>
    <col min="15108" max="15108" width="61.7109375" style="429" customWidth="1"/>
    <col min="15109" max="15109" width="14" style="429" customWidth="1"/>
    <col min="15110" max="15110" width="13.28515625" style="429" customWidth="1"/>
    <col min="15111" max="15111" width="14.140625" style="429" customWidth="1"/>
    <col min="15112" max="15112" width="13.140625" style="429" customWidth="1"/>
    <col min="15113" max="15113" width="13" style="429" customWidth="1"/>
    <col min="15114" max="15114" width="12.5703125" style="429" customWidth="1"/>
    <col min="15115" max="15115" width="14.5703125" style="429" customWidth="1"/>
    <col min="15116" max="15116" width="7.5703125" style="429" customWidth="1"/>
    <col min="15117" max="15117" width="13.7109375" style="429" customWidth="1"/>
    <col min="15118" max="15118" width="13.42578125" style="429" customWidth="1"/>
    <col min="15119" max="15119" width="15.140625" style="429" customWidth="1"/>
    <col min="15120" max="15360" width="9.140625" style="429"/>
    <col min="15361" max="15361" width="4.140625" style="429" customWidth="1"/>
    <col min="15362" max="15362" width="7.28515625" style="429" customWidth="1"/>
    <col min="15363" max="15363" width="0" style="429" hidden="1" customWidth="1"/>
    <col min="15364" max="15364" width="61.7109375" style="429" customWidth="1"/>
    <col min="15365" max="15365" width="14" style="429" customWidth="1"/>
    <col min="15366" max="15366" width="13.28515625" style="429" customWidth="1"/>
    <col min="15367" max="15367" width="14.140625" style="429" customWidth="1"/>
    <col min="15368" max="15368" width="13.140625" style="429" customWidth="1"/>
    <col min="15369" max="15369" width="13" style="429" customWidth="1"/>
    <col min="15370" max="15370" width="12.5703125" style="429" customWidth="1"/>
    <col min="15371" max="15371" width="14.5703125" style="429" customWidth="1"/>
    <col min="15372" max="15372" width="7.5703125" style="429" customWidth="1"/>
    <col min="15373" max="15373" width="13.7109375" style="429" customWidth="1"/>
    <col min="15374" max="15374" width="13.42578125" style="429" customWidth="1"/>
    <col min="15375" max="15375" width="15.140625" style="429" customWidth="1"/>
    <col min="15376" max="15616" width="9.140625" style="429"/>
    <col min="15617" max="15617" width="4.140625" style="429" customWidth="1"/>
    <col min="15618" max="15618" width="7.28515625" style="429" customWidth="1"/>
    <col min="15619" max="15619" width="0" style="429" hidden="1" customWidth="1"/>
    <col min="15620" max="15620" width="61.7109375" style="429" customWidth="1"/>
    <col min="15621" max="15621" width="14" style="429" customWidth="1"/>
    <col min="15622" max="15622" width="13.28515625" style="429" customWidth="1"/>
    <col min="15623" max="15623" width="14.140625" style="429" customWidth="1"/>
    <col min="15624" max="15624" width="13.140625" style="429" customWidth="1"/>
    <col min="15625" max="15625" width="13" style="429" customWidth="1"/>
    <col min="15626" max="15626" width="12.5703125" style="429" customWidth="1"/>
    <col min="15627" max="15627" width="14.5703125" style="429" customWidth="1"/>
    <col min="15628" max="15628" width="7.5703125" style="429" customWidth="1"/>
    <col min="15629" max="15629" width="13.7109375" style="429" customWidth="1"/>
    <col min="15630" max="15630" width="13.42578125" style="429" customWidth="1"/>
    <col min="15631" max="15631" width="15.140625" style="429" customWidth="1"/>
    <col min="15632" max="15872" width="9.140625" style="429"/>
    <col min="15873" max="15873" width="4.140625" style="429" customWidth="1"/>
    <col min="15874" max="15874" width="7.28515625" style="429" customWidth="1"/>
    <col min="15875" max="15875" width="0" style="429" hidden="1" customWidth="1"/>
    <col min="15876" max="15876" width="61.7109375" style="429" customWidth="1"/>
    <col min="15877" max="15877" width="14" style="429" customWidth="1"/>
    <col min="15878" max="15878" width="13.28515625" style="429" customWidth="1"/>
    <col min="15879" max="15879" width="14.140625" style="429" customWidth="1"/>
    <col min="15880" max="15880" width="13.140625" style="429" customWidth="1"/>
    <col min="15881" max="15881" width="13" style="429" customWidth="1"/>
    <col min="15882" max="15882" width="12.5703125" style="429" customWidth="1"/>
    <col min="15883" max="15883" width="14.5703125" style="429" customWidth="1"/>
    <col min="15884" max="15884" width="7.5703125" style="429" customWidth="1"/>
    <col min="15885" max="15885" width="13.7109375" style="429" customWidth="1"/>
    <col min="15886" max="15886" width="13.42578125" style="429" customWidth="1"/>
    <col min="15887" max="15887" width="15.140625" style="429" customWidth="1"/>
    <col min="15888" max="16128" width="9.140625" style="429"/>
    <col min="16129" max="16129" width="4.140625" style="429" customWidth="1"/>
    <col min="16130" max="16130" width="7.28515625" style="429" customWidth="1"/>
    <col min="16131" max="16131" width="0" style="429" hidden="1" customWidth="1"/>
    <col min="16132" max="16132" width="61.7109375" style="429" customWidth="1"/>
    <col min="16133" max="16133" width="14" style="429" customWidth="1"/>
    <col min="16134" max="16134" width="13.28515625" style="429" customWidth="1"/>
    <col min="16135" max="16135" width="14.140625" style="429" customWidth="1"/>
    <col min="16136" max="16136" width="13.140625" style="429" customWidth="1"/>
    <col min="16137" max="16137" width="13" style="429" customWidth="1"/>
    <col min="16138" max="16138" width="12.5703125" style="429" customWidth="1"/>
    <col min="16139" max="16139" width="14.5703125" style="429" customWidth="1"/>
    <col min="16140" max="16140" width="7.5703125" style="429" customWidth="1"/>
    <col min="16141" max="16141" width="13.7109375" style="429" customWidth="1"/>
    <col min="16142" max="16142" width="13.42578125" style="429" customWidth="1"/>
    <col min="16143" max="16143" width="15.140625" style="429" customWidth="1"/>
    <col min="16144" max="16384" width="9.140625" style="429"/>
  </cols>
  <sheetData>
    <row r="1" spans="1:15" ht="12" customHeight="1" x14ac:dyDescent="0.25">
      <c r="A1" s="423"/>
      <c r="B1" s="423"/>
      <c r="C1" s="424"/>
      <c r="D1" s="425"/>
      <c r="E1" s="425"/>
      <c r="F1" s="425"/>
      <c r="G1" s="426"/>
      <c r="H1" s="426"/>
      <c r="I1" s="426"/>
      <c r="J1" s="426"/>
      <c r="K1" s="426"/>
      <c r="L1" s="427" t="s">
        <v>174</v>
      </c>
      <c r="M1" s="428"/>
    </row>
    <row r="2" spans="1:15" ht="12" customHeight="1" x14ac:dyDescent="0.25">
      <c r="A2" s="423"/>
      <c r="B2" s="423"/>
      <c r="C2" s="424"/>
      <c r="D2" s="425"/>
      <c r="E2" s="425"/>
      <c r="F2" s="425"/>
      <c r="G2" s="426"/>
      <c r="H2" s="426"/>
      <c r="I2" s="426"/>
      <c r="J2" s="426"/>
      <c r="K2" s="426"/>
      <c r="L2" s="3" t="s">
        <v>449</v>
      </c>
      <c r="M2" s="428"/>
    </row>
    <row r="3" spans="1:15" ht="12" customHeight="1" x14ac:dyDescent="0.25">
      <c r="A3" s="423"/>
      <c r="B3" s="423"/>
      <c r="C3" s="424"/>
      <c r="D3" s="425"/>
      <c r="E3" s="425"/>
      <c r="F3" s="425"/>
      <c r="G3" s="426"/>
      <c r="H3" s="426"/>
      <c r="I3" s="426"/>
      <c r="J3" s="426"/>
      <c r="K3" s="426"/>
      <c r="L3" s="3" t="s">
        <v>0</v>
      </c>
      <c r="M3" s="428"/>
    </row>
    <row r="4" spans="1:15" ht="12" customHeight="1" x14ac:dyDescent="0.25">
      <c r="A4" s="423"/>
      <c r="B4" s="423"/>
      <c r="C4" s="424"/>
      <c r="D4" s="425"/>
      <c r="E4" s="425"/>
      <c r="F4" s="425"/>
      <c r="G4" s="426"/>
      <c r="H4" s="426"/>
      <c r="I4" s="426"/>
      <c r="J4" s="426"/>
      <c r="K4" s="426"/>
      <c r="L4" s="3" t="s">
        <v>450</v>
      </c>
      <c r="M4" s="428"/>
    </row>
    <row r="5" spans="1:15" ht="14.25" customHeight="1" x14ac:dyDescent="0.25">
      <c r="A5" s="430" t="s">
        <v>452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1"/>
      <c r="N5" s="432"/>
      <c r="O5" s="432"/>
    </row>
    <row r="6" spans="1:15" ht="11.25" customHeight="1" x14ac:dyDescent="0.25">
      <c r="A6" s="423"/>
      <c r="B6" s="423"/>
      <c r="C6" s="424"/>
      <c r="D6" s="428"/>
      <c r="E6" s="428"/>
      <c r="F6" s="428"/>
      <c r="G6" s="426"/>
      <c r="H6" s="426"/>
      <c r="I6" s="426"/>
      <c r="J6" s="426"/>
      <c r="K6" s="426"/>
      <c r="L6" s="426" t="s">
        <v>2</v>
      </c>
      <c r="M6" s="428"/>
    </row>
    <row r="7" spans="1:15" s="442" customFormat="1" ht="12" customHeight="1" x14ac:dyDescent="0.25">
      <c r="A7" s="433"/>
      <c r="B7" s="433"/>
      <c r="C7" s="434"/>
      <c r="D7" s="435"/>
      <c r="E7" s="435"/>
      <c r="F7" s="435"/>
      <c r="G7" s="433"/>
      <c r="H7" s="436" t="s">
        <v>453</v>
      </c>
      <c r="I7" s="437"/>
      <c r="J7" s="438"/>
      <c r="K7" s="439"/>
      <c r="L7" s="440" t="s">
        <v>454</v>
      </c>
      <c r="M7" s="441" t="s">
        <v>455</v>
      </c>
    </row>
    <row r="8" spans="1:15" s="442" customFormat="1" ht="12.75" customHeight="1" x14ac:dyDescent="0.25">
      <c r="A8" s="443"/>
      <c r="B8" s="444"/>
      <c r="C8" s="445"/>
      <c r="D8" s="446"/>
      <c r="E8" s="446"/>
      <c r="F8" s="446"/>
      <c r="G8" s="444" t="s">
        <v>456</v>
      </c>
      <c r="H8" s="447" t="s">
        <v>457</v>
      </c>
      <c r="I8" s="448"/>
      <c r="J8" s="448" t="s">
        <v>458</v>
      </c>
      <c r="K8" s="449"/>
      <c r="L8" s="450" t="s">
        <v>459</v>
      </c>
      <c r="M8" s="451" t="s">
        <v>460</v>
      </c>
    </row>
    <row r="9" spans="1:15" s="442" customFormat="1" x14ac:dyDescent="0.25">
      <c r="A9" s="443" t="s">
        <v>177</v>
      </c>
      <c r="B9" s="444" t="s">
        <v>5</v>
      </c>
      <c r="C9" s="444" t="s">
        <v>6</v>
      </c>
      <c r="D9" s="446" t="s">
        <v>461</v>
      </c>
      <c r="E9" s="446" t="s">
        <v>9</v>
      </c>
      <c r="F9" s="446" t="s">
        <v>10</v>
      </c>
      <c r="G9" s="444" t="s">
        <v>462</v>
      </c>
      <c r="H9" s="447" t="s">
        <v>463</v>
      </c>
      <c r="I9" s="443"/>
      <c r="J9" s="452" t="s">
        <v>464</v>
      </c>
      <c r="K9" s="444" t="s">
        <v>464</v>
      </c>
      <c r="L9" s="453" t="s">
        <v>465</v>
      </c>
      <c r="M9" s="451" t="s">
        <v>466</v>
      </c>
    </row>
    <row r="10" spans="1:15" s="442" customFormat="1" x14ac:dyDescent="0.25">
      <c r="A10" s="443"/>
      <c r="B10" s="444"/>
      <c r="C10" s="445"/>
      <c r="D10" s="446"/>
      <c r="E10" s="446"/>
      <c r="F10" s="446"/>
      <c r="G10" s="444" t="s">
        <v>467</v>
      </c>
      <c r="H10" s="447">
        <v>2023</v>
      </c>
      <c r="I10" s="443" t="s">
        <v>464</v>
      </c>
      <c r="J10" s="444" t="s">
        <v>468</v>
      </c>
      <c r="K10" s="444" t="s">
        <v>469</v>
      </c>
      <c r="L10" s="450" t="s">
        <v>470</v>
      </c>
      <c r="M10" s="451" t="s">
        <v>471</v>
      </c>
    </row>
    <row r="11" spans="1:15" s="442" customFormat="1" x14ac:dyDescent="0.25">
      <c r="A11" s="443"/>
      <c r="B11" s="444"/>
      <c r="C11" s="445"/>
      <c r="D11" s="446"/>
      <c r="E11" s="446"/>
      <c r="F11" s="446"/>
      <c r="G11" s="444"/>
      <c r="H11" s="447" t="s">
        <v>472</v>
      </c>
      <c r="I11" s="443" t="s">
        <v>473</v>
      </c>
      <c r="J11" s="444" t="s">
        <v>474</v>
      </c>
      <c r="K11" s="444" t="s">
        <v>475</v>
      </c>
      <c r="L11" s="450" t="s">
        <v>476</v>
      </c>
      <c r="M11" s="451" t="s">
        <v>477</v>
      </c>
    </row>
    <row r="12" spans="1:15" s="442" customFormat="1" ht="9.75" customHeight="1" x14ac:dyDescent="0.25">
      <c r="A12" s="443"/>
      <c r="B12" s="444"/>
      <c r="C12" s="445"/>
      <c r="D12" s="446"/>
      <c r="E12" s="446"/>
      <c r="F12" s="446"/>
      <c r="G12" s="444"/>
      <c r="H12" s="447"/>
      <c r="I12" s="443"/>
      <c r="J12" s="444" t="s">
        <v>478</v>
      </c>
      <c r="K12" s="443" t="s">
        <v>479</v>
      </c>
      <c r="L12" s="450" t="s">
        <v>480</v>
      </c>
      <c r="M12" s="451" t="s">
        <v>481</v>
      </c>
    </row>
    <row r="13" spans="1:15" s="442" customFormat="1" ht="9.75" customHeight="1" x14ac:dyDescent="0.25">
      <c r="A13" s="454"/>
      <c r="B13" s="455"/>
      <c r="C13" s="456"/>
      <c r="D13" s="457"/>
      <c r="E13" s="457"/>
      <c r="F13" s="457"/>
      <c r="G13" s="455"/>
      <c r="H13" s="447"/>
      <c r="I13" s="454"/>
      <c r="J13" s="455"/>
      <c r="K13" s="455"/>
      <c r="L13" s="450"/>
      <c r="M13" s="451" t="s">
        <v>482</v>
      </c>
    </row>
    <row r="14" spans="1:15" s="465" customFormat="1" ht="10.5" customHeight="1" x14ac:dyDescent="0.25">
      <c r="A14" s="458">
        <v>1</v>
      </c>
      <c r="B14" s="458">
        <v>2</v>
      </c>
      <c r="C14" s="459">
        <v>3</v>
      </c>
      <c r="D14" s="460">
        <v>3</v>
      </c>
      <c r="E14" s="460">
        <v>4</v>
      </c>
      <c r="F14" s="460">
        <v>5</v>
      </c>
      <c r="G14" s="459">
        <v>6</v>
      </c>
      <c r="H14" s="461">
        <v>7</v>
      </c>
      <c r="I14" s="459">
        <v>8</v>
      </c>
      <c r="J14" s="462">
        <v>9</v>
      </c>
      <c r="K14" s="463">
        <v>10</v>
      </c>
      <c r="L14" s="464">
        <v>11</v>
      </c>
      <c r="M14" s="459">
        <v>12</v>
      </c>
    </row>
    <row r="15" spans="1:15" s="473" customFormat="1" ht="27" customHeight="1" x14ac:dyDescent="0.25">
      <c r="A15" s="466"/>
      <c r="B15" s="466"/>
      <c r="C15" s="467"/>
      <c r="D15" s="466" t="s">
        <v>483</v>
      </c>
      <c r="E15" s="468">
        <v>30000</v>
      </c>
      <c r="F15" s="469">
        <v>30000</v>
      </c>
      <c r="G15" s="470">
        <v>418102163.12</v>
      </c>
      <c r="H15" s="470">
        <v>229622203.13</v>
      </c>
      <c r="I15" s="470">
        <v>137951539.21000004</v>
      </c>
      <c r="J15" s="470">
        <v>47974383.600000001</v>
      </c>
      <c r="K15" s="470">
        <v>43696280.32</v>
      </c>
      <c r="L15" s="471">
        <v>0</v>
      </c>
      <c r="M15" s="472" t="s">
        <v>329</v>
      </c>
      <c r="O15" s="474"/>
    </row>
    <row r="16" spans="1:15" ht="17.25" customHeight="1" x14ac:dyDescent="0.25">
      <c r="A16" s="475">
        <v>921</v>
      </c>
      <c r="B16" s="476"/>
      <c r="C16" s="477"/>
      <c r="D16" s="478" t="s">
        <v>484</v>
      </c>
      <c r="E16" s="479">
        <v>30000</v>
      </c>
      <c r="F16" s="479">
        <v>30000</v>
      </c>
      <c r="G16" s="480">
        <v>161500</v>
      </c>
      <c r="H16" s="480">
        <v>161500</v>
      </c>
      <c r="I16" s="480">
        <v>161500</v>
      </c>
      <c r="J16" s="481">
        <v>0</v>
      </c>
      <c r="K16" s="481">
        <v>0</v>
      </c>
      <c r="L16" s="481">
        <v>0</v>
      </c>
      <c r="M16" s="482" t="s">
        <v>329</v>
      </c>
      <c r="N16" s="483"/>
      <c r="O16" s="483"/>
    </row>
    <row r="17" spans="1:15" ht="17.25" customHeight="1" x14ac:dyDescent="0.25">
      <c r="A17" s="475"/>
      <c r="B17" s="435">
        <v>92114</v>
      </c>
      <c r="C17" s="435"/>
      <c r="D17" s="484" t="s">
        <v>184</v>
      </c>
      <c r="E17" s="485">
        <v>30000</v>
      </c>
      <c r="F17" s="485">
        <v>30000</v>
      </c>
      <c r="G17" s="486">
        <v>60000</v>
      </c>
      <c r="H17" s="486">
        <v>60000</v>
      </c>
      <c r="I17" s="486">
        <v>60000</v>
      </c>
      <c r="J17" s="487">
        <v>0</v>
      </c>
      <c r="K17" s="487">
        <v>0</v>
      </c>
      <c r="L17" s="487">
        <v>0</v>
      </c>
      <c r="M17" s="488" t="s">
        <v>329</v>
      </c>
      <c r="N17" s="483"/>
      <c r="O17" s="483"/>
    </row>
    <row r="18" spans="1:15" ht="36" customHeight="1" x14ac:dyDescent="0.25">
      <c r="A18" s="475"/>
      <c r="B18" s="477"/>
      <c r="C18" s="477">
        <v>6220</v>
      </c>
      <c r="D18" s="489" t="s">
        <v>485</v>
      </c>
      <c r="E18" s="490"/>
      <c r="F18" s="490">
        <v>30000</v>
      </c>
      <c r="G18" s="491">
        <v>0</v>
      </c>
      <c r="H18" s="491">
        <v>0</v>
      </c>
      <c r="I18" s="491">
        <v>0</v>
      </c>
      <c r="J18" s="492" t="s">
        <v>486</v>
      </c>
      <c r="K18" s="492" t="s">
        <v>486</v>
      </c>
      <c r="L18" s="493">
        <v>0</v>
      </c>
      <c r="M18" s="494" t="s">
        <v>487</v>
      </c>
      <c r="N18" s="483"/>
      <c r="O18" s="483"/>
    </row>
    <row r="19" spans="1:15" ht="35.25" customHeight="1" x14ac:dyDescent="0.25">
      <c r="A19" s="475"/>
      <c r="B19" s="477"/>
      <c r="C19" s="477">
        <v>6220</v>
      </c>
      <c r="D19" s="489" t="s">
        <v>488</v>
      </c>
      <c r="E19" s="490">
        <v>30000</v>
      </c>
      <c r="F19" s="490"/>
      <c r="G19" s="491">
        <v>60000</v>
      </c>
      <c r="H19" s="491">
        <v>60000</v>
      </c>
      <c r="I19" s="491">
        <v>60000</v>
      </c>
      <c r="J19" s="492" t="s">
        <v>486</v>
      </c>
      <c r="K19" s="492" t="s">
        <v>486</v>
      </c>
      <c r="L19" s="493">
        <v>0</v>
      </c>
      <c r="M19" s="494" t="s">
        <v>487</v>
      </c>
      <c r="N19" s="483"/>
      <c r="O19" s="483"/>
    </row>
    <row r="20" spans="1:15" ht="24" customHeight="1" x14ac:dyDescent="0.25">
      <c r="A20" s="495"/>
      <c r="B20" s="429"/>
      <c r="C20" s="429"/>
      <c r="D20" s="429" t="s">
        <v>489</v>
      </c>
      <c r="G20" s="429"/>
      <c r="H20" s="429"/>
      <c r="I20" s="429"/>
      <c r="J20" s="429"/>
      <c r="K20" s="429"/>
      <c r="L20" s="429"/>
      <c r="M20" s="429"/>
    </row>
    <row r="21" spans="1:15" ht="24" customHeight="1" x14ac:dyDescent="0.25">
      <c r="A21" s="424"/>
      <c r="B21" s="423"/>
      <c r="C21" s="424"/>
      <c r="D21" s="496"/>
      <c r="E21" s="496"/>
      <c r="F21" s="496"/>
      <c r="G21" s="497"/>
      <c r="H21" s="497"/>
      <c r="I21" s="497"/>
      <c r="J21" s="497"/>
      <c r="K21" s="497"/>
      <c r="L21" s="497"/>
      <c r="M21" s="498"/>
    </row>
    <row r="22" spans="1:15" s="501" customFormat="1" x14ac:dyDescent="0.25">
      <c r="A22" s="499"/>
      <c r="B22" s="499"/>
      <c r="C22" s="442"/>
      <c r="D22" s="429"/>
      <c r="E22" s="429"/>
      <c r="F22" s="429"/>
      <c r="G22" s="500"/>
      <c r="H22" s="500"/>
      <c r="I22" s="500"/>
      <c r="J22" s="500"/>
      <c r="K22" s="500"/>
      <c r="L22" s="500"/>
      <c r="N22" s="429"/>
      <c r="O22" s="429"/>
    </row>
    <row r="23" spans="1:15" s="501" customFormat="1" x14ac:dyDescent="0.25">
      <c r="A23" s="499"/>
      <c r="B23" s="499"/>
      <c r="C23" s="442"/>
      <c r="D23" s="429"/>
      <c r="E23" s="429"/>
      <c r="F23" s="429"/>
      <c r="G23" s="500"/>
      <c r="H23" s="500"/>
      <c r="I23" s="500"/>
      <c r="J23" s="500"/>
      <c r="K23" s="500"/>
      <c r="L23" s="500"/>
      <c r="N23" s="429"/>
      <c r="O23" s="429"/>
    </row>
    <row r="24" spans="1:15" s="501" customFormat="1" x14ac:dyDescent="0.25">
      <c r="A24" s="499"/>
      <c r="B24" s="499"/>
      <c r="C24" s="442"/>
      <c r="D24" s="429"/>
      <c r="E24" s="429"/>
      <c r="F24" s="429"/>
      <c r="G24" s="500"/>
      <c r="H24" s="500"/>
      <c r="I24" s="500"/>
      <c r="J24" s="500"/>
      <c r="K24" s="500"/>
      <c r="L24" s="500"/>
      <c r="N24" s="429"/>
      <c r="O24" s="429"/>
    </row>
    <row r="25" spans="1:15" s="501" customFormat="1" x14ac:dyDescent="0.25">
      <c r="A25" s="499"/>
      <c r="B25" s="499"/>
      <c r="C25" s="442"/>
      <c r="D25" s="429"/>
      <c r="E25" s="429"/>
      <c r="F25" s="429"/>
      <c r="G25" s="500"/>
      <c r="H25" s="500"/>
      <c r="I25" s="500"/>
      <c r="J25" s="500"/>
      <c r="K25" s="500"/>
      <c r="L25" s="500"/>
      <c r="N25" s="429"/>
      <c r="O25" s="429"/>
    </row>
    <row r="26" spans="1:15" s="501" customFormat="1" x14ac:dyDescent="0.25">
      <c r="A26" s="499"/>
      <c r="B26" s="499"/>
      <c r="C26" s="442"/>
      <c r="D26" s="429"/>
      <c r="E26" s="429"/>
      <c r="F26" s="429"/>
      <c r="G26" s="500"/>
      <c r="H26" s="500"/>
      <c r="I26" s="500"/>
      <c r="J26" s="500"/>
      <c r="K26" s="500"/>
      <c r="L26" s="500"/>
      <c r="N26" s="429"/>
      <c r="O26" s="429"/>
    </row>
    <row r="27" spans="1:15" s="501" customFormat="1" x14ac:dyDescent="0.25">
      <c r="A27" s="499"/>
      <c r="B27" s="499"/>
      <c r="C27" s="442"/>
      <c r="D27" s="429"/>
      <c r="E27" s="429"/>
      <c r="F27" s="429"/>
      <c r="G27" s="500"/>
      <c r="H27" s="500"/>
      <c r="I27" s="500"/>
      <c r="J27" s="500"/>
      <c r="K27" s="500"/>
      <c r="L27" s="500"/>
      <c r="N27" s="429"/>
      <c r="O27" s="429"/>
    </row>
    <row r="28" spans="1:15" s="501" customFormat="1" x14ac:dyDescent="0.25">
      <c r="A28" s="499"/>
      <c r="B28" s="499"/>
      <c r="C28" s="442"/>
      <c r="D28" s="429"/>
      <c r="E28" s="429"/>
      <c r="F28" s="429"/>
      <c r="G28" s="500"/>
      <c r="H28" s="500"/>
      <c r="I28" s="500"/>
      <c r="J28" s="500"/>
      <c r="K28" s="500"/>
      <c r="L28" s="500"/>
      <c r="N28" s="429"/>
      <c r="O28" s="429"/>
    </row>
    <row r="29" spans="1:15" s="501" customFormat="1" x14ac:dyDescent="0.25">
      <c r="A29" s="499"/>
      <c r="B29" s="499"/>
      <c r="C29" s="442"/>
      <c r="D29" s="429"/>
      <c r="E29" s="429"/>
      <c r="F29" s="429"/>
      <c r="G29" s="500"/>
      <c r="H29" s="500"/>
      <c r="I29" s="500"/>
      <c r="J29" s="500"/>
      <c r="K29" s="500"/>
      <c r="L29" s="500"/>
      <c r="N29" s="429"/>
      <c r="O29" s="429"/>
    </row>
    <row r="30" spans="1:15" s="501" customFormat="1" x14ac:dyDescent="0.25">
      <c r="A30" s="499"/>
      <c r="B30" s="499"/>
      <c r="C30" s="442"/>
      <c r="D30" s="429"/>
      <c r="E30" s="429"/>
      <c r="F30" s="429"/>
      <c r="G30" s="500"/>
      <c r="H30" s="500"/>
      <c r="I30" s="500"/>
      <c r="J30" s="500"/>
      <c r="K30" s="500"/>
      <c r="L30" s="500"/>
      <c r="N30" s="429"/>
      <c r="O30" s="429"/>
    </row>
    <row r="31" spans="1:15" s="501" customFormat="1" x14ac:dyDescent="0.25">
      <c r="A31" s="499"/>
      <c r="B31" s="499"/>
      <c r="C31" s="442"/>
      <c r="D31" s="429"/>
      <c r="E31" s="429"/>
      <c r="F31" s="429"/>
      <c r="G31" s="500"/>
      <c r="H31" s="500"/>
      <c r="I31" s="500"/>
      <c r="J31" s="500"/>
      <c r="K31" s="500"/>
      <c r="L31" s="500"/>
      <c r="N31" s="429"/>
      <c r="O31" s="429"/>
    </row>
    <row r="32" spans="1:15" s="501" customFormat="1" x14ac:dyDescent="0.25">
      <c r="A32" s="499"/>
      <c r="B32" s="499"/>
      <c r="C32" s="442"/>
      <c r="D32" s="429"/>
      <c r="E32" s="429"/>
      <c r="F32" s="429"/>
      <c r="G32" s="500"/>
      <c r="H32" s="500"/>
      <c r="I32" s="500"/>
      <c r="J32" s="500"/>
      <c r="K32" s="500"/>
      <c r="L32" s="500"/>
      <c r="N32" s="429"/>
      <c r="O32" s="429"/>
    </row>
    <row r="33" spans="1:15" s="501" customFormat="1" x14ac:dyDescent="0.25">
      <c r="A33" s="499"/>
      <c r="B33" s="499"/>
      <c r="C33" s="442"/>
      <c r="D33" s="429"/>
      <c r="E33" s="429"/>
      <c r="F33" s="429"/>
      <c r="G33" s="500"/>
      <c r="H33" s="500"/>
      <c r="I33" s="500"/>
      <c r="J33" s="500"/>
      <c r="K33" s="500"/>
      <c r="L33" s="500"/>
      <c r="N33" s="429"/>
      <c r="O33" s="429"/>
    </row>
    <row r="34" spans="1:15" s="501" customFormat="1" x14ac:dyDescent="0.25">
      <c r="A34" s="499"/>
      <c r="B34" s="499"/>
      <c r="C34" s="442"/>
      <c r="D34" s="429"/>
      <c r="E34" s="429"/>
      <c r="F34" s="429"/>
      <c r="G34" s="500"/>
      <c r="H34" s="500"/>
      <c r="I34" s="500"/>
      <c r="J34" s="500"/>
      <c r="K34" s="500"/>
      <c r="L34" s="500"/>
      <c r="N34" s="429"/>
      <c r="O34" s="429"/>
    </row>
    <row r="35" spans="1:15" s="501" customFormat="1" x14ac:dyDescent="0.25">
      <c r="A35" s="499"/>
      <c r="B35" s="499"/>
      <c r="C35" s="442"/>
      <c r="D35" s="429"/>
      <c r="E35" s="429"/>
      <c r="F35" s="429"/>
      <c r="G35" s="500"/>
      <c r="H35" s="500"/>
      <c r="I35" s="500"/>
      <c r="J35" s="500"/>
      <c r="K35" s="500"/>
      <c r="L35" s="500"/>
      <c r="N35" s="429"/>
      <c r="O35" s="429"/>
    </row>
    <row r="36" spans="1:15" s="501" customFormat="1" x14ac:dyDescent="0.25">
      <c r="A36" s="499"/>
      <c r="B36" s="499"/>
      <c r="C36" s="442"/>
      <c r="D36" s="429"/>
      <c r="E36" s="429"/>
      <c r="F36" s="429"/>
      <c r="G36" s="500"/>
      <c r="H36" s="500"/>
      <c r="I36" s="500"/>
      <c r="J36" s="500"/>
      <c r="K36" s="500"/>
      <c r="L36" s="500"/>
      <c r="N36" s="429"/>
      <c r="O36" s="429"/>
    </row>
    <row r="37" spans="1:15" s="501" customFormat="1" x14ac:dyDescent="0.25">
      <c r="A37" s="499"/>
      <c r="B37" s="499"/>
      <c r="C37" s="442"/>
      <c r="D37" s="429"/>
      <c r="E37" s="429"/>
      <c r="F37" s="429"/>
      <c r="G37" s="500"/>
      <c r="H37" s="500"/>
      <c r="I37" s="500"/>
      <c r="J37" s="500"/>
      <c r="K37" s="500"/>
      <c r="L37" s="500"/>
      <c r="N37" s="429"/>
      <c r="O37" s="429"/>
    </row>
    <row r="38" spans="1:15" s="501" customFormat="1" x14ac:dyDescent="0.25">
      <c r="A38" s="499"/>
      <c r="B38" s="499"/>
      <c r="C38" s="442"/>
      <c r="D38" s="429"/>
      <c r="E38" s="429"/>
      <c r="F38" s="429"/>
      <c r="G38" s="500"/>
      <c r="H38" s="500"/>
      <c r="I38" s="500"/>
      <c r="J38" s="500"/>
      <c r="K38" s="500"/>
      <c r="L38" s="500"/>
      <c r="N38" s="429"/>
      <c r="O38" s="429"/>
    </row>
    <row r="39" spans="1:15" s="501" customFormat="1" x14ac:dyDescent="0.25">
      <c r="A39" s="499"/>
      <c r="B39" s="499"/>
      <c r="C39" s="442"/>
      <c r="D39" s="429"/>
      <c r="E39" s="429"/>
      <c r="F39" s="429"/>
      <c r="G39" s="500"/>
      <c r="H39" s="500"/>
      <c r="I39" s="500"/>
      <c r="J39" s="500"/>
      <c r="K39" s="500"/>
      <c r="L39" s="500"/>
      <c r="N39" s="429"/>
      <c r="O39" s="429"/>
    </row>
    <row r="40" spans="1:15" s="501" customFormat="1" x14ac:dyDescent="0.25">
      <c r="A40" s="499"/>
      <c r="B40" s="499"/>
      <c r="C40" s="442"/>
      <c r="D40" s="429"/>
      <c r="E40" s="429"/>
      <c r="F40" s="429"/>
      <c r="G40" s="500"/>
      <c r="H40" s="500"/>
      <c r="I40" s="500"/>
      <c r="J40" s="500"/>
      <c r="K40" s="500"/>
      <c r="L40" s="500"/>
      <c r="N40" s="429"/>
      <c r="O40" s="429"/>
    </row>
    <row r="41" spans="1:15" s="501" customFormat="1" x14ac:dyDescent="0.25">
      <c r="A41" s="499"/>
      <c r="B41" s="499"/>
      <c r="C41" s="442"/>
      <c r="D41" s="429"/>
      <c r="E41" s="429"/>
      <c r="F41" s="429"/>
      <c r="G41" s="500"/>
      <c r="H41" s="500"/>
      <c r="I41" s="500"/>
      <c r="J41" s="500"/>
      <c r="K41" s="500"/>
      <c r="L41" s="500"/>
      <c r="N41" s="429"/>
      <c r="O41" s="429"/>
    </row>
  </sheetData>
  <autoFilter ref="M1:M41" xr:uid="{89496469-6359-469F-99E4-6788BB272B85}"/>
  <printOptions horizontalCentered="1"/>
  <pageMargins left="0.31496062992125984" right="0.31496062992125984" top="0.55118110236220474" bottom="0.55118110236220474" header="0.51181102362204722" footer="0.31496062992125984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CE24-072A-4CC6-9B18-41AD3E7A5F13}">
  <sheetPr>
    <tabColor rgb="FFFF00FF"/>
  </sheetPr>
  <dimension ref="A1:L41"/>
  <sheetViews>
    <sheetView zoomScale="120" zoomScaleNormal="120" workbookViewId="0">
      <pane ySplit="17" topLeftCell="A18" activePane="bottomLeft" state="frozen"/>
      <selection pane="bottomLeft"/>
    </sheetView>
  </sheetViews>
  <sheetFormatPr defaultColWidth="10.28515625" defaultRowHeight="11.25" x14ac:dyDescent="0.2"/>
  <cols>
    <col min="1" max="1" width="6.42578125" style="504" customWidth="1"/>
    <col min="2" max="2" width="58.28515625" style="504" customWidth="1"/>
    <col min="3" max="3" width="10.28515625" style="504"/>
    <col min="4" max="4" width="11.42578125" style="504" customWidth="1"/>
    <col min="5" max="7" width="10.7109375" style="504" customWidth="1"/>
    <col min="8" max="9" width="11.28515625" style="504" customWidth="1"/>
    <col min="10" max="10" width="17" style="504" customWidth="1"/>
    <col min="11" max="11" width="16.28515625" style="504" customWidth="1"/>
    <col min="12" max="256" width="10.28515625" style="504"/>
    <col min="257" max="257" width="6.42578125" style="504" customWidth="1"/>
    <col min="258" max="258" width="58.28515625" style="504" customWidth="1"/>
    <col min="259" max="259" width="10.28515625" style="504"/>
    <col min="260" max="260" width="11" style="504" customWidth="1"/>
    <col min="261" max="262" width="9.7109375" style="504" customWidth="1"/>
    <col min="263" max="263" width="10.7109375" style="504" customWidth="1"/>
    <col min="264" max="265" width="11.28515625" style="504" customWidth="1"/>
    <col min="266" max="266" width="17" style="504" customWidth="1"/>
    <col min="267" max="267" width="16.28515625" style="504" customWidth="1"/>
    <col min="268" max="512" width="10.28515625" style="504"/>
    <col min="513" max="513" width="6.42578125" style="504" customWidth="1"/>
    <col min="514" max="514" width="58.28515625" style="504" customWidth="1"/>
    <col min="515" max="515" width="10.28515625" style="504"/>
    <col min="516" max="516" width="11" style="504" customWidth="1"/>
    <col min="517" max="518" width="9.7109375" style="504" customWidth="1"/>
    <col min="519" max="519" width="10.7109375" style="504" customWidth="1"/>
    <col min="520" max="521" width="11.28515625" style="504" customWidth="1"/>
    <col min="522" max="522" width="17" style="504" customWidth="1"/>
    <col min="523" max="523" width="16.28515625" style="504" customWidth="1"/>
    <col min="524" max="768" width="10.28515625" style="504"/>
    <col min="769" max="769" width="6.42578125" style="504" customWidth="1"/>
    <col min="770" max="770" width="58.28515625" style="504" customWidth="1"/>
    <col min="771" max="771" width="10.28515625" style="504"/>
    <col min="772" max="772" width="11" style="504" customWidth="1"/>
    <col min="773" max="774" width="9.7109375" style="504" customWidth="1"/>
    <col min="775" max="775" width="10.7109375" style="504" customWidth="1"/>
    <col min="776" max="777" width="11.28515625" style="504" customWidth="1"/>
    <col min="778" max="778" width="17" style="504" customWidth="1"/>
    <col min="779" max="779" width="16.28515625" style="504" customWidth="1"/>
    <col min="780" max="1024" width="10.28515625" style="504"/>
    <col min="1025" max="1025" width="6.42578125" style="504" customWidth="1"/>
    <col min="1026" max="1026" width="58.28515625" style="504" customWidth="1"/>
    <col min="1027" max="1027" width="10.28515625" style="504"/>
    <col min="1028" max="1028" width="11" style="504" customWidth="1"/>
    <col min="1029" max="1030" width="9.7109375" style="504" customWidth="1"/>
    <col min="1031" max="1031" width="10.7109375" style="504" customWidth="1"/>
    <col min="1032" max="1033" width="11.28515625" style="504" customWidth="1"/>
    <col min="1034" max="1034" width="17" style="504" customWidth="1"/>
    <col min="1035" max="1035" width="16.28515625" style="504" customWidth="1"/>
    <col min="1036" max="1280" width="10.28515625" style="504"/>
    <col min="1281" max="1281" width="6.42578125" style="504" customWidth="1"/>
    <col min="1282" max="1282" width="58.28515625" style="504" customWidth="1"/>
    <col min="1283" max="1283" width="10.28515625" style="504"/>
    <col min="1284" max="1284" width="11" style="504" customWidth="1"/>
    <col min="1285" max="1286" width="9.7109375" style="504" customWidth="1"/>
    <col min="1287" max="1287" width="10.7109375" style="504" customWidth="1"/>
    <col min="1288" max="1289" width="11.28515625" style="504" customWidth="1"/>
    <col min="1290" max="1290" width="17" style="504" customWidth="1"/>
    <col min="1291" max="1291" width="16.28515625" style="504" customWidth="1"/>
    <col min="1292" max="1536" width="10.28515625" style="504"/>
    <col min="1537" max="1537" width="6.42578125" style="504" customWidth="1"/>
    <col min="1538" max="1538" width="58.28515625" style="504" customWidth="1"/>
    <col min="1539" max="1539" width="10.28515625" style="504"/>
    <col min="1540" max="1540" width="11" style="504" customWidth="1"/>
    <col min="1541" max="1542" width="9.7109375" style="504" customWidth="1"/>
    <col min="1543" max="1543" width="10.7109375" style="504" customWidth="1"/>
    <col min="1544" max="1545" width="11.28515625" style="504" customWidth="1"/>
    <col min="1546" max="1546" width="17" style="504" customWidth="1"/>
    <col min="1547" max="1547" width="16.28515625" style="504" customWidth="1"/>
    <col min="1548" max="1792" width="10.28515625" style="504"/>
    <col min="1793" max="1793" width="6.42578125" style="504" customWidth="1"/>
    <col min="1794" max="1794" width="58.28515625" style="504" customWidth="1"/>
    <col min="1795" max="1795" width="10.28515625" style="504"/>
    <col min="1796" max="1796" width="11" style="504" customWidth="1"/>
    <col min="1797" max="1798" width="9.7109375" style="504" customWidth="1"/>
    <col min="1799" max="1799" width="10.7109375" style="504" customWidth="1"/>
    <col min="1800" max="1801" width="11.28515625" style="504" customWidth="1"/>
    <col min="1802" max="1802" width="17" style="504" customWidth="1"/>
    <col min="1803" max="1803" width="16.28515625" style="504" customWidth="1"/>
    <col min="1804" max="2048" width="10.28515625" style="504"/>
    <col min="2049" max="2049" width="6.42578125" style="504" customWidth="1"/>
    <col min="2050" max="2050" width="58.28515625" style="504" customWidth="1"/>
    <col min="2051" max="2051" width="10.28515625" style="504"/>
    <col min="2052" max="2052" width="11" style="504" customWidth="1"/>
    <col min="2053" max="2054" width="9.7109375" style="504" customWidth="1"/>
    <col min="2055" max="2055" width="10.7109375" style="504" customWidth="1"/>
    <col min="2056" max="2057" width="11.28515625" style="504" customWidth="1"/>
    <col min="2058" max="2058" width="17" style="504" customWidth="1"/>
    <col min="2059" max="2059" width="16.28515625" style="504" customWidth="1"/>
    <col min="2060" max="2304" width="10.28515625" style="504"/>
    <col min="2305" max="2305" width="6.42578125" style="504" customWidth="1"/>
    <col min="2306" max="2306" width="58.28515625" style="504" customWidth="1"/>
    <col min="2307" max="2307" width="10.28515625" style="504"/>
    <col min="2308" max="2308" width="11" style="504" customWidth="1"/>
    <col min="2309" max="2310" width="9.7109375" style="504" customWidth="1"/>
    <col min="2311" max="2311" width="10.7109375" style="504" customWidth="1"/>
    <col min="2312" max="2313" width="11.28515625" style="504" customWidth="1"/>
    <col min="2314" max="2314" width="17" style="504" customWidth="1"/>
    <col min="2315" max="2315" width="16.28515625" style="504" customWidth="1"/>
    <col min="2316" max="2560" width="10.28515625" style="504"/>
    <col min="2561" max="2561" width="6.42578125" style="504" customWidth="1"/>
    <col min="2562" max="2562" width="58.28515625" style="504" customWidth="1"/>
    <col min="2563" max="2563" width="10.28515625" style="504"/>
    <col min="2564" max="2564" width="11" style="504" customWidth="1"/>
    <col min="2565" max="2566" width="9.7109375" style="504" customWidth="1"/>
    <col min="2567" max="2567" width="10.7109375" style="504" customWidth="1"/>
    <col min="2568" max="2569" width="11.28515625" style="504" customWidth="1"/>
    <col min="2570" max="2570" width="17" style="504" customWidth="1"/>
    <col min="2571" max="2571" width="16.28515625" style="504" customWidth="1"/>
    <col min="2572" max="2816" width="10.28515625" style="504"/>
    <col min="2817" max="2817" width="6.42578125" style="504" customWidth="1"/>
    <col min="2818" max="2818" width="58.28515625" style="504" customWidth="1"/>
    <col min="2819" max="2819" width="10.28515625" style="504"/>
    <col min="2820" max="2820" width="11" style="504" customWidth="1"/>
    <col min="2821" max="2822" width="9.7109375" style="504" customWidth="1"/>
    <col min="2823" max="2823" width="10.7109375" style="504" customWidth="1"/>
    <col min="2824" max="2825" width="11.28515625" style="504" customWidth="1"/>
    <col min="2826" max="2826" width="17" style="504" customWidth="1"/>
    <col min="2827" max="2827" width="16.28515625" style="504" customWidth="1"/>
    <col min="2828" max="3072" width="10.28515625" style="504"/>
    <col min="3073" max="3073" width="6.42578125" style="504" customWidth="1"/>
    <col min="3074" max="3074" width="58.28515625" style="504" customWidth="1"/>
    <col min="3075" max="3075" width="10.28515625" style="504"/>
    <col min="3076" max="3076" width="11" style="504" customWidth="1"/>
    <col min="3077" max="3078" width="9.7109375" style="504" customWidth="1"/>
    <col min="3079" max="3079" width="10.7109375" style="504" customWidth="1"/>
    <col min="3080" max="3081" width="11.28515625" style="504" customWidth="1"/>
    <col min="3082" max="3082" width="17" style="504" customWidth="1"/>
    <col min="3083" max="3083" width="16.28515625" style="504" customWidth="1"/>
    <col min="3084" max="3328" width="10.28515625" style="504"/>
    <col min="3329" max="3329" width="6.42578125" style="504" customWidth="1"/>
    <col min="3330" max="3330" width="58.28515625" style="504" customWidth="1"/>
    <col min="3331" max="3331" width="10.28515625" style="504"/>
    <col min="3332" max="3332" width="11" style="504" customWidth="1"/>
    <col min="3333" max="3334" width="9.7109375" style="504" customWidth="1"/>
    <col min="3335" max="3335" width="10.7109375" style="504" customWidth="1"/>
    <col min="3336" max="3337" width="11.28515625" style="504" customWidth="1"/>
    <col min="3338" max="3338" width="17" style="504" customWidth="1"/>
    <col min="3339" max="3339" width="16.28515625" style="504" customWidth="1"/>
    <col min="3340" max="3584" width="10.28515625" style="504"/>
    <col min="3585" max="3585" width="6.42578125" style="504" customWidth="1"/>
    <col min="3586" max="3586" width="58.28515625" style="504" customWidth="1"/>
    <col min="3587" max="3587" width="10.28515625" style="504"/>
    <col min="3588" max="3588" width="11" style="504" customWidth="1"/>
    <col min="3589" max="3590" width="9.7109375" style="504" customWidth="1"/>
    <col min="3591" max="3591" width="10.7109375" style="504" customWidth="1"/>
    <col min="3592" max="3593" width="11.28515625" style="504" customWidth="1"/>
    <col min="3594" max="3594" width="17" style="504" customWidth="1"/>
    <col min="3595" max="3595" width="16.28515625" style="504" customWidth="1"/>
    <col min="3596" max="3840" width="10.28515625" style="504"/>
    <col min="3841" max="3841" width="6.42578125" style="504" customWidth="1"/>
    <col min="3842" max="3842" width="58.28515625" style="504" customWidth="1"/>
    <col min="3843" max="3843" width="10.28515625" style="504"/>
    <col min="3844" max="3844" width="11" style="504" customWidth="1"/>
    <col min="3845" max="3846" width="9.7109375" style="504" customWidth="1"/>
    <col min="3847" max="3847" width="10.7109375" style="504" customWidth="1"/>
    <col min="3848" max="3849" width="11.28515625" style="504" customWidth="1"/>
    <col min="3850" max="3850" width="17" style="504" customWidth="1"/>
    <col min="3851" max="3851" width="16.28515625" style="504" customWidth="1"/>
    <col min="3852" max="4096" width="10.28515625" style="504"/>
    <col min="4097" max="4097" width="6.42578125" style="504" customWidth="1"/>
    <col min="4098" max="4098" width="58.28515625" style="504" customWidth="1"/>
    <col min="4099" max="4099" width="10.28515625" style="504"/>
    <col min="4100" max="4100" width="11" style="504" customWidth="1"/>
    <col min="4101" max="4102" width="9.7109375" style="504" customWidth="1"/>
    <col min="4103" max="4103" width="10.7109375" style="504" customWidth="1"/>
    <col min="4104" max="4105" width="11.28515625" style="504" customWidth="1"/>
    <col min="4106" max="4106" width="17" style="504" customWidth="1"/>
    <col min="4107" max="4107" width="16.28515625" style="504" customWidth="1"/>
    <col min="4108" max="4352" width="10.28515625" style="504"/>
    <col min="4353" max="4353" width="6.42578125" style="504" customWidth="1"/>
    <col min="4354" max="4354" width="58.28515625" style="504" customWidth="1"/>
    <col min="4355" max="4355" width="10.28515625" style="504"/>
    <col min="4356" max="4356" width="11" style="504" customWidth="1"/>
    <col min="4357" max="4358" width="9.7109375" style="504" customWidth="1"/>
    <col min="4359" max="4359" width="10.7109375" style="504" customWidth="1"/>
    <col min="4360" max="4361" width="11.28515625" style="504" customWidth="1"/>
    <col min="4362" max="4362" width="17" style="504" customWidth="1"/>
    <col min="4363" max="4363" width="16.28515625" style="504" customWidth="1"/>
    <col min="4364" max="4608" width="10.28515625" style="504"/>
    <col min="4609" max="4609" width="6.42578125" style="504" customWidth="1"/>
    <col min="4610" max="4610" width="58.28515625" style="504" customWidth="1"/>
    <col min="4611" max="4611" width="10.28515625" style="504"/>
    <col min="4612" max="4612" width="11" style="504" customWidth="1"/>
    <col min="4613" max="4614" width="9.7109375" style="504" customWidth="1"/>
    <col min="4615" max="4615" width="10.7109375" style="504" customWidth="1"/>
    <col min="4616" max="4617" width="11.28515625" style="504" customWidth="1"/>
    <col min="4618" max="4618" width="17" style="504" customWidth="1"/>
    <col min="4619" max="4619" width="16.28515625" style="504" customWidth="1"/>
    <col min="4620" max="4864" width="10.28515625" style="504"/>
    <col min="4865" max="4865" width="6.42578125" style="504" customWidth="1"/>
    <col min="4866" max="4866" width="58.28515625" style="504" customWidth="1"/>
    <col min="4867" max="4867" width="10.28515625" style="504"/>
    <col min="4868" max="4868" width="11" style="504" customWidth="1"/>
    <col min="4869" max="4870" width="9.7109375" style="504" customWidth="1"/>
    <col min="4871" max="4871" width="10.7109375" style="504" customWidth="1"/>
    <col min="4872" max="4873" width="11.28515625" style="504" customWidth="1"/>
    <col min="4874" max="4874" width="17" style="504" customWidth="1"/>
    <col min="4875" max="4875" width="16.28515625" style="504" customWidth="1"/>
    <col min="4876" max="5120" width="10.28515625" style="504"/>
    <col min="5121" max="5121" width="6.42578125" style="504" customWidth="1"/>
    <col min="5122" max="5122" width="58.28515625" style="504" customWidth="1"/>
    <col min="5123" max="5123" width="10.28515625" style="504"/>
    <col min="5124" max="5124" width="11" style="504" customWidth="1"/>
    <col min="5125" max="5126" width="9.7109375" style="504" customWidth="1"/>
    <col min="5127" max="5127" width="10.7109375" style="504" customWidth="1"/>
    <col min="5128" max="5129" width="11.28515625" style="504" customWidth="1"/>
    <col min="5130" max="5130" width="17" style="504" customWidth="1"/>
    <col min="5131" max="5131" width="16.28515625" style="504" customWidth="1"/>
    <col min="5132" max="5376" width="10.28515625" style="504"/>
    <col min="5377" max="5377" width="6.42578125" style="504" customWidth="1"/>
    <col min="5378" max="5378" width="58.28515625" style="504" customWidth="1"/>
    <col min="5379" max="5379" width="10.28515625" style="504"/>
    <col min="5380" max="5380" width="11" style="504" customWidth="1"/>
    <col min="5381" max="5382" width="9.7109375" style="504" customWidth="1"/>
    <col min="5383" max="5383" width="10.7109375" style="504" customWidth="1"/>
    <col min="5384" max="5385" width="11.28515625" style="504" customWidth="1"/>
    <col min="5386" max="5386" width="17" style="504" customWidth="1"/>
    <col min="5387" max="5387" width="16.28515625" style="504" customWidth="1"/>
    <col min="5388" max="5632" width="10.28515625" style="504"/>
    <col min="5633" max="5633" width="6.42578125" style="504" customWidth="1"/>
    <col min="5634" max="5634" width="58.28515625" style="504" customWidth="1"/>
    <col min="5635" max="5635" width="10.28515625" style="504"/>
    <col min="5636" max="5636" width="11" style="504" customWidth="1"/>
    <col min="5637" max="5638" width="9.7109375" style="504" customWidth="1"/>
    <col min="5639" max="5639" width="10.7109375" style="504" customWidth="1"/>
    <col min="5640" max="5641" width="11.28515625" style="504" customWidth="1"/>
    <col min="5642" max="5642" width="17" style="504" customWidth="1"/>
    <col min="5643" max="5643" width="16.28515625" style="504" customWidth="1"/>
    <col min="5644" max="5888" width="10.28515625" style="504"/>
    <col min="5889" max="5889" width="6.42578125" style="504" customWidth="1"/>
    <col min="5890" max="5890" width="58.28515625" style="504" customWidth="1"/>
    <col min="5891" max="5891" width="10.28515625" style="504"/>
    <col min="5892" max="5892" width="11" style="504" customWidth="1"/>
    <col min="5893" max="5894" width="9.7109375" style="504" customWidth="1"/>
    <col min="5895" max="5895" width="10.7109375" style="504" customWidth="1"/>
    <col min="5896" max="5897" width="11.28515625" style="504" customWidth="1"/>
    <col min="5898" max="5898" width="17" style="504" customWidth="1"/>
    <col min="5899" max="5899" width="16.28515625" style="504" customWidth="1"/>
    <col min="5900" max="6144" width="10.28515625" style="504"/>
    <col min="6145" max="6145" width="6.42578125" style="504" customWidth="1"/>
    <col min="6146" max="6146" width="58.28515625" style="504" customWidth="1"/>
    <col min="6147" max="6147" width="10.28515625" style="504"/>
    <col min="6148" max="6148" width="11" style="504" customWidth="1"/>
    <col min="6149" max="6150" width="9.7109375" style="504" customWidth="1"/>
    <col min="6151" max="6151" width="10.7109375" style="504" customWidth="1"/>
    <col min="6152" max="6153" width="11.28515625" style="504" customWidth="1"/>
    <col min="6154" max="6154" width="17" style="504" customWidth="1"/>
    <col min="6155" max="6155" width="16.28515625" style="504" customWidth="1"/>
    <col min="6156" max="6400" width="10.28515625" style="504"/>
    <col min="6401" max="6401" width="6.42578125" style="504" customWidth="1"/>
    <col min="6402" max="6402" width="58.28515625" style="504" customWidth="1"/>
    <col min="6403" max="6403" width="10.28515625" style="504"/>
    <col min="6404" max="6404" width="11" style="504" customWidth="1"/>
    <col min="6405" max="6406" width="9.7109375" style="504" customWidth="1"/>
    <col min="6407" max="6407" width="10.7109375" style="504" customWidth="1"/>
    <col min="6408" max="6409" width="11.28515625" style="504" customWidth="1"/>
    <col min="6410" max="6410" width="17" style="504" customWidth="1"/>
    <col min="6411" max="6411" width="16.28515625" style="504" customWidth="1"/>
    <col min="6412" max="6656" width="10.28515625" style="504"/>
    <col min="6657" max="6657" width="6.42578125" style="504" customWidth="1"/>
    <col min="6658" max="6658" width="58.28515625" style="504" customWidth="1"/>
    <col min="6659" max="6659" width="10.28515625" style="504"/>
    <col min="6660" max="6660" width="11" style="504" customWidth="1"/>
    <col min="6661" max="6662" width="9.7109375" style="504" customWidth="1"/>
    <col min="6663" max="6663" width="10.7109375" style="504" customWidth="1"/>
    <col min="6664" max="6665" width="11.28515625" style="504" customWidth="1"/>
    <col min="6666" max="6666" width="17" style="504" customWidth="1"/>
    <col min="6667" max="6667" width="16.28515625" style="504" customWidth="1"/>
    <col min="6668" max="6912" width="10.28515625" style="504"/>
    <col min="6913" max="6913" width="6.42578125" style="504" customWidth="1"/>
    <col min="6914" max="6914" width="58.28515625" style="504" customWidth="1"/>
    <col min="6915" max="6915" width="10.28515625" style="504"/>
    <col min="6916" max="6916" width="11" style="504" customWidth="1"/>
    <col min="6917" max="6918" width="9.7109375" style="504" customWidth="1"/>
    <col min="6919" max="6919" width="10.7109375" style="504" customWidth="1"/>
    <col min="6920" max="6921" width="11.28515625" style="504" customWidth="1"/>
    <col min="6922" max="6922" width="17" style="504" customWidth="1"/>
    <col min="6923" max="6923" width="16.28515625" style="504" customWidth="1"/>
    <col min="6924" max="7168" width="10.28515625" style="504"/>
    <col min="7169" max="7169" width="6.42578125" style="504" customWidth="1"/>
    <col min="7170" max="7170" width="58.28515625" style="504" customWidth="1"/>
    <col min="7171" max="7171" width="10.28515625" style="504"/>
    <col min="7172" max="7172" width="11" style="504" customWidth="1"/>
    <col min="7173" max="7174" width="9.7109375" style="504" customWidth="1"/>
    <col min="7175" max="7175" width="10.7109375" style="504" customWidth="1"/>
    <col min="7176" max="7177" width="11.28515625" style="504" customWidth="1"/>
    <col min="7178" max="7178" width="17" style="504" customWidth="1"/>
    <col min="7179" max="7179" width="16.28515625" style="504" customWidth="1"/>
    <col min="7180" max="7424" width="10.28515625" style="504"/>
    <col min="7425" max="7425" width="6.42578125" style="504" customWidth="1"/>
    <col min="7426" max="7426" width="58.28515625" style="504" customWidth="1"/>
    <col min="7427" max="7427" width="10.28515625" style="504"/>
    <col min="7428" max="7428" width="11" style="504" customWidth="1"/>
    <col min="7429" max="7430" width="9.7109375" style="504" customWidth="1"/>
    <col min="7431" max="7431" width="10.7109375" style="504" customWidth="1"/>
    <col min="7432" max="7433" width="11.28515625" style="504" customWidth="1"/>
    <col min="7434" max="7434" width="17" style="504" customWidth="1"/>
    <col min="7435" max="7435" width="16.28515625" style="504" customWidth="1"/>
    <col min="7436" max="7680" width="10.28515625" style="504"/>
    <col min="7681" max="7681" width="6.42578125" style="504" customWidth="1"/>
    <col min="7682" max="7682" width="58.28515625" style="504" customWidth="1"/>
    <col min="7683" max="7683" width="10.28515625" style="504"/>
    <col min="7684" max="7684" width="11" style="504" customWidth="1"/>
    <col min="7685" max="7686" width="9.7109375" style="504" customWidth="1"/>
    <col min="7687" max="7687" width="10.7109375" style="504" customWidth="1"/>
    <col min="7688" max="7689" width="11.28515625" style="504" customWidth="1"/>
    <col min="7690" max="7690" width="17" style="504" customWidth="1"/>
    <col min="7691" max="7691" width="16.28515625" style="504" customWidth="1"/>
    <col min="7692" max="7936" width="10.28515625" style="504"/>
    <col min="7937" max="7937" width="6.42578125" style="504" customWidth="1"/>
    <col min="7938" max="7938" width="58.28515625" style="504" customWidth="1"/>
    <col min="7939" max="7939" width="10.28515625" style="504"/>
    <col min="7940" max="7940" width="11" style="504" customWidth="1"/>
    <col min="7941" max="7942" width="9.7109375" style="504" customWidth="1"/>
    <col min="7943" max="7943" width="10.7109375" style="504" customWidth="1"/>
    <col min="7944" max="7945" width="11.28515625" style="504" customWidth="1"/>
    <col min="7946" max="7946" width="17" style="504" customWidth="1"/>
    <col min="7947" max="7947" width="16.28515625" style="504" customWidth="1"/>
    <col min="7948" max="8192" width="10.28515625" style="504"/>
    <col min="8193" max="8193" width="6.42578125" style="504" customWidth="1"/>
    <col min="8194" max="8194" width="58.28515625" style="504" customWidth="1"/>
    <col min="8195" max="8195" width="10.28515625" style="504"/>
    <col min="8196" max="8196" width="11" style="504" customWidth="1"/>
    <col min="8197" max="8198" width="9.7109375" style="504" customWidth="1"/>
    <col min="8199" max="8199" width="10.7109375" style="504" customWidth="1"/>
    <col min="8200" max="8201" width="11.28515625" style="504" customWidth="1"/>
    <col min="8202" max="8202" width="17" style="504" customWidth="1"/>
    <col min="8203" max="8203" width="16.28515625" style="504" customWidth="1"/>
    <col min="8204" max="8448" width="10.28515625" style="504"/>
    <col min="8449" max="8449" width="6.42578125" style="504" customWidth="1"/>
    <col min="8450" max="8450" width="58.28515625" style="504" customWidth="1"/>
    <col min="8451" max="8451" width="10.28515625" style="504"/>
    <col min="8452" max="8452" width="11" style="504" customWidth="1"/>
    <col min="8453" max="8454" width="9.7109375" style="504" customWidth="1"/>
    <col min="8455" max="8455" width="10.7109375" style="504" customWidth="1"/>
    <col min="8456" max="8457" width="11.28515625" style="504" customWidth="1"/>
    <col min="8458" max="8458" width="17" style="504" customWidth="1"/>
    <col min="8459" max="8459" width="16.28515625" style="504" customWidth="1"/>
    <col min="8460" max="8704" width="10.28515625" style="504"/>
    <col min="8705" max="8705" width="6.42578125" style="504" customWidth="1"/>
    <col min="8706" max="8706" width="58.28515625" style="504" customWidth="1"/>
    <col min="8707" max="8707" width="10.28515625" style="504"/>
    <col min="8708" max="8708" width="11" style="504" customWidth="1"/>
    <col min="8709" max="8710" width="9.7109375" style="504" customWidth="1"/>
    <col min="8711" max="8711" width="10.7109375" style="504" customWidth="1"/>
    <col min="8712" max="8713" width="11.28515625" style="504" customWidth="1"/>
    <col min="8714" max="8714" width="17" style="504" customWidth="1"/>
    <col min="8715" max="8715" width="16.28515625" style="504" customWidth="1"/>
    <col min="8716" max="8960" width="10.28515625" style="504"/>
    <col min="8961" max="8961" width="6.42578125" style="504" customWidth="1"/>
    <col min="8962" max="8962" width="58.28515625" style="504" customWidth="1"/>
    <col min="8963" max="8963" width="10.28515625" style="504"/>
    <col min="8964" max="8964" width="11" style="504" customWidth="1"/>
    <col min="8965" max="8966" width="9.7109375" style="504" customWidth="1"/>
    <col min="8967" max="8967" width="10.7109375" style="504" customWidth="1"/>
    <col min="8968" max="8969" width="11.28515625" style="504" customWidth="1"/>
    <col min="8970" max="8970" width="17" style="504" customWidth="1"/>
    <col min="8971" max="8971" width="16.28515625" style="504" customWidth="1"/>
    <col min="8972" max="9216" width="10.28515625" style="504"/>
    <col min="9217" max="9217" width="6.42578125" style="504" customWidth="1"/>
    <col min="9218" max="9218" width="58.28515625" style="504" customWidth="1"/>
    <col min="9219" max="9219" width="10.28515625" style="504"/>
    <col min="9220" max="9220" width="11" style="504" customWidth="1"/>
    <col min="9221" max="9222" width="9.7109375" style="504" customWidth="1"/>
    <col min="9223" max="9223" width="10.7109375" style="504" customWidth="1"/>
    <col min="9224" max="9225" width="11.28515625" style="504" customWidth="1"/>
    <col min="9226" max="9226" width="17" style="504" customWidth="1"/>
    <col min="9227" max="9227" width="16.28515625" style="504" customWidth="1"/>
    <col min="9228" max="9472" width="10.28515625" style="504"/>
    <col min="9473" max="9473" width="6.42578125" style="504" customWidth="1"/>
    <col min="9474" max="9474" width="58.28515625" style="504" customWidth="1"/>
    <col min="9475" max="9475" width="10.28515625" style="504"/>
    <col min="9476" max="9476" width="11" style="504" customWidth="1"/>
    <col min="9477" max="9478" width="9.7109375" style="504" customWidth="1"/>
    <col min="9479" max="9479" width="10.7109375" style="504" customWidth="1"/>
    <col min="9480" max="9481" width="11.28515625" style="504" customWidth="1"/>
    <col min="9482" max="9482" width="17" style="504" customWidth="1"/>
    <col min="9483" max="9483" width="16.28515625" style="504" customWidth="1"/>
    <col min="9484" max="9728" width="10.28515625" style="504"/>
    <col min="9729" max="9729" width="6.42578125" style="504" customWidth="1"/>
    <col min="9730" max="9730" width="58.28515625" style="504" customWidth="1"/>
    <col min="9731" max="9731" width="10.28515625" style="504"/>
    <col min="9732" max="9732" width="11" style="504" customWidth="1"/>
    <col min="9733" max="9734" width="9.7109375" style="504" customWidth="1"/>
    <col min="9735" max="9735" width="10.7109375" style="504" customWidth="1"/>
    <col min="9736" max="9737" width="11.28515625" style="504" customWidth="1"/>
    <col min="9738" max="9738" width="17" style="504" customWidth="1"/>
    <col min="9739" max="9739" width="16.28515625" style="504" customWidth="1"/>
    <col min="9740" max="9984" width="10.28515625" style="504"/>
    <col min="9985" max="9985" width="6.42578125" style="504" customWidth="1"/>
    <col min="9986" max="9986" width="58.28515625" style="504" customWidth="1"/>
    <col min="9987" max="9987" width="10.28515625" style="504"/>
    <col min="9988" max="9988" width="11" style="504" customWidth="1"/>
    <col min="9989" max="9990" width="9.7109375" style="504" customWidth="1"/>
    <col min="9991" max="9991" width="10.7109375" style="504" customWidth="1"/>
    <col min="9992" max="9993" width="11.28515625" style="504" customWidth="1"/>
    <col min="9994" max="9994" width="17" style="504" customWidth="1"/>
    <col min="9995" max="9995" width="16.28515625" style="504" customWidth="1"/>
    <col min="9996" max="10240" width="10.28515625" style="504"/>
    <col min="10241" max="10241" width="6.42578125" style="504" customWidth="1"/>
    <col min="10242" max="10242" width="58.28515625" style="504" customWidth="1"/>
    <col min="10243" max="10243" width="10.28515625" style="504"/>
    <col min="10244" max="10244" width="11" style="504" customWidth="1"/>
    <col min="10245" max="10246" width="9.7109375" style="504" customWidth="1"/>
    <col min="10247" max="10247" width="10.7109375" style="504" customWidth="1"/>
    <col min="10248" max="10249" width="11.28515625" style="504" customWidth="1"/>
    <col min="10250" max="10250" width="17" style="504" customWidth="1"/>
    <col min="10251" max="10251" width="16.28515625" style="504" customWidth="1"/>
    <col min="10252" max="10496" width="10.28515625" style="504"/>
    <col min="10497" max="10497" width="6.42578125" style="504" customWidth="1"/>
    <col min="10498" max="10498" width="58.28515625" style="504" customWidth="1"/>
    <col min="10499" max="10499" width="10.28515625" style="504"/>
    <col min="10500" max="10500" width="11" style="504" customWidth="1"/>
    <col min="10501" max="10502" width="9.7109375" style="504" customWidth="1"/>
    <col min="10503" max="10503" width="10.7109375" style="504" customWidth="1"/>
    <col min="10504" max="10505" width="11.28515625" style="504" customWidth="1"/>
    <col min="10506" max="10506" width="17" style="504" customWidth="1"/>
    <col min="10507" max="10507" width="16.28515625" style="504" customWidth="1"/>
    <col min="10508" max="10752" width="10.28515625" style="504"/>
    <col min="10753" max="10753" width="6.42578125" style="504" customWidth="1"/>
    <col min="10754" max="10754" width="58.28515625" style="504" customWidth="1"/>
    <col min="10755" max="10755" width="10.28515625" style="504"/>
    <col min="10756" max="10756" width="11" style="504" customWidth="1"/>
    <col min="10757" max="10758" width="9.7109375" style="504" customWidth="1"/>
    <col min="10759" max="10759" width="10.7109375" style="504" customWidth="1"/>
    <col min="10760" max="10761" width="11.28515625" style="504" customWidth="1"/>
    <col min="10762" max="10762" width="17" style="504" customWidth="1"/>
    <col min="10763" max="10763" width="16.28515625" style="504" customWidth="1"/>
    <col min="10764" max="11008" width="10.28515625" style="504"/>
    <col min="11009" max="11009" width="6.42578125" style="504" customWidth="1"/>
    <col min="11010" max="11010" width="58.28515625" style="504" customWidth="1"/>
    <col min="11011" max="11011" width="10.28515625" style="504"/>
    <col min="11012" max="11012" width="11" style="504" customWidth="1"/>
    <col min="11013" max="11014" width="9.7109375" style="504" customWidth="1"/>
    <col min="11015" max="11015" width="10.7109375" style="504" customWidth="1"/>
    <col min="11016" max="11017" width="11.28515625" style="504" customWidth="1"/>
    <col min="11018" max="11018" width="17" style="504" customWidth="1"/>
    <col min="11019" max="11019" width="16.28515625" style="504" customWidth="1"/>
    <col min="11020" max="11264" width="10.28515625" style="504"/>
    <col min="11265" max="11265" width="6.42578125" style="504" customWidth="1"/>
    <col min="11266" max="11266" width="58.28515625" style="504" customWidth="1"/>
    <col min="11267" max="11267" width="10.28515625" style="504"/>
    <col min="11268" max="11268" width="11" style="504" customWidth="1"/>
    <col min="11269" max="11270" width="9.7109375" style="504" customWidth="1"/>
    <col min="11271" max="11271" width="10.7109375" style="504" customWidth="1"/>
    <col min="11272" max="11273" width="11.28515625" style="504" customWidth="1"/>
    <col min="11274" max="11274" width="17" style="504" customWidth="1"/>
    <col min="11275" max="11275" width="16.28515625" style="504" customWidth="1"/>
    <col min="11276" max="11520" width="10.28515625" style="504"/>
    <col min="11521" max="11521" width="6.42578125" style="504" customWidth="1"/>
    <col min="11522" max="11522" width="58.28515625" style="504" customWidth="1"/>
    <col min="11523" max="11523" width="10.28515625" style="504"/>
    <col min="11524" max="11524" width="11" style="504" customWidth="1"/>
    <col min="11525" max="11526" width="9.7109375" style="504" customWidth="1"/>
    <col min="11527" max="11527" width="10.7109375" style="504" customWidth="1"/>
    <col min="11528" max="11529" width="11.28515625" style="504" customWidth="1"/>
    <col min="11530" max="11530" width="17" style="504" customWidth="1"/>
    <col min="11531" max="11531" width="16.28515625" style="504" customWidth="1"/>
    <col min="11532" max="11776" width="10.28515625" style="504"/>
    <col min="11777" max="11777" width="6.42578125" style="504" customWidth="1"/>
    <col min="11778" max="11778" width="58.28515625" style="504" customWidth="1"/>
    <col min="11779" max="11779" width="10.28515625" style="504"/>
    <col min="11780" max="11780" width="11" style="504" customWidth="1"/>
    <col min="11781" max="11782" width="9.7109375" style="504" customWidth="1"/>
    <col min="11783" max="11783" width="10.7109375" style="504" customWidth="1"/>
    <col min="11784" max="11785" width="11.28515625" style="504" customWidth="1"/>
    <col min="11786" max="11786" width="17" style="504" customWidth="1"/>
    <col min="11787" max="11787" width="16.28515625" style="504" customWidth="1"/>
    <col min="11788" max="12032" width="10.28515625" style="504"/>
    <col min="12033" max="12033" width="6.42578125" style="504" customWidth="1"/>
    <col min="12034" max="12034" width="58.28515625" style="504" customWidth="1"/>
    <col min="12035" max="12035" width="10.28515625" style="504"/>
    <col min="12036" max="12036" width="11" style="504" customWidth="1"/>
    <col min="12037" max="12038" width="9.7109375" style="504" customWidth="1"/>
    <col min="12039" max="12039" width="10.7109375" style="504" customWidth="1"/>
    <col min="12040" max="12041" width="11.28515625" style="504" customWidth="1"/>
    <col min="12042" max="12042" width="17" style="504" customWidth="1"/>
    <col min="12043" max="12043" width="16.28515625" style="504" customWidth="1"/>
    <col min="12044" max="12288" width="10.28515625" style="504"/>
    <col min="12289" max="12289" width="6.42578125" style="504" customWidth="1"/>
    <col min="12290" max="12290" width="58.28515625" style="504" customWidth="1"/>
    <col min="12291" max="12291" width="10.28515625" style="504"/>
    <col min="12292" max="12292" width="11" style="504" customWidth="1"/>
    <col min="12293" max="12294" width="9.7109375" style="504" customWidth="1"/>
    <col min="12295" max="12295" width="10.7109375" style="504" customWidth="1"/>
    <col min="12296" max="12297" width="11.28515625" style="504" customWidth="1"/>
    <col min="12298" max="12298" width="17" style="504" customWidth="1"/>
    <col min="12299" max="12299" width="16.28515625" style="504" customWidth="1"/>
    <col min="12300" max="12544" width="10.28515625" style="504"/>
    <col min="12545" max="12545" width="6.42578125" style="504" customWidth="1"/>
    <col min="12546" max="12546" width="58.28515625" style="504" customWidth="1"/>
    <col min="12547" max="12547" width="10.28515625" style="504"/>
    <col min="12548" max="12548" width="11" style="504" customWidth="1"/>
    <col min="12549" max="12550" width="9.7109375" style="504" customWidth="1"/>
    <col min="12551" max="12551" width="10.7109375" style="504" customWidth="1"/>
    <col min="12552" max="12553" width="11.28515625" style="504" customWidth="1"/>
    <col min="12554" max="12554" width="17" style="504" customWidth="1"/>
    <col min="12555" max="12555" width="16.28515625" style="504" customWidth="1"/>
    <col min="12556" max="12800" width="10.28515625" style="504"/>
    <col min="12801" max="12801" width="6.42578125" style="504" customWidth="1"/>
    <col min="12802" max="12802" width="58.28515625" style="504" customWidth="1"/>
    <col min="12803" max="12803" width="10.28515625" style="504"/>
    <col min="12804" max="12804" width="11" style="504" customWidth="1"/>
    <col min="12805" max="12806" width="9.7109375" style="504" customWidth="1"/>
    <col min="12807" max="12807" width="10.7109375" style="504" customWidth="1"/>
    <col min="12808" max="12809" width="11.28515625" style="504" customWidth="1"/>
    <col min="12810" max="12810" width="17" style="504" customWidth="1"/>
    <col min="12811" max="12811" width="16.28515625" style="504" customWidth="1"/>
    <col min="12812" max="13056" width="10.28515625" style="504"/>
    <col min="13057" max="13057" width="6.42578125" style="504" customWidth="1"/>
    <col min="13058" max="13058" width="58.28515625" style="504" customWidth="1"/>
    <col min="13059" max="13059" width="10.28515625" style="504"/>
    <col min="13060" max="13060" width="11" style="504" customWidth="1"/>
    <col min="13061" max="13062" width="9.7109375" style="504" customWidth="1"/>
    <col min="13063" max="13063" width="10.7109375" style="504" customWidth="1"/>
    <col min="13064" max="13065" width="11.28515625" style="504" customWidth="1"/>
    <col min="13066" max="13066" width="17" style="504" customWidth="1"/>
    <col min="13067" max="13067" width="16.28515625" style="504" customWidth="1"/>
    <col min="13068" max="13312" width="10.28515625" style="504"/>
    <col min="13313" max="13313" width="6.42578125" style="504" customWidth="1"/>
    <col min="13314" max="13314" width="58.28515625" style="504" customWidth="1"/>
    <col min="13315" max="13315" width="10.28515625" style="504"/>
    <col min="13316" max="13316" width="11" style="504" customWidth="1"/>
    <col min="13317" max="13318" width="9.7109375" style="504" customWidth="1"/>
    <col min="13319" max="13319" width="10.7109375" style="504" customWidth="1"/>
    <col min="13320" max="13321" width="11.28515625" style="504" customWidth="1"/>
    <col min="13322" max="13322" width="17" style="504" customWidth="1"/>
    <col min="13323" max="13323" width="16.28515625" style="504" customWidth="1"/>
    <col min="13324" max="13568" width="10.28515625" style="504"/>
    <col min="13569" max="13569" width="6.42578125" style="504" customWidth="1"/>
    <col min="13570" max="13570" width="58.28515625" style="504" customWidth="1"/>
    <col min="13571" max="13571" width="10.28515625" style="504"/>
    <col min="13572" max="13572" width="11" style="504" customWidth="1"/>
    <col min="13573" max="13574" width="9.7109375" style="504" customWidth="1"/>
    <col min="13575" max="13575" width="10.7109375" style="504" customWidth="1"/>
    <col min="13576" max="13577" width="11.28515625" style="504" customWidth="1"/>
    <col min="13578" max="13578" width="17" style="504" customWidth="1"/>
    <col min="13579" max="13579" width="16.28515625" style="504" customWidth="1"/>
    <col min="13580" max="13824" width="10.28515625" style="504"/>
    <col min="13825" max="13825" width="6.42578125" style="504" customWidth="1"/>
    <col min="13826" max="13826" width="58.28515625" style="504" customWidth="1"/>
    <col min="13827" max="13827" width="10.28515625" style="504"/>
    <col min="13828" max="13828" width="11" style="504" customWidth="1"/>
    <col min="13829" max="13830" width="9.7109375" style="504" customWidth="1"/>
    <col min="13831" max="13831" width="10.7109375" style="504" customWidth="1"/>
    <col min="13832" max="13833" width="11.28515625" style="504" customWidth="1"/>
    <col min="13834" max="13834" width="17" style="504" customWidth="1"/>
    <col min="13835" max="13835" width="16.28515625" style="504" customWidth="1"/>
    <col min="13836" max="14080" width="10.28515625" style="504"/>
    <col min="14081" max="14081" width="6.42578125" style="504" customWidth="1"/>
    <col min="14082" max="14082" width="58.28515625" style="504" customWidth="1"/>
    <col min="14083" max="14083" width="10.28515625" style="504"/>
    <col min="14084" max="14084" width="11" style="504" customWidth="1"/>
    <col min="14085" max="14086" width="9.7109375" style="504" customWidth="1"/>
    <col min="14087" max="14087" width="10.7109375" style="504" customWidth="1"/>
    <col min="14088" max="14089" width="11.28515625" style="504" customWidth="1"/>
    <col min="14090" max="14090" width="17" style="504" customWidth="1"/>
    <col min="14091" max="14091" width="16.28515625" style="504" customWidth="1"/>
    <col min="14092" max="14336" width="10.28515625" style="504"/>
    <col min="14337" max="14337" width="6.42578125" style="504" customWidth="1"/>
    <col min="14338" max="14338" width="58.28515625" style="504" customWidth="1"/>
    <col min="14339" max="14339" width="10.28515625" style="504"/>
    <col min="14340" max="14340" width="11" style="504" customWidth="1"/>
    <col min="14341" max="14342" width="9.7109375" style="504" customWidth="1"/>
    <col min="14343" max="14343" width="10.7109375" style="504" customWidth="1"/>
    <col min="14344" max="14345" width="11.28515625" style="504" customWidth="1"/>
    <col min="14346" max="14346" width="17" style="504" customWidth="1"/>
    <col min="14347" max="14347" width="16.28515625" style="504" customWidth="1"/>
    <col min="14348" max="14592" width="10.28515625" style="504"/>
    <col min="14593" max="14593" width="6.42578125" style="504" customWidth="1"/>
    <col min="14594" max="14594" width="58.28515625" style="504" customWidth="1"/>
    <col min="14595" max="14595" width="10.28515625" style="504"/>
    <col min="14596" max="14596" width="11" style="504" customWidth="1"/>
    <col min="14597" max="14598" width="9.7109375" style="504" customWidth="1"/>
    <col min="14599" max="14599" width="10.7109375" style="504" customWidth="1"/>
    <col min="14600" max="14601" width="11.28515625" style="504" customWidth="1"/>
    <col min="14602" max="14602" width="17" style="504" customWidth="1"/>
    <col min="14603" max="14603" width="16.28515625" style="504" customWidth="1"/>
    <col min="14604" max="14848" width="10.28515625" style="504"/>
    <col min="14849" max="14849" width="6.42578125" style="504" customWidth="1"/>
    <col min="14850" max="14850" width="58.28515625" style="504" customWidth="1"/>
    <col min="14851" max="14851" width="10.28515625" style="504"/>
    <col min="14852" max="14852" width="11" style="504" customWidth="1"/>
    <col min="14853" max="14854" width="9.7109375" style="504" customWidth="1"/>
    <col min="14855" max="14855" width="10.7109375" style="504" customWidth="1"/>
    <col min="14856" max="14857" width="11.28515625" style="504" customWidth="1"/>
    <col min="14858" max="14858" width="17" style="504" customWidth="1"/>
    <col min="14859" max="14859" width="16.28515625" style="504" customWidth="1"/>
    <col min="14860" max="15104" width="10.28515625" style="504"/>
    <col min="15105" max="15105" width="6.42578125" style="504" customWidth="1"/>
    <col min="15106" max="15106" width="58.28515625" style="504" customWidth="1"/>
    <col min="15107" max="15107" width="10.28515625" style="504"/>
    <col min="15108" max="15108" width="11" style="504" customWidth="1"/>
    <col min="15109" max="15110" width="9.7109375" style="504" customWidth="1"/>
    <col min="15111" max="15111" width="10.7109375" style="504" customWidth="1"/>
    <col min="15112" max="15113" width="11.28515625" style="504" customWidth="1"/>
    <col min="15114" max="15114" width="17" style="504" customWidth="1"/>
    <col min="15115" max="15115" width="16.28515625" style="504" customWidth="1"/>
    <col min="15116" max="15360" width="10.28515625" style="504"/>
    <col min="15361" max="15361" width="6.42578125" style="504" customWidth="1"/>
    <col min="15362" max="15362" width="58.28515625" style="504" customWidth="1"/>
    <col min="15363" max="15363" width="10.28515625" style="504"/>
    <col min="15364" max="15364" width="11" style="504" customWidth="1"/>
    <col min="15365" max="15366" width="9.7109375" style="504" customWidth="1"/>
    <col min="15367" max="15367" width="10.7109375" style="504" customWidth="1"/>
    <col min="15368" max="15369" width="11.28515625" style="504" customWidth="1"/>
    <col min="15370" max="15370" width="17" style="504" customWidth="1"/>
    <col min="15371" max="15371" width="16.28515625" style="504" customWidth="1"/>
    <col min="15372" max="15616" width="10.28515625" style="504"/>
    <col min="15617" max="15617" width="6.42578125" style="504" customWidth="1"/>
    <col min="15618" max="15618" width="58.28515625" style="504" customWidth="1"/>
    <col min="15619" max="15619" width="10.28515625" style="504"/>
    <col min="15620" max="15620" width="11" style="504" customWidth="1"/>
    <col min="15621" max="15622" width="9.7109375" style="504" customWidth="1"/>
    <col min="15623" max="15623" width="10.7109375" style="504" customWidth="1"/>
    <col min="15624" max="15625" width="11.28515625" style="504" customWidth="1"/>
    <col min="15626" max="15626" width="17" style="504" customWidth="1"/>
    <col min="15627" max="15627" width="16.28515625" style="504" customWidth="1"/>
    <col min="15628" max="15872" width="10.28515625" style="504"/>
    <col min="15873" max="15873" width="6.42578125" style="504" customWidth="1"/>
    <col min="15874" max="15874" width="58.28515625" style="504" customWidth="1"/>
    <col min="15875" max="15875" width="10.28515625" style="504"/>
    <col min="15876" max="15876" width="11" style="504" customWidth="1"/>
    <col min="15877" max="15878" width="9.7109375" style="504" customWidth="1"/>
    <col min="15879" max="15879" width="10.7109375" style="504" customWidth="1"/>
    <col min="15880" max="15881" width="11.28515625" style="504" customWidth="1"/>
    <col min="15882" max="15882" width="17" style="504" customWidth="1"/>
    <col min="15883" max="15883" width="16.28515625" style="504" customWidth="1"/>
    <col min="15884" max="16128" width="10.28515625" style="504"/>
    <col min="16129" max="16129" width="6.42578125" style="504" customWidth="1"/>
    <col min="16130" max="16130" width="58.28515625" style="504" customWidth="1"/>
    <col min="16131" max="16131" width="10.28515625" style="504"/>
    <col min="16132" max="16132" width="11" style="504" customWidth="1"/>
    <col min="16133" max="16134" width="9.7109375" style="504" customWidth="1"/>
    <col min="16135" max="16135" width="10.7109375" style="504" customWidth="1"/>
    <col min="16136" max="16137" width="11.28515625" style="504" customWidth="1"/>
    <col min="16138" max="16138" width="17" style="504" customWidth="1"/>
    <col min="16139" max="16139" width="16.28515625" style="504" customWidth="1"/>
    <col min="16140" max="16384" width="10.28515625" style="504"/>
  </cols>
  <sheetData>
    <row r="1" spans="1:12" ht="12" customHeight="1" x14ac:dyDescent="0.2">
      <c r="A1" s="503"/>
      <c r="C1" s="505"/>
      <c r="D1" s="505"/>
      <c r="E1" s="505"/>
      <c r="F1" s="505"/>
      <c r="H1" s="505" t="s">
        <v>186</v>
      </c>
    </row>
    <row r="2" spans="1:12" ht="12" customHeight="1" x14ac:dyDescent="0.2">
      <c r="C2" s="505"/>
      <c r="D2" s="505"/>
      <c r="E2" s="505"/>
      <c r="F2" s="505"/>
      <c r="H2" s="3" t="s">
        <v>449</v>
      </c>
    </row>
    <row r="3" spans="1:12" ht="12" customHeight="1" x14ac:dyDescent="0.2">
      <c r="C3" s="505"/>
      <c r="D3" s="505"/>
      <c r="E3" s="505"/>
      <c r="F3" s="505"/>
      <c r="H3" s="3" t="s">
        <v>0</v>
      </c>
    </row>
    <row r="4" spans="1:12" ht="12" customHeight="1" x14ac:dyDescent="0.2">
      <c r="B4" s="505"/>
      <c r="C4" s="506"/>
      <c r="D4" s="505"/>
      <c r="E4" s="506"/>
      <c r="F4" s="505"/>
      <c r="H4" s="3" t="s">
        <v>450</v>
      </c>
    </row>
    <row r="5" spans="1:12" ht="12" customHeight="1" x14ac:dyDescent="0.2">
      <c r="B5" s="505"/>
      <c r="C5" s="506"/>
      <c r="D5" s="505"/>
      <c r="E5" s="506"/>
      <c r="F5" s="505"/>
      <c r="G5" s="505"/>
      <c r="H5" s="505"/>
    </row>
    <row r="6" spans="1:12" ht="12.75" customHeight="1" x14ac:dyDescent="0.2">
      <c r="A6" s="507" t="s">
        <v>490</v>
      </c>
      <c r="B6" s="507"/>
      <c r="C6" s="507"/>
      <c r="D6" s="507"/>
      <c r="E6" s="507"/>
      <c r="F6" s="507"/>
      <c r="G6" s="507"/>
      <c r="H6" s="507"/>
      <c r="I6" s="507"/>
    </row>
    <row r="7" spans="1:12" ht="11.25" customHeight="1" x14ac:dyDescent="0.2">
      <c r="I7" s="504" t="s">
        <v>2</v>
      </c>
    </row>
    <row r="8" spans="1:12" ht="11.25" customHeight="1" x14ac:dyDescent="0.2">
      <c r="A8" s="508"/>
      <c r="B8" s="508"/>
      <c r="C8" s="509" t="s">
        <v>491</v>
      </c>
      <c r="D8" s="510" t="s">
        <v>492</v>
      </c>
      <c r="E8" s="511" t="s">
        <v>493</v>
      </c>
      <c r="F8" s="512"/>
      <c r="G8" s="511" t="s">
        <v>453</v>
      </c>
      <c r="H8" s="513"/>
      <c r="I8" s="512"/>
    </row>
    <row r="9" spans="1:12" ht="11.25" customHeight="1" x14ac:dyDescent="0.2">
      <c r="A9" s="514"/>
      <c r="B9" s="514"/>
      <c r="C9" s="515"/>
      <c r="D9" s="516" t="s">
        <v>494</v>
      </c>
      <c r="E9" s="509"/>
      <c r="F9" s="509"/>
      <c r="G9" s="511" t="s">
        <v>495</v>
      </c>
      <c r="H9" s="513"/>
      <c r="I9" s="512"/>
    </row>
    <row r="10" spans="1:12" ht="11.25" customHeight="1" x14ac:dyDescent="0.2">
      <c r="A10" s="514"/>
      <c r="B10" s="514"/>
      <c r="C10" s="515" t="s">
        <v>496</v>
      </c>
      <c r="D10" s="516" t="s">
        <v>497</v>
      </c>
      <c r="E10" s="515"/>
      <c r="F10" s="515"/>
      <c r="G10" s="509"/>
      <c r="H10" s="509"/>
      <c r="I10" s="509"/>
    </row>
    <row r="11" spans="1:12" ht="14.25" customHeight="1" x14ac:dyDescent="0.2">
      <c r="A11" s="514" t="s">
        <v>176</v>
      </c>
      <c r="B11" s="514" t="s">
        <v>498</v>
      </c>
      <c r="C11" s="515" t="s">
        <v>499</v>
      </c>
      <c r="D11" s="516" t="s">
        <v>500</v>
      </c>
      <c r="E11" s="515"/>
      <c r="F11" s="515"/>
      <c r="G11" s="515"/>
      <c r="H11" s="515"/>
      <c r="I11" s="515"/>
    </row>
    <row r="12" spans="1:12" ht="32.25" customHeight="1" x14ac:dyDescent="0.2">
      <c r="A12" s="514"/>
      <c r="B12" s="514"/>
      <c r="C12" s="515" t="s">
        <v>501</v>
      </c>
      <c r="D12" s="516" t="s">
        <v>502</v>
      </c>
      <c r="E12" s="515" t="s">
        <v>503</v>
      </c>
      <c r="F12" s="515" t="s">
        <v>504</v>
      </c>
      <c r="G12" s="515" t="s">
        <v>505</v>
      </c>
      <c r="H12" s="515" t="s">
        <v>506</v>
      </c>
      <c r="I12" s="515" t="s">
        <v>504</v>
      </c>
    </row>
    <row r="13" spans="1:12" ht="18.75" customHeight="1" x14ac:dyDescent="0.2">
      <c r="A13" s="517"/>
      <c r="B13" s="517"/>
      <c r="D13" s="518" t="s">
        <v>507</v>
      </c>
      <c r="E13" s="519"/>
      <c r="F13" s="519"/>
      <c r="G13" s="519"/>
      <c r="H13" s="519"/>
      <c r="I13" s="519"/>
    </row>
    <row r="14" spans="1:12" ht="11.25" customHeight="1" x14ac:dyDescent="0.2">
      <c r="A14" s="520">
        <v>1</v>
      </c>
      <c r="B14" s="520">
        <v>2</v>
      </c>
      <c r="C14" s="520">
        <v>3</v>
      </c>
      <c r="D14" s="520">
        <v>4</v>
      </c>
      <c r="E14" s="520">
        <v>5</v>
      </c>
      <c r="F14" s="520">
        <v>6</v>
      </c>
      <c r="G14" s="521">
        <v>7</v>
      </c>
      <c r="H14" s="520">
        <v>8</v>
      </c>
      <c r="I14" s="520">
        <v>9</v>
      </c>
    </row>
    <row r="15" spans="1:12" s="528" customFormat="1" ht="21.75" customHeight="1" x14ac:dyDescent="0.2">
      <c r="A15" s="522"/>
      <c r="B15" s="523" t="s">
        <v>508</v>
      </c>
      <c r="C15" s="524"/>
      <c r="D15" s="525">
        <v>118265932.27000001</v>
      </c>
      <c r="E15" s="525">
        <v>35024292.25</v>
      </c>
      <c r="F15" s="525">
        <v>83241640.020000011</v>
      </c>
      <c r="G15" s="525">
        <v>69754675.5</v>
      </c>
      <c r="H15" s="525">
        <v>17166205.829999998</v>
      </c>
      <c r="I15" s="525">
        <v>52588469.670000002</v>
      </c>
      <c r="J15" s="526"/>
      <c r="K15" s="527"/>
    </row>
    <row r="16" spans="1:12" s="528" customFormat="1" ht="12" customHeight="1" x14ac:dyDescent="0.2">
      <c r="A16" s="529"/>
      <c r="B16" s="530" t="s">
        <v>509</v>
      </c>
      <c r="C16" s="531"/>
      <c r="D16" s="532">
        <v>21935149.98</v>
      </c>
      <c r="E16" s="532">
        <v>2801439.79</v>
      </c>
      <c r="F16" s="532">
        <v>19133710.190000001</v>
      </c>
      <c r="G16" s="532">
        <v>10672201.48</v>
      </c>
      <c r="H16" s="532">
        <v>1057512.1300000004</v>
      </c>
      <c r="I16" s="532">
        <v>9614689.3499999996</v>
      </c>
      <c r="J16" s="533"/>
      <c r="K16" s="534"/>
      <c r="L16" s="534"/>
    </row>
    <row r="17" spans="1:11" s="528" customFormat="1" ht="12" customHeight="1" x14ac:dyDescent="0.2">
      <c r="A17" s="529"/>
      <c r="B17" s="535" t="s">
        <v>510</v>
      </c>
      <c r="C17" s="536"/>
      <c r="D17" s="537">
        <v>96330782.290000007</v>
      </c>
      <c r="E17" s="537">
        <v>32222852.459999997</v>
      </c>
      <c r="F17" s="537">
        <v>64107929.830000006</v>
      </c>
      <c r="G17" s="537">
        <v>59082474.020000003</v>
      </c>
      <c r="H17" s="537">
        <v>16108693.699999999</v>
      </c>
      <c r="I17" s="537">
        <v>42973780.32</v>
      </c>
      <c r="J17" s="533"/>
      <c r="K17" s="534"/>
    </row>
    <row r="18" spans="1:11" ht="33" customHeight="1" thickBot="1" x14ac:dyDescent="0.25">
      <c r="A18" s="538" t="s">
        <v>511</v>
      </c>
      <c r="B18" s="539" t="s">
        <v>512</v>
      </c>
      <c r="C18" s="540"/>
      <c r="D18" s="541">
        <v>90952467.590000004</v>
      </c>
      <c r="E18" s="541">
        <v>28315090.620000001</v>
      </c>
      <c r="F18" s="541">
        <v>62637376.969999999</v>
      </c>
      <c r="G18" s="541">
        <v>50286162.540000007</v>
      </c>
      <c r="H18" s="541">
        <v>11614087.889999999</v>
      </c>
      <c r="I18" s="541">
        <v>38672074.649999999</v>
      </c>
      <c r="J18" s="542"/>
    </row>
    <row r="19" spans="1:11" ht="22.5" customHeight="1" x14ac:dyDescent="0.2">
      <c r="A19" s="543" t="s">
        <v>513</v>
      </c>
      <c r="B19" s="544" t="s">
        <v>514</v>
      </c>
      <c r="C19" s="545"/>
      <c r="D19" s="545"/>
      <c r="E19" s="545"/>
      <c r="F19" s="546"/>
      <c r="G19" s="545"/>
      <c r="H19" s="545"/>
      <c r="I19" s="546"/>
      <c r="J19" s="547"/>
    </row>
    <row r="20" spans="1:11" ht="11.45" customHeight="1" x14ac:dyDescent="0.25">
      <c r="A20" s="548"/>
      <c r="B20" s="549" t="s">
        <v>515</v>
      </c>
      <c r="C20" s="550"/>
      <c r="D20" s="550"/>
      <c r="E20" s="550"/>
      <c r="F20" s="551"/>
      <c r="G20" s="550"/>
      <c r="H20" s="550"/>
      <c r="I20" s="551"/>
    </row>
    <row r="21" spans="1:11" ht="11.45" customHeight="1" x14ac:dyDescent="0.2">
      <c r="A21" s="552"/>
      <c r="B21" s="553" t="s">
        <v>509</v>
      </c>
      <c r="C21" s="554" t="s">
        <v>516</v>
      </c>
      <c r="D21" s="555">
        <v>50000</v>
      </c>
      <c r="E21" s="556"/>
      <c r="F21" s="556">
        <v>50000</v>
      </c>
      <c r="G21" s="557">
        <v>50000</v>
      </c>
      <c r="H21" s="556"/>
      <c r="I21" s="556">
        <v>50000</v>
      </c>
    </row>
    <row r="22" spans="1:11" ht="11.45" customHeight="1" x14ac:dyDescent="0.2">
      <c r="A22" s="558"/>
      <c r="B22" s="559" t="s">
        <v>510</v>
      </c>
      <c r="C22" s="560" t="s">
        <v>517</v>
      </c>
      <c r="D22" s="561"/>
      <c r="E22" s="561"/>
      <c r="F22" s="561"/>
      <c r="G22" s="562"/>
      <c r="H22" s="561"/>
      <c r="I22" s="561"/>
    </row>
    <row r="23" spans="1:11" ht="15.75" customHeight="1" x14ac:dyDescent="0.2">
      <c r="A23" s="563" t="s">
        <v>518</v>
      </c>
      <c r="D23" s="542"/>
      <c r="E23" s="542"/>
      <c r="F23" s="542"/>
      <c r="G23" s="542"/>
      <c r="H23" s="542"/>
      <c r="I23" s="542"/>
    </row>
    <row r="24" spans="1:11" ht="11.1" customHeight="1" x14ac:dyDescent="0.2">
      <c r="A24" s="564"/>
      <c r="D24" s="542"/>
      <c r="E24" s="542"/>
      <c r="F24" s="542"/>
      <c r="G24" s="542"/>
      <c r="H24" s="542"/>
      <c r="I24" s="542"/>
    </row>
    <row r="25" spans="1:11" ht="11.1" customHeight="1" x14ac:dyDescent="0.2">
      <c r="A25" s="564"/>
      <c r="D25" s="542"/>
      <c r="E25" s="542"/>
      <c r="F25" s="542"/>
      <c r="G25" s="542"/>
      <c r="H25" s="542"/>
      <c r="I25" s="542"/>
    </row>
    <row r="26" spans="1:11" ht="11.1" customHeight="1" x14ac:dyDescent="0.2">
      <c r="A26" s="564"/>
      <c r="D26" s="542"/>
      <c r="E26" s="542"/>
      <c r="F26" s="542"/>
      <c r="G26" s="542"/>
      <c r="H26" s="542"/>
      <c r="I26" s="542"/>
    </row>
    <row r="27" spans="1:11" ht="11.1" customHeight="1" x14ac:dyDescent="0.2">
      <c r="A27" s="564"/>
      <c r="D27" s="542"/>
      <c r="E27" s="542"/>
      <c r="F27" s="542"/>
      <c r="G27" s="542"/>
      <c r="H27" s="542"/>
      <c r="I27" s="542"/>
    </row>
    <row r="28" spans="1:11" ht="11.1" customHeight="1" x14ac:dyDescent="0.2">
      <c r="A28" s="564"/>
      <c r="D28" s="542"/>
      <c r="E28" s="542"/>
      <c r="F28" s="542"/>
      <c r="G28" s="542"/>
      <c r="H28" s="542"/>
      <c r="I28" s="542"/>
    </row>
    <row r="29" spans="1:11" ht="11.1" customHeight="1" x14ac:dyDescent="0.2">
      <c r="A29" s="564"/>
      <c r="D29" s="542"/>
      <c r="E29" s="542"/>
      <c r="F29" s="542"/>
      <c r="G29" s="542"/>
      <c r="H29" s="542"/>
      <c r="I29" s="542"/>
    </row>
    <row r="30" spans="1:11" ht="11.1" customHeight="1" x14ac:dyDescent="0.2">
      <c r="A30" s="564"/>
      <c r="D30" s="542"/>
      <c r="E30" s="542"/>
      <c r="F30" s="542"/>
      <c r="G30" s="542"/>
      <c r="H30" s="542"/>
      <c r="I30" s="542"/>
    </row>
    <row r="31" spans="1:11" ht="11.1" customHeight="1" x14ac:dyDescent="0.2">
      <c r="A31" s="564"/>
      <c r="D31" s="542"/>
      <c r="E31" s="542"/>
      <c r="F31" s="542"/>
      <c r="G31" s="542"/>
      <c r="H31" s="542"/>
      <c r="I31" s="542"/>
    </row>
    <row r="32" spans="1:11" ht="11.1" customHeight="1" x14ac:dyDescent="0.2">
      <c r="A32" s="564"/>
      <c r="D32" s="542"/>
      <c r="E32" s="542"/>
      <c r="F32" s="542"/>
      <c r="G32" s="542"/>
      <c r="H32" s="542"/>
      <c r="I32" s="542"/>
    </row>
    <row r="33" spans="1:9" ht="11.1" customHeight="1" x14ac:dyDescent="0.2">
      <c r="A33" s="564"/>
      <c r="D33" s="542"/>
      <c r="E33" s="542"/>
      <c r="F33" s="542"/>
      <c r="G33" s="542"/>
      <c r="H33" s="542"/>
      <c r="I33" s="542"/>
    </row>
    <row r="34" spans="1:9" ht="11.1" customHeight="1" x14ac:dyDescent="0.2">
      <c r="A34" s="564"/>
      <c r="D34" s="542"/>
      <c r="E34" s="542"/>
      <c r="F34" s="542"/>
      <c r="G34" s="542"/>
      <c r="H34" s="542"/>
      <c r="I34" s="542"/>
    </row>
    <row r="35" spans="1:9" ht="11.1" customHeight="1" x14ac:dyDescent="0.2">
      <c r="A35" s="564"/>
      <c r="D35" s="542"/>
      <c r="E35" s="542"/>
      <c r="F35" s="542"/>
      <c r="G35" s="542"/>
      <c r="H35" s="542"/>
      <c r="I35" s="542"/>
    </row>
    <row r="36" spans="1:9" ht="11.1" customHeight="1" x14ac:dyDescent="0.2">
      <c r="A36" s="564"/>
      <c r="D36" s="542"/>
      <c r="E36" s="542"/>
      <c r="F36" s="542"/>
      <c r="G36" s="542"/>
      <c r="H36" s="542"/>
      <c r="I36" s="542"/>
    </row>
    <row r="37" spans="1:9" ht="11.1" customHeight="1" x14ac:dyDescent="0.2">
      <c r="A37" s="564"/>
      <c r="D37" s="542"/>
      <c r="E37" s="542"/>
      <c r="F37" s="542"/>
      <c r="G37" s="542"/>
      <c r="H37" s="542"/>
      <c r="I37" s="542"/>
    </row>
    <row r="38" spans="1:9" ht="11.1" customHeight="1" x14ac:dyDescent="0.2">
      <c r="A38" s="564"/>
      <c r="D38" s="542"/>
      <c r="E38" s="542"/>
      <c r="F38" s="542"/>
      <c r="G38" s="542"/>
      <c r="H38" s="542"/>
      <c r="I38" s="542"/>
    </row>
    <row r="39" spans="1:9" ht="12.75" customHeight="1" x14ac:dyDescent="0.2">
      <c r="A39" s="565"/>
      <c r="D39" s="533"/>
      <c r="E39" s="533"/>
      <c r="F39" s="533"/>
      <c r="G39" s="533"/>
      <c r="H39" s="533"/>
      <c r="I39" s="533"/>
    </row>
    <row r="40" spans="1:9" ht="12.75" customHeight="1" x14ac:dyDescent="0.2">
      <c r="A40" s="565"/>
    </row>
    <row r="41" spans="1:9" x14ac:dyDescent="0.2">
      <c r="A41" s="56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3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735F9-7F7F-493A-A672-F6648138490F}">
  <sheetPr>
    <tabColor rgb="FF92D050"/>
  </sheetPr>
  <dimension ref="A1:BV21"/>
  <sheetViews>
    <sheetView zoomScale="130" zoomScaleNormal="130" workbookViewId="0"/>
  </sheetViews>
  <sheetFormatPr defaultRowHeight="12.75" x14ac:dyDescent="0.2"/>
  <cols>
    <col min="1" max="1" width="4.28515625" style="566" customWidth="1"/>
    <col min="2" max="2" width="8.7109375" style="566" customWidth="1"/>
    <col min="3" max="3" width="5.5703125" style="566" customWidth="1"/>
    <col min="4" max="4" width="11.5703125" style="566" customWidth="1"/>
    <col min="5" max="5" width="11.42578125" style="566" customWidth="1"/>
    <col min="6" max="6" width="11.5703125" style="566" customWidth="1"/>
    <col min="7" max="7" width="14" style="566" customWidth="1"/>
    <col min="8" max="8" width="12.85546875" style="568" customWidth="1"/>
    <col min="9" max="9" width="10" style="568" customWidth="1"/>
    <col min="10" max="74" width="9.140625" style="568"/>
    <col min="75" max="256" width="9.140625" style="566"/>
    <col min="257" max="257" width="4.28515625" style="566" customWidth="1"/>
    <col min="258" max="258" width="8.7109375" style="566" customWidth="1"/>
    <col min="259" max="259" width="5.5703125" style="566" customWidth="1"/>
    <col min="260" max="260" width="11.85546875" style="566" customWidth="1"/>
    <col min="261" max="261" width="12" style="566" customWidth="1"/>
    <col min="262" max="262" width="11.5703125" style="566" customWidth="1"/>
    <col min="263" max="263" width="14" style="566" customWidth="1"/>
    <col min="264" max="264" width="12.85546875" style="566" customWidth="1"/>
    <col min="265" max="265" width="10.5703125" style="566" customWidth="1"/>
    <col min="266" max="512" width="9.140625" style="566"/>
    <col min="513" max="513" width="4.28515625" style="566" customWidth="1"/>
    <col min="514" max="514" width="8.7109375" style="566" customWidth="1"/>
    <col min="515" max="515" width="5.5703125" style="566" customWidth="1"/>
    <col min="516" max="516" width="11.85546875" style="566" customWidth="1"/>
    <col min="517" max="517" width="12" style="566" customWidth="1"/>
    <col min="518" max="518" width="11.5703125" style="566" customWidth="1"/>
    <col min="519" max="519" width="14" style="566" customWidth="1"/>
    <col min="520" max="520" width="12.85546875" style="566" customWidth="1"/>
    <col min="521" max="521" width="10.5703125" style="566" customWidth="1"/>
    <col min="522" max="768" width="9.140625" style="566"/>
    <col min="769" max="769" width="4.28515625" style="566" customWidth="1"/>
    <col min="770" max="770" width="8.7109375" style="566" customWidth="1"/>
    <col min="771" max="771" width="5.5703125" style="566" customWidth="1"/>
    <col min="772" max="772" width="11.85546875" style="566" customWidth="1"/>
    <col min="773" max="773" width="12" style="566" customWidth="1"/>
    <col min="774" max="774" width="11.5703125" style="566" customWidth="1"/>
    <col min="775" max="775" width="14" style="566" customWidth="1"/>
    <col min="776" max="776" width="12.85546875" style="566" customWidth="1"/>
    <col min="777" max="777" width="10.5703125" style="566" customWidth="1"/>
    <col min="778" max="1024" width="9.140625" style="566"/>
    <col min="1025" max="1025" width="4.28515625" style="566" customWidth="1"/>
    <col min="1026" max="1026" width="8.7109375" style="566" customWidth="1"/>
    <col min="1027" max="1027" width="5.5703125" style="566" customWidth="1"/>
    <col min="1028" max="1028" width="11.85546875" style="566" customWidth="1"/>
    <col min="1029" max="1029" width="12" style="566" customWidth="1"/>
    <col min="1030" max="1030" width="11.5703125" style="566" customWidth="1"/>
    <col min="1031" max="1031" width="14" style="566" customWidth="1"/>
    <col min="1032" max="1032" width="12.85546875" style="566" customWidth="1"/>
    <col min="1033" max="1033" width="10.5703125" style="566" customWidth="1"/>
    <col min="1034" max="1280" width="9.140625" style="566"/>
    <col min="1281" max="1281" width="4.28515625" style="566" customWidth="1"/>
    <col min="1282" max="1282" width="8.7109375" style="566" customWidth="1"/>
    <col min="1283" max="1283" width="5.5703125" style="566" customWidth="1"/>
    <col min="1284" max="1284" width="11.85546875" style="566" customWidth="1"/>
    <col min="1285" max="1285" width="12" style="566" customWidth="1"/>
    <col min="1286" max="1286" width="11.5703125" style="566" customWidth="1"/>
    <col min="1287" max="1287" width="14" style="566" customWidth="1"/>
    <col min="1288" max="1288" width="12.85546875" style="566" customWidth="1"/>
    <col min="1289" max="1289" width="10.5703125" style="566" customWidth="1"/>
    <col min="1290" max="1536" width="9.140625" style="566"/>
    <col min="1537" max="1537" width="4.28515625" style="566" customWidth="1"/>
    <col min="1538" max="1538" width="8.7109375" style="566" customWidth="1"/>
    <col min="1539" max="1539" width="5.5703125" style="566" customWidth="1"/>
    <col min="1540" max="1540" width="11.85546875" style="566" customWidth="1"/>
    <col min="1541" max="1541" width="12" style="566" customWidth="1"/>
    <col min="1542" max="1542" width="11.5703125" style="566" customWidth="1"/>
    <col min="1543" max="1543" width="14" style="566" customWidth="1"/>
    <col min="1544" max="1544" width="12.85546875" style="566" customWidth="1"/>
    <col min="1545" max="1545" width="10.5703125" style="566" customWidth="1"/>
    <col min="1546" max="1792" width="9.140625" style="566"/>
    <col min="1793" max="1793" width="4.28515625" style="566" customWidth="1"/>
    <col min="1794" max="1794" width="8.7109375" style="566" customWidth="1"/>
    <col min="1795" max="1795" width="5.5703125" style="566" customWidth="1"/>
    <col min="1796" max="1796" width="11.85546875" style="566" customWidth="1"/>
    <col min="1797" max="1797" width="12" style="566" customWidth="1"/>
    <col min="1798" max="1798" width="11.5703125" style="566" customWidth="1"/>
    <col min="1799" max="1799" width="14" style="566" customWidth="1"/>
    <col min="1800" max="1800" width="12.85546875" style="566" customWidth="1"/>
    <col min="1801" max="1801" width="10.5703125" style="566" customWidth="1"/>
    <col min="1802" max="2048" width="9.140625" style="566"/>
    <col min="2049" max="2049" width="4.28515625" style="566" customWidth="1"/>
    <col min="2050" max="2050" width="8.7109375" style="566" customWidth="1"/>
    <col min="2051" max="2051" width="5.5703125" style="566" customWidth="1"/>
    <col min="2052" max="2052" width="11.85546875" style="566" customWidth="1"/>
    <col min="2053" max="2053" width="12" style="566" customWidth="1"/>
    <col min="2054" max="2054" width="11.5703125" style="566" customWidth="1"/>
    <col min="2055" max="2055" width="14" style="566" customWidth="1"/>
    <col min="2056" max="2056" width="12.85546875" style="566" customWidth="1"/>
    <col min="2057" max="2057" width="10.5703125" style="566" customWidth="1"/>
    <col min="2058" max="2304" width="9.140625" style="566"/>
    <col min="2305" max="2305" width="4.28515625" style="566" customWidth="1"/>
    <col min="2306" max="2306" width="8.7109375" style="566" customWidth="1"/>
    <col min="2307" max="2307" width="5.5703125" style="566" customWidth="1"/>
    <col min="2308" max="2308" width="11.85546875" style="566" customWidth="1"/>
    <col min="2309" max="2309" width="12" style="566" customWidth="1"/>
    <col min="2310" max="2310" width="11.5703125" style="566" customWidth="1"/>
    <col min="2311" max="2311" width="14" style="566" customWidth="1"/>
    <col min="2312" max="2312" width="12.85546875" style="566" customWidth="1"/>
    <col min="2313" max="2313" width="10.5703125" style="566" customWidth="1"/>
    <col min="2314" max="2560" width="9.140625" style="566"/>
    <col min="2561" max="2561" width="4.28515625" style="566" customWidth="1"/>
    <col min="2562" max="2562" width="8.7109375" style="566" customWidth="1"/>
    <col min="2563" max="2563" width="5.5703125" style="566" customWidth="1"/>
    <col min="2564" max="2564" width="11.85546875" style="566" customWidth="1"/>
    <col min="2565" max="2565" width="12" style="566" customWidth="1"/>
    <col min="2566" max="2566" width="11.5703125" style="566" customWidth="1"/>
    <col min="2567" max="2567" width="14" style="566" customWidth="1"/>
    <col min="2568" max="2568" width="12.85546875" style="566" customWidth="1"/>
    <col min="2569" max="2569" width="10.5703125" style="566" customWidth="1"/>
    <col min="2570" max="2816" width="9.140625" style="566"/>
    <col min="2817" max="2817" width="4.28515625" style="566" customWidth="1"/>
    <col min="2818" max="2818" width="8.7109375" style="566" customWidth="1"/>
    <col min="2819" max="2819" width="5.5703125" style="566" customWidth="1"/>
    <col min="2820" max="2820" width="11.85546875" style="566" customWidth="1"/>
    <col min="2821" max="2821" width="12" style="566" customWidth="1"/>
    <col min="2822" max="2822" width="11.5703125" style="566" customWidth="1"/>
    <col min="2823" max="2823" width="14" style="566" customWidth="1"/>
    <col min="2824" max="2824" width="12.85546875" style="566" customWidth="1"/>
    <col min="2825" max="2825" width="10.5703125" style="566" customWidth="1"/>
    <col min="2826" max="3072" width="9.140625" style="566"/>
    <col min="3073" max="3073" width="4.28515625" style="566" customWidth="1"/>
    <col min="3074" max="3074" width="8.7109375" style="566" customWidth="1"/>
    <col min="3075" max="3075" width="5.5703125" style="566" customWidth="1"/>
    <col min="3076" max="3076" width="11.85546875" style="566" customWidth="1"/>
    <col min="3077" max="3077" width="12" style="566" customWidth="1"/>
    <col min="3078" max="3078" width="11.5703125" style="566" customWidth="1"/>
    <col min="3079" max="3079" width="14" style="566" customWidth="1"/>
    <col min="3080" max="3080" width="12.85546875" style="566" customWidth="1"/>
    <col min="3081" max="3081" width="10.5703125" style="566" customWidth="1"/>
    <col min="3082" max="3328" width="9.140625" style="566"/>
    <col min="3329" max="3329" width="4.28515625" style="566" customWidth="1"/>
    <col min="3330" max="3330" width="8.7109375" style="566" customWidth="1"/>
    <col min="3331" max="3331" width="5.5703125" style="566" customWidth="1"/>
    <col min="3332" max="3332" width="11.85546875" style="566" customWidth="1"/>
    <col min="3333" max="3333" width="12" style="566" customWidth="1"/>
    <col min="3334" max="3334" width="11.5703125" style="566" customWidth="1"/>
    <col min="3335" max="3335" width="14" style="566" customWidth="1"/>
    <col min="3336" max="3336" width="12.85546875" style="566" customWidth="1"/>
    <col min="3337" max="3337" width="10.5703125" style="566" customWidth="1"/>
    <col min="3338" max="3584" width="9.140625" style="566"/>
    <col min="3585" max="3585" width="4.28515625" style="566" customWidth="1"/>
    <col min="3586" max="3586" width="8.7109375" style="566" customWidth="1"/>
    <col min="3587" max="3587" width="5.5703125" style="566" customWidth="1"/>
    <col min="3588" max="3588" width="11.85546875" style="566" customWidth="1"/>
    <col min="3589" max="3589" width="12" style="566" customWidth="1"/>
    <col min="3590" max="3590" width="11.5703125" style="566" customWidth="1"/>
    <col min="3591" max="3591" width="14" style="566" customWidth="1"/>
    <col min="3592" max="3592" width="12.85546875" style="566" customWidth="1"/>
    <col min="3593" max="3593" width="10.5703125" style="566" customWidth="1"/>
    <col min="3594" max="3840" width="9.140625" style="566"/>
    <col min="3841" max="3841" width="4.28515625" style="566" customWidth="1"/>
    <col min="3842" max="3842" width="8.7109375" style="566" customWidth="1"/>
    <col min="3843" max="3843" width="5.5703125" style="566" customWidth="1"/>
    <col min="3844" max="3844" width="11.85546875" style="566" customWidth="1"/>
    <col min="3845" max="3845" width="12" style="566" customWidth="1"/>
    <col min="3846" max="3846" width="11.5703125" style="566" customWidth="1"/>
    <col min="3847" max="3847" width="14" style="566" customWidth="1"/>
    <col min="3848" max="3848" width="12.85546875" style="566" customWidth="1"/>
    <col min="3849" max="3849" width="10.5703125" style="566" customWidth="1"/>
    <col min="3850" max="4096" width="9.140625" style="566"/>
    <col min="4097" max="4097" width="4.28515625" style="566" customWidth="1"/>
    <col min="4098" max="4098" width="8.7109375" style="566" customWidth="1"/>
    <col min="4099" max="4099" width="5.5703125" style="566" customWidth="1"/>
    <col min="4100" max="4100" width="11.85546875" style="566" customWidth="1"/>
    <col min="4101" max="4101" width="12" style="566" customWidth="1"/>
    <col min="4102" max="4102" width="11.5703125" style="566" customWidth="1"/>
    <col min="4103" max="4103" width="14" style="566" customWidth="1"/>
    <col min="4104" max="4104" width="12.85546875" style="566" customWidth="1"/>
    <col min="4105" max="4105" width="10.5703125" style="566" customWidth="1"/>
    <col min="4106" max="4352" width="9.140625" style="566"/>
    <col min="4353" max="4353" width="4.28515625" style="566" customWidth="1"/>
    <col min="4354" max="4354" width="8.7109375" style="566" customWidth="1"/>
    <col min="4355" max="4355" width="5.5703125" style="566" customWidth="1"/>
    <col min="4356" max="4356" width="11.85546875" style="566" customWidth="1"/>
    <col min="4357" max="4357" width="12" style="566" customWidth="1"/>
    <col min="4358" max="4358" width="11.5703125" style="566" customWidth="1"/>
    <col min="4359" max="4359" width="14" style="566" customWidth="1"/>
    <col min="4360" max="4360" width="12.85546875" style="566" customWidth="1"/>
    <col min="4361" max="4361" width="10.5703125" style="566" customWidth="1"/>
    <col min="4362" max="4608" width="9.140625" style="566"/>
    <col min="4609" max="4609" width="4.28515625" style="566" customWidth="1"/>
    <col min="4610" max="4610" width="8.7109375" style="566" customWidth="1"/>
    <col min="4611" max="4611" width="5.5703125" style="566" customWidth="1"/>
    <col min="4612" max="4612" width="11.85546875" style="566" customWidth="1"/>
    <col min="4613" max="4613" width="12" style="566" customWidth="1"/>
    <col min="4614" max="4614" width="11.5703125" style="566" customWidth="1"/>
    <col min="4615" max="4615" width="14" style="566" customWidth="1"/>
    <col min="4616" max="4616" width="12.85546875" style="566" customWidth="1"/>
    <col min="4617" max="4617" width="10.5703125" style="566" customWidth="1"/>
    <col min="4618" max="4864" width="9.140625" style="566"/>
    <col min="4865" max="4865" width="4.28515625" style="566" customWidth="1"/>
    <col min="4866" max="4866" width="8.7109375" style="566" customWidth="1"/>
    <col min="4867" max="4867" width="5.5703125" style="566" customWidth="1"/>
    <col min="4868" max="4868" width="11.85546875" style="566" customWidth="1"/>
    <col min="4869" max="4869" width="12" style="566" customWidth="1"/>
    <col min="4870" max="4870" width="11.5703125" style="566" customWidth="1"/>
    <col min="4871" max="4871" width="14" style="566" customWidth="1"/>
    <col min="4872" max="4872" width="12.85546875" style="566" customWidth="1"/>
    <col min="4873" max="4873" width="10.5703125" style="566" customWidth="1"/>
    <col min="4874" max="5120" width="9.140625" style="566"/>
    <col min="5121" max="5121" width="4.28515625" style="566" customWidth="1"/>
    <col min="5122" max="5122" width="8.7109375" style="566" customWidth="1"/>
    <col min="5123" max="5123" width="5.5703125" style="566" customWidth="1"/>
    <col min="5124" max="5124" width="11.85546875" style="566" customWidth="1"/>
    <col min="5125" max="5125" width="12" style="566" customWidth="1"/>
    <col min="5126" max="5126" width="11.5703125" style="566" customWidth="1"/>
    <col min="5127" max="5127" width="14" style="566" customWidth="1"/>
    <col min="5128" max="5128" width="12.85546875" style="566" customWidth="1"/>
    <col min="5129" max="5129" width="10.5703125" style="566" customWidth="1"/>
    <col min="5130" max="5376" width="9.140625" style="566"/>
    <col min="5377" max="5377" width="4.28515625" style="566" customWidth="1"/>
    <col min="5378" max="5378" width="8.7109375" style="566" customWidth="1"/>
    <col min="5379" max="5379" width="5.5703125" style="566" customWidth="1"/>
    <col min="5380" max="5380" width="11.85546875" style="566" customWidth="1"/>
    <col min="5381" max="5381" width="12" style="566" customWidth="1"/>
    <col min="5382" max="5382" width="11.5703125" style="566" customWidth="1"/>
    <col min="5383" max="5383" width="14" style="566" customWidth="1"/>
    <col min="5384" max="5384" width="12.85546875" style="566" customWidth="1"/>
    <col min="5385" max="5385" width="10.5703125" style="566" customWidth="1"/>
    <col min="5386" max="5632" width="9.140625" style="566"/>
    <col min="5633" max="5633" width="4.28515625" style="566" customWidth="1"/>
    <col min="5634" max="5634" width="8.7109375" style="566" customWidth="1"/>
    <col min="5635" max="5635" width="5.5703125" style="566" customWidth="1"/>
    <col min="5636" max="5636" width="11.85546875" style="566" customWidth="1"/>
    <col min="5637" max="5637" width="12" style="566" customWidth="1"/>
    <col min="5638" max="5638" width="11.5703125" style="566" customWidth="1"/>
    <col min="5639" max="5639" width="14" style="566" customWidth="1"/>
    <col min="5640" max="5640" width="12.85546875" style="566" customWidth="1"/>
    <col min="5641" max="5641" width="10.5703125" style="566" customWidth="1"/>
    <col min="5642" max="5888" width="9.140625" style="566"/>
    <col min="5889" max="5889" width="4.28515625" style="566" customWidth="1"/>
    <col min="5890" max="5890" width="8.7109375" style="566" customWidth="1"/>
    <col min="5891" max="5891" width="5.5703125" style="566" customWidth="1"/>
    <col min="5892" max="5892" width="11.85546875" style="566" customWidth="1"/>
    <col min="5893" max="5893" width="12" style="566" customWidth="1"/>
    <col min="5894" max="5894" width="11.5703125" style="566" customWidth="1"/>
    <col min="5895" max="5895" width="14" style="566" customWidth="1"/>
    <col min="5896" max="5896" width="12.85546875" style="566" customWidth="1"/>
    <col min="5897" max="5897" width="10.5703125" style="566" customWidth="1"/>
    <col min="5898" max="6144" width="9.140625" style="566"/>
    <col min="6145" max="6145" width="4.28515625" style="566" customWidth="1"/>
    <col min="6146" max="6146" width="8.7109375" style="566" customWidth="1"/>
    <col min="6147" max="6147" width="5.5703125" style="566" customWidth="1"/>
    <col min="6148" max="6148" width="11.85546875" style="566" customWidth="1"/>
    <col min="6149" max="6149" width="12" style="566" customWidth="1"/>
    <col min="6150" max="6150" width="11.5703125" style="566" customWidth="1"/>
    <col min="6151" max="6151" width="14" style="566" customWidth="1"/>
    <col min="6152" max="6152" width="12.85546875" style="566" customWidth="1"/>
    <col min="6153" max="6153" width="10.5703125" style="566" customWidth="1"/>
    <col min="6154" max="6400" width="9.140625" style="566"/>
    <col min="6401" max="6401" width="4.28515625" style="566" customWidth="1"/>
    <col min="6402" max="6402" width="8.7109375" style="566" customWidth="1"/>
    <col min="6403" max="6403" width="5.5703125" style="566" customWidth="1"/>
    <col min="6404" max="6404" width="11.85546875" style="566" customWidth="1"/>
    <col min="6405" max="6405" width="12" style="566" customWidth="1"/>
    <col min="6406" max="6406" width="11.5703125" style="566" customWidth="1"/>
    <col min="6407" max="6407" width="14" style="566" customWidth="1"/>
    <col min="6408" max="6408" width="12.85546875" style="566" customWidth="1"/>
    <col min="6409" max="6409" width="10.5703125" style="566" customWidth="1"/>
    <col min="6410" max="6656" width="9.140625" style="566"/>
    <col min="6657" max="6657" width="4.28515625" style="566" customWidth="1"/>
    <col min="6658" max="6658" width="8.7109375" style="566" customWidth="1"/>
    <col min="6659" max="6659" width="5.5703125" style="566" customWidth="1"/>
    <col min="6660" max="6660" width="11.85546875" style="566" customWidth="1"/>
    <col min="6661" max="6661" width="12" style="566" customWidth="1"/>
    <col min="6662" max="6662" width="11.5703125" style="566" customWidth="1"/>
    <col min="6663" max="6663" width="14" style="566" customWidth="1"/>
    <col min="6664" max="6664" width="12.85546875" style="566" customWidth="1"/>
    <col min="6665" max="6665" width="10.5703125" style="566" customWidth="1"/>
    <col min="6666" max="6912" width="9.140625" style="566"/>
    <col min="6913" max="6913" width="4.28515625" style="566" customWidth="1"/>
    <col min="6914" max="6914" width="8.7109375" style="566" customWidth="1"/>
    <col min="6915" max="6915" width="5.5703125" style="566" customWidth="1"/>
    <col min="6916" max="6916" width="11.85546875" style="566" customWidth="1"/>
    <col min="6917" max="6917" width="12" style="566" customWidth="1"/>
    <col min="6918" max="6918" width="11.5703125" style="566" customWidth="1"/>
    <col min="6919" max="6919" width="14" style="566" customWidth="1"/>
    <col min="6920" max="6920" width="12.85546875" style="566" customWidth="1"/>
    <col min="6921" max="6921" width="10.5703125" style="566" customWidth="1"/>
    <col min="6922" max="7168" width="9.140625" style="566"/>
    <col min="7169" max="7169" width="4.28515625" style="566" customWidth="1"/>
    <col min="7170" max="7170" width="8.7109375" style="566" customWidth="1"/>
    <col min="7171" max="7171" width="5.5703125" style="566" customWidth="1"/>
    <col min="7172" max="7172" width="11.85546875" style="566" customWidth="1"/>
    <col min="7173" max="7173" width="12" style="566" customWidth="1"/>
    <col min="7174" max="7174" width="11.5703125" style="566" customWidth="1"/>
    <col min="7175" max="7175" width="14" style="566" customWidth="1"/>
    <col min="7176" max="7176" width="12.85546875" style="566" customWidth="1"/>
    <col min="7177" max="7177" width="10.5703125" style="566" customWidth="1"/>
    <col min="7178" max="7424" width="9.140625" style="566"/>
    <col min="7425" max="7425" width="4.28515625" style="566" customWidth="1"/>
    <col min="7426" max="7426" width="8.7109375" style="566" customWidth="1"/>
    <col min="7427" max="7427" width="5.5703125" style="566" customWidth="1"/>
    <col min="7428" max="7428" width="11.85546875" style="566" customWidth="1"/>
    <col min="7429" max="7429" width="12" style="566" customWidth="1"/>
    <col min="7430" max="7430" width="11.5703125" style="566" customWidth="1"/>
    <col min="7431" max="7431" width="14" style="566" customWidth="1"/>
    <col min="7432" max="7432" width="12.85546875" style="566" customWidth="1"/>
    <col min="7433" max="7433" width="10.5703125" style="566" customWidth="1"/>
    <col min="7434" max="7680" width="9.140625" style="566"/>
    <col min="7681" max="7681" width="4.28515625" style="566" customWidth="1"/>
    <col min="7682" max="7682" width="8.7109375" style="566" customWidth="1"/>
    <col min="7683" max="7683" width="5.5703125" style="566" customWidth="1"/>
    <col min="7684" max="7684" width="11.85546875" style="566" customWidth="1"/>
    <col min="7685" max="7685" width="12" style="566" customWidth="1"/>
    <col min="7686" max="7686" width="11.5703125" style="566" customWidth="1"/>
    <col min="7687" max="7687" width="14" style="566" customWidth="1"/>
    <col min="7688" max="7688" width="12.85546875" style="566" customWidth="1"/>
    <col min="7689" max="7689" width="10.5703125" style="566" customWidth="1"/>
    <col min="7690" max="7936" width="9.140625" style="566"/>
    <col min="7937" max="7937" width="4.28515625" style="566" customWidth="1"/>
    <col min="7938" max="7938" width="8.7109375" style="566" customWidth="1"/>
    <col min="7939" max="7939" width="5.5703125" style="566" customWidth="1"/>
    <col min="7940" max="7940" width="11.85546875" style="566" customWidth="1"/>
    <col min="7941" max="7941" width="12" style="566" customWidth="1"/>
    <col min="7942" max="7942" width="11.5703125" style="566" customWidth="1"/>
    <col min="7943" max="7943" width="14" style="566" customWidth="1"/>
    <col min="7944" max="7944" width="12.85546875" style="566" customWidth="1"/>
    <col min="7945" max="7945" width="10.5703125" style="566" customWidth="1"/>
    <col min="7946" max="8192" width="9.140625" style="566"/>
    <col min="8193" max="8193" width="4.28515625" style="566" customWidth="1"/>
    <col min="8194" max="8194" width="8.7109375" style="566" customWidth="1"/>
    <col min="8195" max="8195" width="5.5703125" style="566" customWidth="1"/>
    <col min="8196" max="8196" width="11.85546875" style="566" customWidth="1"/>
    <col min="8197" max="8197" width="12" style="566" customWidth="1"/>
    <col min="8198" max="8198" width="11.5703125" style="566" customWidth="1"/>
    <col min="8199" max="8199" width="14" style="566" customWidth="1"/>
    <col min="8200" max="8200" width="12.85546875" style="566" customWidth="1"/>
    <col min="8201" max="8201" width="10.5703125" style="566" customWidth="1"/>
    <col min="8202" max="8448" width="9.140625" style="566"/>
    <col min="8449" max="8449" width="4.28515625" style="566" customWidth="1"/>
    <col min="8450" max="8450" width="8.7109375" style="566" customWidth="1"/>
    <col min="8451" max="8451" width="5.5703125" style="566" customWidth="1"/>
    <col min="8452" max="8452" width="11.85546875" style="566" customWidth="1"/>
    <col min="8453" max="8453" width="12" style="566" customWidth="1"/>
    <col min="8454" max="8454" width="11.5703125" style="566" customWidth="1"/>
    <col min="8455" max="8455" width="14" style="566" customWidth="1"/>
    <col min="8456" max="8456" width="12.85546875" style="566" customWidth="1"/>
    <col min="8457" max="8457" width="10.5703125" style="566" customWidth="1"/>
    <col min="8458" max="8704" width="9.140625" style="566"/>
    <col min="8705" max="8705" width="4.28515625" style="566" customWidth="1"/>
    <col min="8706" max="8706" width="8.7109375" style="566" customWidth="1"/>
    <col min="8707" max="8707" width="5.5703125" style="566" customWidth="1"/>
    <col min="8708" max="8708" width="11.85546875" style="566" customWidth="1"/>
    <col min="8709" max="8709" width="12" style="566" customWidth="1"/>
    <col min="8710" max="8710" width="11.5703125" style="566" customWidth="1"/>
    <col min="8711" max="8711" width="14" style="566" customWidth="1"/>
    <col min="8712" max="8712" width="12.85546875" style="566" customWidth="1"/>
    <col min="8713" max="8713" width="10.5703125" style="566" customWidth="1"/>
    <col min="8714" max="8960" width="9.140625" style="566"/>
    <col min="8961" max="8961" width="4.28515625" style="566" customWidth="1"/>
    <col min="8962" max="8962" width="8.7109375" style="566" customWidth="1"/>
    <col min="8963" max="8963" width="5.5703125" style="566" customWidth="1"/>
    <col min="8964" max="8964" width="11.85546875" style="566" customWidth="1"/>
    <col min="8965" max="8965" width="12" style="566" customWidth="1"/>
    <col min="8966" max="8966" width="11.5703125" style="566" customWidth="1"/>
    <col min="8967" max="8967" width="14" style="566" customWidth="1"/>
    <col min="8968" max="8968" width="12.85546875" style="566" customWidth="1"/>
    <col min="8969" max="8969" width="10.5703125" style="566" customWidth="1"/>
    <col min="8970" max="9216" width="9.140625" style="566"/>
    <col min="9217" max="9217" width="4.28515625" style="566" customWidth="1"/>
    <col min="9218" max="9218" width="8.7109375" style="566" customWidth="1"/>
    <col min="9219" max="9219" width="5.5703125" style="566" customWidth="1"/>
    <col min="9220" max="9220" width="11.85546875" style="566" customWidth="1"/>
    <col min="9221" max="9221" width="12" style="566" customWidth="1"/>
    <col min="9222" max="9222" width="11.5703125" style="566" customWidth="1"/>
    <col min="9223" max="9223" width="14" style="566" customWidth="1"/>
    <col min="9224" max="9224" width="12.85546875" style="566" customWidth="1"/>
    <col min="9225" max="9225" width="10.5703125" style="566" customWidth="1"/>
    <col min="9226" max="9472" width="9.140625" style="566"/>
    <col min="9473" max="9473" width="4.28515625" style="566" customWidth="1"/>
    <col min="9474" max="9474" width="8.7109375" style="566" customWidth="1"/>
    <col min="9475" max="9475" width="5.5703125" style="566" customWidth="1"/>
    <col min="9476" max="9476" width="11.85546875" style="566" customWidth="1"/>
    <col min="9477" max="9477" width="12" style="566" customWidth="1"/>
    <col min="9478" max="9478" width="11.5703125" style="566" customWidth="1"/>
    <col min="9479" max="9479" width="14" style="566" customWidth="1"/>
    <col min="9480" max="9480" width="12.85546875" style="566" customWidth="1"/>
    <col min="9481" max="9481" width="10.5703125" style="566" customWidth="1"/>
    <col min="9482" max="9728" width="9.140625" style="566"/>
    <col min="9729" max="9729" width="4.28515625" style="566" customWidth="1"/>
    <col min="9730" max="9730" width="8.7109375" style="566" customWidth="1"/>
    <col min="9731" max="9731" width="5.5703125" style="566" customWidth="1"/>
    <col min="9732" max="9732" width="11.85546875" style="566" customWidth="1"/>
    <col min="9733" max="9733" width="12" style="566" customWidth="1"/>
    <col min="9734" max="9734" width="11.5703125" style="566" customWidth="1"/>
    <col min="9735" max="9735" width="14" style="566" customWidth="1"/>
    <col min="9736" max="9736" width="12.85546875" style="566" customWidth="1"/>
    <col min="9737" max="9737" width="10.5703125" style="566" customWidth="1"/>
    <col min="9738" max="9984" width="9.140625" style="566"/>
    <col min="9985" max="9985" width="4.28515625" style="566" customWidth="1"/>
    <col min="9986" max="9986" width="8.7109375" style="566" customWidth="1"/>
    <col min="9987" max="9987" width="5.5703125" style="566" customWidth="1"/>
    <col min="9988" max="9988" width="11.85546875" style="566" customWidth="1"/>
    <col min="9989" max="9989" width="12" style="566" customWidth="1"/>
    <col min="9990" max="9990" width="11.5703125" style="566" customWidth="1"/>
    <col min="9991" max="9991" width="14" style="566" customWidth="1"/>
    <col min="9992" max="9992" width="12.85546875" style="566" customWidth="1"/>
    <col min="9993" max="9993" width="10.5703125" style="566" customWidth="1"/>
    <col min="9994" max="10240" width="9.140625" style="566"/>
    <col min="10241" max="10241" width="4.28515625" style="566" customWidth="1"/>
    <col min="10242" max="10242" width="8.7109375" style="566" customWidth="1"/>
    <col min="10243" max="10243" width="5.5703125" style="566" customWidth="1"/>
    <col min="10244" max="10244" width="11.85546875" style="566" customWidth="1"/>
    <col min="10245" max="10245" width="12" style="566" customWidth="1"/>
    <col min="10246" max="10246" width="11.5703125" style="566" customWidth="1"/>
    <col min="10247" max="10247" width="14" style="566" customWidth="1"/>
    <col min="10248" max="10248" width="12.85546875" style="566" customWidth="1"/>
    <col min="10249" max="10249" width="10.5703125" style="566" customWidth="1"/>
    <col min="10250" max="10496" width="9.140625" style="566"/>
    <col min="10497" max="10497" width="4.28515625" style="566" customWidth="1"/>
    <col min="10498" max="10498" width="8.7109375" style="566" customWidth="1"/>
    <col min="10499" max="10499" width="5.5703125" style="566" customWidth="1"/>
    <col min="10500" max="10500" width="11.85546875" style="566" customWidth="1"/>
    <col min="10501" max="10501" width="12" style="566" customWidth="1"/>
    <col min="10502" max="10502" width="11.5703125" style="566" customWidth="1"/>
    <col min="10503" max="10503" width="14" style="566" customWidth="1"/>
    <col min="10504" max="10504" width="12.85546875" style="566" customWidth="1"/>
    <col min="10505" max="10505" width="10.5703125" style="566" customWidth="1"/>
    <col min="10506" max="10752" width="9.140625" style="566"/>
    <col min="10753" max="10753" width="4.28515625" style="566" customWidth="1"/>
    <col min="10754" max="10754" width="8.7109375" style="566" customWidth="1"/>
    <col min="10755" max="10755" width="5.5703125" style="566" customWidth="1"/>
    <col min="10756" max="10756" width="11.85546875" style="566" customWidth="1"/>
    <col min="10757" max="10757" width="12" style="566" customWidth="1"/>
    <col min="10758" max="10758" width="11.5703125" style="566" customWidth="1"/>
    <col min="10759" max="10759" width="14" style="566" customWidth="1"/>
    <col min="10760" max="10760" width="12.85546875" style="566" customWidth="1"/>
    <col min="10761" max="10761" width="10.5703125" style="566" customWidth="1"/>
    <col min="10762" max="11008" width="9.140625" style="566"/>
    <col min="11009" max="11009" width="4.28515625" style="566" customWidth="1"/>
    <col min="11010" max="11010" width="8.7109375" style="566" customWidth="1"/>
    <col min="11011" max="11011" width="5.5703125" style="566" customWidth="1"/>
    <col min="11012" max="11012" width="11.85546875" style="566" customWidth="1"/>
    <col min="11013" max="11013" width="12" style="566" customWidth="1"/>
    <col min="11014" max="11014" width="11.5703125" style="566" customWidth="1"/>
    <col min="11015" max="11015" width="14" style="566" customWidth="1"/>
    <col min="11016" max="11016" width="12.85546875" style="566" customWidth="1"/>
    <col min="11017" max="11017" width="10.5703125" style="566" customWidth="1"/>
    <col min="11018" max="11264" width="9.140625" style="566"/>
    <col min="11265" max="11265" width="4.28515625" style="566" customWidth="1"/>
    <col min="11266" max="11266" width="8.7109375" style="566" customWidth="1"/>
    <col min="11267" max="11267" width="5.5703125" style="566" customWidth="1"/>
    <col min="11268" max="11268" width="11.85546875" style="566" customWidth="1"/>
    <col min="11269" max="11269" width="12" style="566" customWidth="1"/>
    <col min="11270" max="11270" width="11.5703125" style="566" customWidth="1"/>
    <col min="11271" max="11271" width="14" style="566" customWidth="1"/>
    <col min="11272" max="11272" width="12.85546875" style="566" customWidth="1"/>
    <col min="11273" max="11273" width="10.5703125" style="566" customWidth="1"/>
    <col min="11274" max="11520" width="9.140625" style="566"/>
    <col min="11521" max="11521" width="4.28515625" style="566" customWidth="1"/>
    <col min="11522" max="11522" width="8.7109375" style="566" customWidth="1"/>
    <col min="11523" max="11523" width="5.5703125" style="566" customWidth="1"/>
    <col min="11524" max="11524" width="11.85546875" style="566" customWidth="1"/>
    <col min="11525" max="11525" width="12" style="566" customWidth="1"/>
    <col min="11526" max="11526" width="11.5703125" style="566" customWidth="1"/>
    <col min="11527" max="11527" width="14" style="566" customWidth="1"/>
    <col min="11528" max="11528" width="12.85546875" style="566" customWidth="1"/>
    <col min="11529" max="11529" width="10.5703125" style="566" customWidth="1"/>
    <col min="11530" max="11776" width="9.140625" style="566"/>
    <col min="11777" max="11777" width="4.28515625" style="566" customWidth="1"/>
    <col min="11778" max="11778" width="8.7109375" style="566" customWidth="1"/>
    <col min="11779" max="11779" width="5.5703125" style="566" customWidth="1"/>
    <col min="11780" max="11780" width="11.85546875" style="566" customWidth="1"/>
    <col min="11781" max="11781" width="12" style="566" customWidth="1"/>
    <col min="11782" max="11782" width="11.5703125" style="566" customWidth="1"/>
    <col min="11783" max="11783" width="14" style="566" customWidth="1"/>
    <col min="11784" max="11784" width="12.85546875" style="566" customWidth="1"/>
    <col min="11785" max="11785" width="10.5703125" style="566" customWidth="1"/>
    <col min="11786" max="12032" width="9.140625" style="566"/>
    <col min="12033" max="12033" width="4.28515625" style="566" customWidth="1"/>
    <col min="12034" max="12034" width="8.7109375" style="566" customWidth="1"/>
    <col min="12035" max="12035" width="5.5703125" style="566" customWidth="1"/>
    <col min="12036" max="12036" width="11.85546875" style="566" customWidth="1"/>
    <col min="12037" max="12037" width="12" style="566" customWidth="1"/>
    <col min="12038" max="12038" width="11.5703125" style="566" customWidth="1"/>
    <col min="12039" max="12039" width="14" style="566" customWidth="1"/>
    <col min="12040" max="12040" width="12.85546875" style="566" customWidth="1"/>
    <col min="12041" max="12041" width="10.5703125" style="566" customWidth="1"/>
    <col min="12042" max="12288" width="9.140625" style="566"/>
    <col min="12289" max="12289" width="4.28515625" style="566" customWidth="1"/>
    <col min="12290" max="12290" width="8.7109375" style="566" customWidth="1"/>
    <col min="12291" max="12291" width="5.5703125" style="566" customWidth="1"/>
    <col min="12292" max="12292" width="11.85546875" style="566" customWidth="1"/>
    <col min="12293" max="12293" width="12" style="566" customWidth="1"/>
    <col min="12294" max="12294" width="11.5703125" style="566" customWidth="1"/>
    <col min="12295" max="12295" width="14" style="566" customWidth="1"/>
    <col min="12296" max="12296" width="12.85546875" style="566" customWidth="1"/>
    <col min="12297" max="12297" width="10.5703125" style="566" customWidth="1"/>
    <col min="12298" max="12544" width="9.140625" style="566"/>
    <col min="12545" max="12545" width="4.28515625" style="566" customWidth="1"/>
    <col min="12546" max="12546" width="8.7109375" style="566" customWidth="1"/>
    <col min="12547" max="12547" width="5.5703125" style="566" customWidth="1"/>
    <col min="12548" max="12548" width="11.85546875" style="566" customWidth="1"/>
    <col min="12549" max="12549" width="12" style="566" customWidth="1"/>
    <col min="12550" max="12550" width="11.5703125" style="566" customWidth="1"/>
    <col min="12551" max="12551" width="14" style="566" customWidth="1"/>
    <col min="12552" max="12552" width="12.85546875" style="566" customWidth="1"/>
    <col min="12553" max="12553" width="10.5703125" style="566" customWidth="1"/>
    <col min="12554" max="12800" width="9.140625" style="566"/>
    <col min="12801" max="12801" width="4.28515625" style="566" customWidth="1"/>
    <col min="12802" max="12802" width="8.7109375" style="566" customWidth="1"/>
    <col min="12803" max="12803" width="5.5703125" style="566" customWidth="1"/>
    <col min="12804" max="12804" width="11.85546875" style="566" customWidth="1"/>
    <col min="12805" max="12805" width="12" style="566" customWidth="1"/>
    <col min="12806" max="12806" width="11.5703125" style="566" customWidth="1"/>
    <col min="12807" max="12807" width="14" style="566" customWidth="1"/>
    <col min="12808" max="12808" width="12.85546875" style="566" customWidth="1"/>
    <col min="12809" max="12809" width="10.5703125" style="566" customWidth="1"/>
    <col min="12810" max="13056" width="9.140625" style="566"/>
    <col min="13057" max="13057" width="4.28515625" style="566" customWidth="1"/>
    <col min="13058" max="13058" width="8.7109375" style="566" customWidth="1"/>
    <col min="13059" max="13059" width="5.5703125" style="566" customWidth="1"/>
    <col min="13060" max="13060" width="11.85546875" style="566" customWidth="1"/>
    <col min="13061" max="13061" width="12" style="566" customWidth="1"/>
    <col min="13062" max="13062" width="11.5703125" style="566" customWidth="1"/>
    <col min="13063" max="13063" width="14" style="566" customWidth="1"/>
    <col min="13064" max="13064" width="12.85546875" style="566" customWidth="1"/>
    <col min="13065" max="13065" width="10.5703125" style="566" customWidth="1"/>
    <col min="13066" max="13312" width="9.140625" style="566"/>
    <col min="13313" max="13313" width="4.28515625" style="566" customWidth="1"/>
    <col min="13314" max="13314" width="8.7109375" style="566" customWidth="1"/>
    <col min="13315" max="13315" width="5.5703125" style="566" customWidth="1"/>
    <col min="13316" max="13316" width="11.85546875" style="566" customWidth="1"/>
    <col min="13317" max="13317" width="12" style="566" customWidth="1"/>
    <col min="13318" max="13318" width="11.5703125" style="566" customWidth="1"/>
    <col min="13319" max="13319" width="14" style="566" customWidth="1"/>
    <col min="13320" max="13320" width="12.85546875" style="566" customWidth="1"/>
    <col min="13321" max="13321" width="10.5703125" style="566" customWidth="1"/>
    <col min="13322" max="13568" width="9.140625" style="566"/>
    <col min="13569" max="13569" width="4.28515625" style="566" customWidth="1"/>
    <col min="13570" max="13570" width="8.7109375" style="566" customWidth="1"/>
    <col min="13571" max="13571" width="5.5703125" style="566" customWidth="1"/>
    <col min="13572" max="13572" width="11.85546875" style="566" customWidth="1"/>
    <col min="13573" max="13573" width="12" style="566" customWidth="1"/>
    <col min="13574" max="13574" width="11.5703125" style="566" customWidth="1"/>
    <col min="13575" max="13575" width="14" style="566" customWidth="1"/>
    <col min="13576" max="13576" width="12.85546875" style="566" customWidth="1"/>
    <col min="13577" max="13577" width="10.5703125" style="566" customWidth="1"/>
    <col min="13578" max="13824" width="9.140625" style="566"/>
    <col min="13825" max="13825" width="4.28515625" style="566" customWidth="1"/>
    <col min="13826" max="13826" width="8.7109375" style="566" customWidth="1"/>
    <col min="13827" max="13827" width="5.5703125" style="566" customWidth="1"/>
    <col min="13828" max="13828" width="11.85546875" style="566" customWidth="1"/>
    <col min="13829" max="13829" width="12" style="566" customWidth="1"/>
    <col min="13830" max="13830" width="11.5703125" style="566" customWidth="1"/>
    <col min="13831" max="13831" width="14" style="566" customWidth="1"/>
    <col min="13832" max="13832" width="12.85546875" style="566" customWidth="1"/>
    <col min="13833" max="13833" width="10.5703125" style="566" customWidth="1"/>
    <col min="13834" max="14080" width="9.140625" style="566"/>
    <col min="14081" max="14081" width="4.28515625" style="566" customWidth="1"/>
    <col min="14082" max="14082" width="8.7109375" style="566" customWidth="1"/>
    <col min="14083" max="14083" width="5.5703125" style="566" customWidth="1"/>
    <col min="14084" max="14084" width="11.85546875" style="566" customWidth="1"/>
    <col min="14085" max="14085" width="12" style="566" customWidth="1"/>
    <col min="14086" max="14086" width="11.5703125" style="566" customWidth="1"/>
    <col min="14087" max="14087" width="14" style="566" customWidth="1"/>
    <col min="14088" max="14088" width="12.85546875" style="566" customWidth="1"/>
    <col min="14089" max="14089" width="10.5703125" style="566" customWidth="1"/>
    <col min="14090" max="14336" width="9.140625" style="566"/>
    <col min="14337" max="14337" width="4.28515625" style="566" customWidth="1"/>
    <col min="14338" max="14338" width="8.7109375" style="566" customWidth="1"/>
    <col min="14339" max="14339" width="5.5703125" style="566" customWidth="1"/>
    <col min="14340" max="14340" width="11.85546875" style="566" customWidth="1"/>
    <col min="14341" max="14341" width="12" style="566" customWidth="1"/>
    <col min="14342" max="14342" width="11.5703125" style="566" customWidth="1"/>
    <col min="14343" max="14343" width="14" style="566" customWidth="1"/>
    <col min="14344" max="14344" width="12.85546875" style="566" customWidth="1"/>
    <col min="14345" max="14345" width="10.5703125" style="566" customWidth="1"/>
    <col min="14346" max="14592" width="9.140625" style="566"/>
    <col min="14593" max="14593" width="4.28515625" style="566" customWidth="1"/>
    <col min="14594" max="14594" width="8.7109375" style="566" customWidth="1"/>
    <col min="14595" max="14595" width="5.5703125" style="566" customWidth="1"/>
    <col min="14596" max="14596" width="11.85546875" style="566" customWidth="1"/>
    <col min="14597" max="14597" width="12" style="566" customWidth="1"/>
    <col min="14598" max="14598" width="11.5703125" style="566" customWidth="1"/>
    <col min="14599" max="14599" width="14" style="566" customWidth="1"/>
    <col min="14600" max="14600" width="12.85546875" style="566" customWidth="1"/>
    <col min="14601" max="14601" width="10.5703125" style="566" customWidth="1"/>
    <col min="14602" max="14848" width="9.140625" style="566"/>
    <col min="14849" max="14849" width="4.28515625" style="566" customWidth="1"/>
    <col min="14850" max="14850" width="8.7109375" style="566" customWidth="1"/>
    <col min="14851" max="14851" width="5.5703125" style="566" customWidth="1"/>
    <col min="14852" max="14852" width="11.85546875" style="566" customWidth="1"/>
    <col min="14853" max="14853" width="12" style="566" customWidth="1"/>
    <col min="14854" max="14854" width="11.5703125" style="566" customWidth="1"/>
    <col min="14855" max="14855" width="14" style="566" customWidth="1"/>
    <col min="14856" max="14856" width="12.85546875" style="566" customWidth="1"/>
    <col min="14857" max="14857" width="10.5703125" style="566" customWidth="1"/>
    <col min="14858" max="15104" width="9.140625" style="566"/>
    <col min="15105" max="15105" width="4.28515625" style="566" customWidth="1"/>
    <col min="15106" max="15106" width="8.7109375" style="566" customWidth="1"/>
    <col min="15107" max="15107" width="5.5703125" style="566" customWidth="1"/>
    <col min="15108" max="15108" width="11.85546875" style="566" customWidth="1"/>
    <col min="15109" max="15109" width="12" style="566" customWidth="1"/>
    <col min="15110" max="15110" width="11.5703125" style="566" customWidth="1"/>
    <col min="15111" max="15111" width="14" style="566" customWidth="1"/>
    <col min="15112" max="15112" width="12.85546875" style="566" customWidth="1"/>
    <col min="15113" max="15113" width="10.5703125" style="566" customWidth="1"/>
    <col min="15114" max="15360" width="9.140625" style="566"/>
    <col min="15361" max="15361" width="4.28515625" style="566" customWidth="1"/>
    <col min="15362" max="15362" width="8.7109375" style="566" customWidth="1"/>
    <col min="15363" max="15363" width="5.5703125" style="566" customWidth="1"/>
    <col min="15364" max="15364" width="11.85546875" style="566" customWidth="1"/>
    <col min="15365" max="15365" width="12" style="566" customWidth="1"/>
    <col min="15366" max="15366" width="11.5703125" style="566" customWidth="1"/>
    <col min="15367" max="15367" width="14" style="566" customWidth="1"/>
    <col min="15368" max="15368" width="12.85546875" style="566" customWidth="1"/>
    <col min="15369" max="15369" width="10.5703125" style="566" customWidth="1"/>
    <col min="15370" max="15616" width="9.140625" style="566"/>
    <col min="15617" max="15617" width="4.28515625" style="566" customWidth="1"/>
    <col min="15618" max="15618" width="8.7109375" style="566" customWidth="1"/>
    <col min="15619" max="15619" width="5.5703125" style="566" customWidth="1"/>
    <col min="15620" max="15620" width="11.85546875" style="566" customWidth="1"/>
    <col min="15621" max="15621" width="12" style="566" customWidth="1"/>
    <col min="15622" max="15622" width="11.5703125" style="566" customWidth="1"/>
    <col min="15623" max="15623" width="14" style="566" customWidth="1"/>
    <col min="15624" max="15624" width="12.85546875" style="566" customWidth="1"/>
    <col min="15625" max="15625" width="10.5703125" style="566" customWidth="1"/>
    <col min="15626" max="15872" width="9.140625" style="566"/>
    <col min="15873" max="15873" width="4.28515625" style="566" customWidth="1"/>
    <col min="15874" max="15874" width="8.7109375" style="566" customWidth="1"/>
    <col min="15875" max="15875" width="5.5703125" style="566" customWidth="1"/>
    <col min="15876" max="15876" width="11.85546875" style="566" customWidth="1"/>
    <col min="15877" max="15877" width="12" style="566" customWidth="1"/>
    <col min="15878" max="15878" width="11.5703125" style="566" customWidth="1"/>
    <col min="15879" max="15879" width="14" style="566" customWidth="1"/>
    <col min="15880" max="15880" width="12.85546875" style="566" customWidth="1"/>
    <col min="15881" max="15881" width="10.5703125" style="566" customWidth="1"/>
    <col min="15882" max="16128" width="9.140625" style="566"/>
    <col min="16129" max="16129" width="4.28515625" style="566" customWidth="1"/>
    <col min="16130" max="16130" width="8.7109375" style="566" customWidth="1"/>
    <col min="16131" max="16131" width="5.5703125" style="566" customWidth="1"/>
    <col min="16132" max="16132" width="11.85546875" style="566" customWidth="1"/>
    <col min="16133" max="16133" width="12" style="566" customWidth="1"/>
    <col min="16134" max="16134" width="11.5703125" style="566" customWidth="1"/>
    <col min="16135" max="16135" width="14" style="566" customWidth="1"/>
    <col min="16136" max="16136" width="12.85546875" style="566" customWidth="1"/>
    <col min="16137" max="16137" width="10.5703125" style="566" customWidth="1"/>
    <col min="16138" max="16384" width="9.140625" style="566"/>
  </cols>
  <sheetData>
    <row r="1" spans="1:74" x14ac:dyDescent="0.2">
      <c r="G1" s="567"/>
      <c r="H1" s="120" t="s">
        <v>293</v>
      </c>
    </row>
    <row r="2" spans="1:74" x14ac:dyDescent="0.2">
      <c r="G2" s="567"/>
      <c r="H2" s="3" t="s">
        <v>449</v>
      </c>
    </row>
    <row r="3" spans="1:74" x14ac:dyDescent="0.2">
      <c r="G3" s="567"/>
      <c r="H3" s="3" t="s">
        <v>0</v>
      </c>
    </row>
    <row r="4" spans="1:74" x14ac:dyDescent="0.2">
      <c r="G4" s="567"/>
      <c r="H4" s="3" t="s">
        <v>450</v>
      </c>
    </row>
    <row r="5" spans="1:74" x14ac:dyDescent="0.2">
      <c r="H5" s="136"/>
    </row>
    <row r="7" spans="1:74" ht="35.25" customHeight="1" x14ac:dyDescent="0.2">
      <c r="A7" s="569" t="s">
        <v>519</v>
      </c>
      <c r="B7" s="569"/>
      <c r="C7" s="569"/>
      <c r="D7" s="569"/>
      <c r="E7" s="569"/>
      <c r="F7" s="569"/>
      <c r="G7" s="569"/>
      <c r="H7" s="569"/>
      <c r="I7" s="569"/>
    </row>
    <row r="8" spans="1:74" ht="18" customHeight="1" x14ac:dyDescent="0.2">
      <c r="A8" s="570"/>
      <c r="B8" s="570"/>
      <c r="C8" s="570"/>
      <c r="D8" s="570"/>
      <c r="E8" s="570"/>
      <c r="F8" s="570"/>
      <c r="G8" s="570"/>
      <c r="H8" s="570"/>
      <c r="I8" s="570"/>
    </row>
    <row r="9" spans="1:74" ht="13.5" customHeight="1" x14ac:dyDescent="0.2">
      <c r="I9" s="571" t="s">
        <v>2</v>
      </c>
    </row>
    <row r="10" spans="1:74" ht="13.5" customHeight="1" x14ac:dyDescent="0.2">
      <c r="A10" s="572"/>
      <c r="B10" s="572"/>
      <c r="C10" s="572"/>
      <c r="D10" s="573"/>
      <c r="E10" s="573"/>
      <c r="F10" s="574" t="s">
        <v>520</v>
      </c>
      <c r="G10" s="575"/>
      <c r="H10" s="575"/>
      <c r="I10" s="576"/>
    </row>
    <row r="11" spans="1:74" ht="33.75" customHeight="1" x14ac:dyDescent="0.2">
      <c r="A11" s="577" t="s">
        <v>177</v>
      </c>
      <c r="B11" s="577" t="s">
        <v>178</v>
      </c>
      <c r="C11" s="577" t="s">
        <v>6</v>
      </c>
      <c r="D11" s="578" t="s">
        <v>521</v>
      </c>
      <c r="E11" s="578" t="s">
        <v>522</v>
      </c>
      <c r="F11" s="573"/>
      <c r="G11" s="574" t="s">
        <v>493</v>
      </c>
      <c r="H11" s="576"/>
      <c r="I11" s="573"/>
    </row>
    <row r="12" spans="1:74" ht="39.75" customHeight="1" x14ac:dyDescent="0.2">
      <c r="A12" s="579"/>
      <c r="B12" s="579"/>
      <c r="C12" s="579"/>
      <c r="D12" s="579"/>
      <c r="E12" s="580"/>
      <c r="F12" s="581" t="s">
        <v>523</v>
      </c>
      <c r="G12" s="582" t="s">
        <v>524</v>
      </c>
      <c r="H12" s="582" t="s">
        <v>525</v>
      </c>
      <c r="I12" s="581" t="s">
        <v>526</v>
      </c>
    </row>
    <row r="13" spans="1:74" ht="10.5" customHeight="1" x14ac:dyDescent="0.2">
      <c r="A13" s="123">
        <v>1</v>
      </c>
      <c r="B13" s="123">
        <v>2</v>
      </c>
      <c r="C13" s="123">
        <v>3</v>
      </c>
      <c r="D13" s="123">
        <v>4</v>
      </c>
      <c r="E13" s="123">
        <v>5</v>
      </c>
      <c r="F13" s="123">
        <v>6</v>
      </c>
      <c r="G13" s="123">
        <v>7</v>
      </c>
      <c r="H13" s="123">
        <v>8</v>
      </c>
      <c r="I13" s="123">
        <v>9</v>
      </c>
    </row>
    <row r="14" spans="1:74" s="122" customFormat="1" ht="20.25" customHeight="1" x14ac:dyDescent="0.2">
      <c r="A14" s="583">
        <v>710</v>
      </c>
      <c r="B14" s="583">
        <v>71035</v>
      </c>
      <c r="C14" s="583">
        <v>2020</v>
      </c>
      <c r="D14" s="584">
        <f>20000+45000</f>
        <v>65000</v>
      </c>
      <c r="E14" s="584">
        <f t="shared" ref="E14:E19" si="0">SUM(F14,I14)</f>
        <v>65000</v>
      </c>
      <c r="F14" s="584">
        <f>20000+45000</f>
        <v>65000</v>
      </c>
      <c r="G14" s="584">
        <v>0</v>
      </c>
      <c r="H14" s="584">
        <v>0</v>
      </c>
      <c r="I14" s="584">
        <v>0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</row>
    <row r="15" spans="1:74" s="122" customFormat="1" ht="20.25" customHeight="1" x14ac:dyDescent="0.2">
      <c r="A15" s="583">
        <v>750</v>
      </c>
      <c r="B15" s="583">
        <v>75023</v>
      </c>
      <c r="C15" s="585">
        <v>2020</v>
      </c>
      <c r="D15" s="586">
        <f>657370-3.09</f>
        <v>657366.91</v>
      </c>
      <c r="E15" s="584">
        <f t="shared" si="0"/>
        <v>657366.91</v>
      </c>
      <c r="F15" s="584">
        <f>657370-3.09</f>
        <v>657366.91</v>
      </c>
      <c r="G15" s="584">
        <f>42370-126.09+123</f>
        <v>42366.91</v>
      </c>
      <c r="H15" s="584">
        <v>0</v>
      </c>
      <c r="I15" s="584">
        <v>0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</row>
    <row r="16" spans="1:74" s="122" customFormat="1" ht="20.25" customHeight="1" x14ac:dyDescent="0.2">
      <c r="A16" s="583">
        <v>752</v>
      </c>
      <c r="B16" s="583">
        <v>75224</v>
      </c>
      <c r="C16" s="585">
        <v>2120</v>
      </c>
      <c r="D16" s="586">
        <f>42500+2500</f>
        <v>45000</v>
      </c>
      <c r="E16" s="584">
        <f t="shared" si="0"/>
        <v>45000</v>
      </c>
      <c r="F16" s="584">
        <f>42500+2500</f>
        <v>45000</v>
      </c>
      <c r="G16" s="584">
        <f>42500+2500-6800</f>
        <v>38200</v>
      </c>
      <c r="H16" s="584">
        <v>0</v>
      </c>
      <c r="I16" s="584">
        <v>0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</row>
    <row r="17" spans="1:74" s="122" customFormat="1" ht="20.25" customHeight="1" x14ac:dyDescent="0.2">
      <c r="A17" s="583">
        <v>801</v>
      </c>
      <c r="B17" s="583">
        <v>80146</v>
      </c>
      <c r="C17" s="585">
        <v>2120</v>
      </c>
      <c r="D17" s="586">
        <f>328000+65007</f>
        <v>393007</v>
      </c>
      <c r="E17" s="584">
        <f t="shared" si="0"/>
        <v>393007</v>
      </c>
      <c r="F17" s="584">
        <f>328000+65007</f>
        <v>393007</v>
      </c>
      <c r="G17" s="584">
        <f>313530+12000+307+50000</f>
        <v>375837</v>
      </c>
      <c r="H17" s="584">
        <v>0</v>
      </c>
      <c r="I17" s="584">
        <v>0</v>
      </c>
      <c r="J17" s="119"/>
      <c r="K17" s="125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</row>
    <row r="18" spans="1:74" s="122" customFormat="1" ht="20.25" customHeight="1" x14ac:dyDescent="0.2">
      <c r="A18" s="583">
        <v>801</v>
      </c>
      <c r="B18" s="583">
        <v>80195</v>
      </c>
      <c r="C18" s="585">
        <v>2020</v>
      </c>
      <c r="D18" s="586">
        <v>15000</v>
      </c>
      <c r="E18" s="584">
        <f t="shared" si="0"/>
        <v>15000</v>
      </c>
      <c r="F18" s="584">
        <v>15000</v>
      </c>
      <c r="G18" s="584">
        <v>0</v>
      </c>
      <c r="H18" s="584">
        <v>0</v>
      </c>
      <c r="I18" s="584">
        <v>0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</row>
    <row r="19" spans="1:74" s="122" customFormat="1" ht="20.25" customHeight="1" x14ac:dyDescent="0.2">
      <c r="A19" s="583">
        <v>801</v>
      </c>
      <c r="B19" s="583">
        <v>80195</v>
      </c>
      <c r="C19" s="585">
        <v>2120</v>
      </c>
      <c r="D19" s="586">
        <f>349074+27630.4</f>
        <v>376704.4</v>
      </c>
      <c r="E19" s="584">
        <f t="shared" si="0"/>
        <v>376704.4</v>
      </c>
      <c r="F19" s="584">
        <f>349074+27630.4</f>
        <v>376704.4</v>
      </c>
      <c r="G19" s="584">
        <v>317340</v>
      </c>
      <c r="H19" s="584">
        <v>0</v>
      </c>
      <c r="I19" s="584">
        <v>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</row>
    <row r="20" spans="1:74" s="122" customFormat="1" ht="23.25" customHeight="1" x14ac:dyDescent="0.2">
      <c r="A20" s="623" t="s">
        <v>185</v>
      </c>
      <c r="B20" s="624"/>
      <c r="C20" s="625"/>
      <c r="D20" s="587">
        <f t="shared" ref="D20:I20" si="1">SUM(D14:D19)</f>
        <v>1552078.31</v>
      </c>
      <c r="E20" s="587">
        <f t="shared" si="1"/>
        <v>1552078.31</v>
      </c>
      <c r="F20" s="587">
        <f t="shared" si="1"/>
        <v>1552078.31</v>
      </c>
      <c r="G20" s="587">
        <f t="shared" si="1"/>
        <v>773743.91</v>
      </c>
      <c r="H20" s="587">
        <f t="shared" si="1"/>
        <v>0</v>
      </c>
      <c r="I20" s="587">
        <f t="shared" si="1"/>
        <v>0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</row>
    <row r="21" spans="1:74" ht="12" customHeight="1" x14ac:dyDescent="0.2"/>
  </sheetData>
  <mergeCells count="1">
    <mergeCell ref="A20:C20"/>
  </mergeCells>
  <pageMargins left="0.59055118110236227" right="0.59055118110236227" top="0.74803149606299213" bottom="0.74803149606299213" header="0.31496062992125984" footer="0.31496062992125984"/>
  <pageSetup paperSize="9" firstPageNumber="41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7E7F-6F25-4E92-9D85-1B1B64356692}">
  <sheetPr>
    <tabColor rgb="FF00B0F0"/>
  </sheetPr>
  <dimension ref="A1:H167"/>
  <sheetViews>
    <sheetView zoomScale="140" zoomScaleNormal="140" workbookViewId="0"/>
  </sheetViews>
  <sheetFormatPr defaultRowHeight="12" x14ac:dyDescent="0.2"/>
  <cols>
    <col min="1" max="1" width="3.85546875" style="119" customWidth="1"/>
    <col min="2" max="2" width="5.140625" style="119" customWidth="1"/>
    <col min="3" max="3" width="8.42578125" style="119" customWidth="1"/>
    <col min="4" max="4" width="5.7109375" style="135" customWidth="1"/>
    <col min="5" max="5" width="47.42578125" style="119" customWidth="1"/>
    <col min="6" max="6" width="21.42578125" style="119" customWidth="1"/>
    <col min="7" max="7" width="9.140625" style="119"/>
    <col min="8" max="8" width="12.28515625" style="119" customWidth="1"/>
    <col min="9" max="256" width="9.140625" style="119"/>
    <col min="257" max="257" width="4.42578125" style="119" customWidth="1"/>
    <col min="258" max="258" width="5.7109375" style="119" customWidth="1"/>
    <col min="259" max="259" width="8.42578125" style="119" customWidth="1"/>
    <col min="260" max="260" width="6.5703125" style="119" customWidth="1"/>
    <col min="261" max="261" width="47.42578125" style="119" customWidth="1"/>
    <col min="262" max="262" width="21.42578125" style="119" customWidth="1"/>
    <col min="263" max="263" width="9.140625" style="119"/>
    <col min="264" max="264" width="12.28515625" style="119" customWidth="1"/>
    <col min="265" max="512" width="9.140625" style="119"/>
    <col min="513" max="513" width="4.42578125" style="119" customWidth="1"/>
    <col min="514" max="514" width="5.7109375" style="119" customWidth="1"/>
    <col min="515" max="515" width="8.42578125" style="119" customWidth="1"/>
    <col min="516" max="516" width="6.5703125" style="119" customWidth="1"/>
    <col min="517" max="517" width="47.42578125" style="119" customWidth="1"/>
    <col min="518" max="518" width="21.42578125" style="119" customWidth="1"/>
    <col min="519" max="519" width="9.140625" style="119"/>
    <col min="520" max="520" width="12.28515625" style="119" customWidth="1"/>
    <col min="521" max="768" width="9.140625" style="119"/>
    <col min="769" max="769" width="4.42578125" style="119" customWidth="1"/>
    <col min="770" max="770" width="5.7109375" style="119" customWidth="1"/>
    <col min="771" max="771" width="8.42578125" style="119" customWidth="1"/>
    <col min="772" max="772" width="6.5703125" style="119" customWidth="1"/>
    <col min="773" max="773" width="47.42578125" style="119" customWidth="1"/>
    <col min="774" max="774" width="21.42578125" style="119" customWidth="1"/>
    <col min="775" max="775" width="9.140625" style="119"/>
    <col min="776" max="776" width="12.28515625" style="119" customWidth="1"/>
    <col min="777" max="1024" width="9.140625" style="119"/>
    <col min="1025" max="1025" width="4.42578125" style="119" customWidth="1"/>
    <col min="1026" max="1026" width="5.7109375" style="119" customWidth="1"/>
    <col min="1027" max="1027" width="8.42578125" style="119" customWidth="1"/>
    <col min="1028" max="1028" width="6.5703125" style="119" customWidth="1"/>
    <col min="1029" max="1029" width="47.42578125" style="119" customWidth="1"/>
    <col min="1030" max="1030" width="21.42578125" style="119" customWidth="1"/>
    <col min="1031" max="1031" width="9.140625" style="119"/>
    <col min="1032" max="1032" width="12.28515625" style="119" customWidth="1"/>
    <col min="1033" max="1280" width="9.140625" style="119"/>
    <col min="1281" max="1281" width="4.42578125" style="119" customWidth="1"/>
    <col min="1282" max="1282" width="5.7109375" style="119" customWidth="1"/>
    <col min="1283" max="1283" width="8.42578125" style="119" customWidth="1"/>
    <col min="1284" max="1284" width="6.5703125" style="119" customWidth="1"/>
    <col min="1285" max="1285" width="47.42578125" style="119" customWidth="1"/>
    <col min="1286" max="1286" width="21.42578125" style="119" customWidth="1"/>
    <col min="1287" max="1287" width="9.140625" style="119"/>
    <col min="1288" max="1288" width="12.28515625" style="119" customWidth="1"/>
    <col min="1289" max="1536" width="9.140625" style="119"/>
    <col min="1537" max="1537" width="4.42578125" style="119" customWidth="1"/>
    <col min="1538" max="1538" width="5.7109375" style="119" customWidth="1"/>
    <col min="1539" max="1539" width="8.42578125" style="119" customWidth="1"/>
    <col min="1540" max="1540" width="6.5703125" style="119" customWidth="1"/>
    <col min="1541" max="1541" width="47.42578125" style="119" customWidth="1"/>
    <col min="1542" max="1542" width="21.42578125" style="119" customWidth="1"/>
    <col min="1543" max="1543" width="9.140625" style="119"/>
    <col min="1544" max="1544" width="12.28515625" style="119" customWidth="1"/>
    <col min="1545" max="1792" width="9.140625" style="119"/>
    <col min="1793" max="1793" width="4.42578125" style="119" customWidth="1"/>
    <col min="1794" max="1794" width="5.7109375" style="119" customWidth="1"/>
    <col min="1795" max="1795" width="8.42578125" style="119" customWidth="1"/>
    <col min="1796" max="1796" width="6.5703125" style="119" customWidth="1"/>
    <col min="1797" max="1797" width="47.42578125" style="119" customWidth="1"/>
    <col min="1798" max="1798" width="21.42578125" style="119" customWidth="1"/>
    <col min="1799" max="1799" width="9.140625" style="119"/>
    <col min="1800" max="1800" width="12.28515625" style="119" customWidth="1"/>
    <col min="1801" max="2048" width="9.140625" style="119"/>
    <col min="2049" max="2049" width="4.42578125" style="119" customWidth="1"/>
    <col min="2050" max="2050" width="5.7109375" style="119" customWidth="1"/>
    <col min="2051" max="2051" width="8.42578125" style="119" customWidth="1"/>
    <col min="2052" max="2052" width="6.5703125" style="119" customWidth="1"/>
    <col min="2053" max="2053" width="47.42578125" style="119" customWidth="1"/>
    <col min="2054" max="2054" width="21.42578125" style="119" customWidth="1"/>
    <col min="2055" max="2055" width="9.140625" style="119"/>
    <col min="2056" max="2056" width="12.28515625" style="119" customWidth="1"/>
    <col min="2057" max="2304" width="9.140625" style="119"/>
    <col min="2305" max="2305" width="4.42578125" style="119" customWidth="1"/>
    <col min="2306" max="2306" width="5.7109375" style="119" customWidth="1"/>
    <col min="2307" max="2307" width="8.42578125" style="119" customWidth="1"/>
    <col min="2308" max="2308" width="6.5703125" style="119" customWidth="1"/>
    <col min="2309" max="2309" width="47.42578125" style="119" customWidth="1"/>
    <col min="2310" max="2310" width="21.42578125" style="119" customWidth="1"/>
    <col min="2311" max="2311" width="9.140625" style="119"/>
    <col min="2312" max="2312" width="12.28515625" style="119" customWidth="1"/>
    <col min="2313" max="2560" width="9.140625" style="119"/>
    <col min="2561" max="2561" width="4.42578125" style="119" customWidth="1"/>
    <col min="2562" max="2562" width="5.7109375" style="119" customWidth="1"/>
    <col min="2563" max="2563" width="8.42578125" style="119" customWidth="1"/>
    <col min="2564" max="2564" width="6.5703125" style="119" customWidth="1"/>
    <col min="2565" max="2565" width="47.42578125" style="119" customWidth="1"/>
    <col min="2566" max="2566" width="21.42578125" style="119" customWidth="1"/>
    <col min="2567" max="2567" width="9.140625" style="119"/>
    <col min="2568" max="2568" width="12.28515625" style="119" customWidth="1"/>
    <col min="2569" max="2816" width="9.140625" style="119"/>
    <col min="2817" max="2817" width="4.42578125" style="119" customWidth="1"/>
    <col min="2818" max="2818" width="5.7109375" style="119" customWidth="1"/>
    <col min="2819" max="2819" width="8.42578125" style="119" customWidth="1"/>
    <col min="2820" max="2820" width="6.5703125" style="119" customWidth="1"/>
    <col min="2821" max="2821" width="47.42578125" style="119" customWidth="1"/>
    <col min="2822" max="2822" width="21.42578125" style="119" customWidth="1"/>
    <col min="2823" max="2823" width="9.140625" style="119"/>
    <col min="2824" max="2824" width="12.28515625" style="119" customWidth="1"/>
    <col min="2825" max="3072" width="9.140625" style="119"/>
    <col min="3073" max="3073" width="4.42578125" style="119" customWidth="1"/>
    <col min="3074" max="3074" width="5.7109375" style="119" customWidth="1"/>
    <col min="3075" max="3075" width="8.42578125" style="119" customWidth="1"/>
    <col min="3076" max="3076" width="6.5703125" style="119" customWidth="1"/>
    <col min="3077" max="3077" width="47.42578125" style="119" customWidth="1"/>
    <col min="3078" max="3078" width="21.42578125" style="119" customWidth="1"/>
    <col min="3079" max="3079" width="9.140625" style="119"/>
    <col min="3080" max="3080" width="12.28515625" style="119" customWidth="1"/>
    <col min="3081" max="3328" width="9.140625" style="119"/>
    <col min="3329" max="3329" width="4.42578125" style="119" customWidth="1"/>
    <col min="3330" max="3330" width="5.7109375" style="119" customWidth="1"/>
    <col min="3331" max="3331" width="8.42578125" style="119" customWidth="1"/>
    <col min="3332" max="3332" width="6.5703125" style="119" customWidth="1"/>
    <col min="3333" max="3333" width="47.42578125" style="119" customWidth="1"/>
    <col min="3334" max="3334" width="21.42578125" style="119" customWidth="1"/>
    <col min="3335" max="3335" width="9.140625" style="119"/>
    <col min="3336" max="3336" width="12.28515625" style="119" customWidth="1"/>
    <col min="3337" max="3584" width="9.140625" style="119"/>
    <col min="3585" max="3585" width="4.42578125" style="119" customWidth="1"/>
    <col min="3586" max="3586" width="5.7109375" style="119" customWidth="1"/>
    <col min="3587" max="3587" width="8.42578125" style="119" customWidth="1"/>
    <col min="3588" max="3588" width="6.5703125" style="119" customWidth="1"/>
    <col min="3589" max="3589" width="47.42578125" style="119" customWidth="1"/>
    <col min="3590" max="3590" width="21.42578125" style="119" customWidth="1"/>
    <col min="3591" max="3591" width="9.140625" style="119"/>
    <col min="3592" max="3592" width="12.28515625" style="119" customWidth="1"/>
    <col min="3593" max="3840" width="9.140625" style="119"/>
    <col min="3841" max="3841" width="4.42578125" style="119" customWidth="1"/>
    <col min="3842" max="3842" width="5.7109375" style="119" customWidth="1"/>
    <col min="3843" max="3843" width="8.42578125" style="119" customWidth="1"/>
    <col min="3844" max="3844" width="6.5703125" style="119" customWidth="1"/>
    <col min="3845" max="3845" width="47.42578125" style="119" customWidth="1"/>
    <col min="3846" max="3846" width="21.42578125" style="119" customWidth="1"/>
    <col min="3847" max="3847" width="9.140625" style="119"/>
    <col min="3848" max="3848" width="12.28515625" style="119" customWidth="1"/>
    <col min="3849" max="4096" width="9.140625" style="119"/>
    <col min="4097" max="4097" width="4.42578125" style="119" customWidth="1"/>
    <col min="4098" max="4098" width="5.7109375" style="119" customWidth="1"/>
    <col min="4099" max="4099" width="8.42578125" style="119" customWidth="1"/>
    <col min="4100" max="4100" width="6.5703125" style="119" customWidth="1"/>
    <col min="4101" max="4101" width="47.42578125" style="119" customWidth="1"/>
    <col min="4102" max="4102" width="21.42578125" style="119" customWidth="1"/>
    <col min="4103" max="4103" width="9.140625" style="119"/>
    <col min="4104" max="4104" width="12.28515625" style="119" customWidth="1"/>
    <col min="4105" max="4352" width="9.140625" style="119"/>
    <col min="4353" max="4353" width="4.42578125" style="119" customWidth="1"/>
    <col min="4354" max="4354" width="5.7109375" style="119" customWidth="1"/>
    <col min="4355" max="4355" width="8.42578125" style="119" customWidth="1"/>
    <col min="4356" max="4356" width="6.5703125" style="119" customWidth="1"/>
    <col min="4357" max="4357" width="47.42578125" style="119" customWidth="1"/>
    <col min="4358" max="4358" width="21.42578125" style="119" customWidth="1"/>
    <col min="4359" max="4359" width="9.140625" style="119"/>
    <col min="4360" max="4360" width="12.28515625" style="119" customWidth="1"/>
    <col min="4361" max="4608" width="9.140625" style="119"/>
    <col min="4609" max="4609" width="4.42578125" style="119" customWidth="1"/>
    <col min="4610" max="4610" width="5.7109375" style="119" customWidth="1"/>
    <col min="4611" max="4611" width="8.42578125" style="119" customWidth="1"/>
    <col min="4612" max="4612" width="6.5703125" style="119" customWidth="1"/>
    <col min="4613" max="4613" width="47.42578125" style="119" customWidth="1"/>
    <col min="4614" max="4614" width="21.42578125" style="119" customWidth="1"/>
    <col min="4615" max="4615" width="9.140625" style="119"/>
    <col min="4616" max="4616" width="12.28515625" style="119" customWidth="1"/>
    <col min="4617" max="4864" width="9.140625" style="119"/>
    <col min="4865" max="4865" width="4.42578125" style="119" customWidth="1"/>
    <col min="4866" max="4866" width="5.7109375" style="119" customWidth="1"/>
    <col min="4867" max="4867" width="8.42578125" style="119" customWidth="1"/>
    <col min="4868" max="4868" width="6.5703125" style="119" customWidth="1"/>
    <col min="4869" max="4869" width="47.42578125" style="119" customWidth="1"/>
    <col min="4870" max="4870" width="21.42578125" style="119" customWidth="1"/>
    <col min="4871" max="4871" width="9.140625" style="119"/>
    <col min="4872" max="4872" width="12.28515625" style="119" customWidth="1"/>
    <col min="4873" max="5120" width="9.140625" style="119"/>
    <col min="5121" max="5121" width="4.42578125" style="119" customWidth="1"/>
    <col min="5122" max="5122" width="5.7109375" style="119" customWidth="1"/>
    <col min="5123" max="5123" width="8.42578125" style="119" customWidth="1"/>
    <col min="5124" max="5124" width="6.5703125" style="119" customWidth="1"/>
    <col min="5125" max="5125" width="47.42578125" style="119" customWidth="1"/>
    <col min="5126" max="5126" width="21.42578125" style="119" customWidth="1"/>
    <col min="5127" max="5127" width="9.140625" style="119"/>
    <col min="5128" max="5128" width="12.28515625" style="119" customWidth="1"/>
    <col min="5129" max="5376" width="9.140625" style="119"/>
    <col min="5377" max="5377" width="4.42578125" style="119" customWidth="1"/>
    <col min="5378" max="5378" width="5.7109375" style="119" customWidth="1"/>
    <col min="5379" max="5379" width="8.42578125" style="119" customWidth="1"/>
    <col min="5380" max="5380" width="6.5703125" style="119" customWidth="1"/>
    <col min="5381" max="5381" width="47.42578125" style="119" customWidth="1"/>
    <col min="5382" max="5382" width="21.42578125" style="119" customWidth="1"/>
    <col min="5383" max="5383" width="9.140625" style="119"/>
    <col min="5384" max="5384" width="12.28515625" style="119" customWidth="1"/>
    <col min="5385" max="5632" width="9.140625" style="119"/>
    <col min="5633" max="5633" width="4.42578125" style="119" customWidth="1"/>
    <col min="5634" max="5634" width="5.7109375" style="119" customWidth="1"/>
    <col min="5635" max="5635" width="8.42578125" style="119" customWidth="1"/>
    <col min="5636" max="5636" width="6.5703125" style="119" customWidth="1"/>
    <col min="5637" max="5637" width="47.42578125" style="119" customWidth="1"/>
    <col min="5638" max="5638" width="21.42578125" style="119" customWidth="1"/>
    <col min="5639" max="5639" width="9.140625" style="119"/>
    <col min="5640" max="5640" width="12.28515625" style="119" customWidth="1"/>
    <col min="5641" max="5888" width="9.140625" style="119"/>
    <col min="5889" max="5889" width="4.42578125" style="119" customWidth="1"/>
    <col min="5890" max="5890" width="5.7109375" style="119" customWidth="1"/>
    <col min="5891" max="5891" width="8.42578125" style="119" customWidth="1"/>
    <col min="5892" max="5892" width="6.5703125" style="119" customWidth="1"/>
    <col min="5893" max="5893" width="47.42578125" style="119" customWidth="1"/>
    <col min="5894" max="5894" width="21.42578125" style="119" customWidth="1"/>
    <col min="5895" max="5895" width="9.140625" style="119"/>
    <col min="5896" max="5896" width="12.28515625" style="119" customWidth="1"/>
    <col min="5897" max="6144" width="9.140625" style="119"/>
    <col min="6145" max="6145" width="4.42578125" style="119" customWidth="1"/>
    <col min="6146" max="6146" width="5.7109375" style="119" customWidth="1"/>
    <col min="6147" max="6147" width="8.42578125" style="119" customWidth="1"/>
    <col min="6148" max="6148" width="6.5703125" style="119" customWidth="1"/>
    <col min="6149" max="6149" width="47.42578125" style="119" customWidth="1"/>
    <col min="6150" max="6150" width="21.42578125" style="119" customWidth="1"/>
    <col min="6151" max="6151" width="9.140625" style="119"/>
    <col min="6152" max="6152" width="12.28515625" style="119" customWidth="1"/>
    <col min="6153" max="6400" width="9.140625" style="119"/>
    <col min="6401" max="6401" width="4.42578125" style="119" customWidth="1"/>
    <col min="6402" max="6402" width="5.7109375" style="119" customWidth="1"/>
    <col min="6403" max="6403" width="8.42578125" style="119" customWidth="1"/>
    <col min="6404" max="6404" width="6.5703125" style="119" customWidth="1"/>
    <col min="6405" max="6405" width="47.42578125" style="119" customWidth="1"/>
    <col min="6406" max="6406" width="21.42578125" style="119" customWidth="1"/>
    <col min="6407" max="6407" width="9.140625" style="119"/>
    <col min="6408" max="6408" width="12.28515625" style="119" customWidth="1"/>
    <col min="6409" max="6656" width="9.140625" style="119"/>
    <col min="6657" max="6657" width="4.42578125" style="119" customWidth="1"/>
    <col min="6658" max="6658" width="5.7109375" style="119" customWidth="1"/>
    <col min="6659" max="6659" width="8.42578125" style="119" customWidth="1"/>
    <col min="6660" max="6660" width="6.5703125" style="119" customWidth="1"/>
    <col min="6661" max="6661" width="47.42578125" style="119" customWidth="1"/>
    <col min="6662" max="6662" width="21.42578125" style="119" customWidth="1"/>
    <col min="6663" max="6663" width="9.140625" style="119"/>
    <col min="6664" max="6664" width="12.28515625" style="119" customWidth="1"/>
    <col min="6665" max="6912" width="9.140625" style="119"/>
    <col min="6913" max="6913" width="4.42578125" style="119" customWidth="1"/>
    <col min="6914" max="6914" width="5.7109375" style="119" customWidth="1"/>
    <col min="6915" max="6915" width="8.42578125" style="119" customWidth="1"/>
    <col min="6916" max="6916" width="6.5703125" style="119" customWidth="1"/>
    <col min="6917" max="6917" width="47.42578125" style="119" customWidth="1"/>
    <col min="6918" max="6918" width="21.42578125" style="119" customWidth="1"/>
    <col min="6919" max="6919" width="9.140625" style="119"/>
    <col min="6920" max="6920" width="12.28515625" style="119" customWidth="1"/>
    <col min="6921" max="7168" width="9.140625" style="119"/>
    <col min="7169" max="7169" width="4.42578125" style="119" customWidth="1"/>
    <col min="7170" max="7170" width="5.7109375" style="119" customWidth="1"/>
    <col min="7171" max="7171" width="8.42578125" style="119" customWidth="1"/>
    <col min="7172" max="7172" width="6.5703125" style="119" customWidth="1"/>
    <col min="7173" max="7173" width="47.42578125" style="119" customWidth="1"/>
    <col min="7174" max="7174" width="21.42578125" style="119" customWidth="1"/>
    <col min="7175" max="7175" width="9.140625" style="119"/>
    <col min="7176" max="7176" width="12.28515625" style="119" customWidth="1"/>
    <col min="7177" max="7424" width="9.140625" style="119"/>
    <col min="7425" max="7425" width="4.42578125" style="119" customWidth="1"/>
    <col min="7426" max="7426" width="5.7109375" style="119" customWidth="1"/>
    <col min="7427" max="7427" width="8.42578125" style="119" customWidth="1"/>
    <col min="7428" max="7428" width="6.5703125" style="119" customWidth="1"/>
    <col min="7429" max="7429" width="47.42578125" style="119" customWidth="1"/>
    <col min="7430" max="7430" width="21.42578125" style="119" customWidth="1"/>
    <col min="7431" max="7431" width="9.140625" style="119"/>
    <col min="7432" max="7432" width="12.28515625" style="119" customWidth="1"/>
    <col min="7433" max="7680" width="9.140625" style="119"/>
    <col min="7681" max="7681" width="4.42578125" style="119" customWidth="1"/>
    <col min="7682" max="7682" width="5.7109375" style="119" customWidth="1"/>
    <col min="7683" max="7683" width="8.42578125" style="119" customWidth="1"/>
    <col min="7684" max="7684" width="6.5703125" style="119" customWidth="1"/>
    <col min="7685" max="7685" width="47.42578125" style="119" customWidth="1"/>
    <col min="7686" max="7686" width="21.42578125" style="119" customWidth="1"/>
    <col min="7687" max="7687" width="9.140625" style="119"/>
    <col min="7688" max="7688" width="12.28515625" style="119" customWidth="1"/>
    <col min="7689" max="7936" width="9.140625" style="119"/>
    <col min="7937" max="7937" width="4.42578125" style="119" customWidth="1"/>
    <col min="7938" max="7938" width="5.7109375" style="119" customWidth="1"/>
    <col min="7939" max="7939" width="8.42578125" style="119" customWidth="1"/>
    <col min="7940" max="7940" width="6.5703125" style="119" customWidth="1"/>
    <col min="7941" max="7941" width="47.42578125" style="119" customWidth="1"/>
    <col min="7942" max="7942" width="21.42578125" style="119" customWidth="1"/>
    <col min="7943" max="7943" width="9.140625" style="119"/>
    <col min="7944" max="7944" width="12.28515625" style="119" customWidth="1"/>
    <col min="7945" max="8192" width="9.140625" style="119"/>
    <col min="8193" max="8193" width="4.42578125" style="119" customWidth="1"/>
    <col min="8194" max="8194" width="5.7109375" style="119" customWidth="1"/>
    <col min="8195" max="8195" width="8.42578125" style="119" customWidth="1"/>
    <col min="8196" max="8196" width="6.5703125" style="119" customWidth="1"/>
    <col min="8197" max="8197" width="47.42578125" style="119" customWidth="1"/>
    <col min="8198" max="8198" width="21.42578125" style="119" customWidth="1"/>
    <col min="8199" max="8199" width="9.140625" style="119"/>
    <col min="8200" max="8200" width="12.28515625" style="119" customWidth="1"/>
    <col min="8201" max="8448" width="9.140625" style="119"/>
    <col min="8449" max="8449" width="4.42578125" style="119" customWidth="1"/>
    <col min="8450" max="8450" width="5.7109375" style="119" customWidth="1"/>
    <col min="8451" max="8451" width="8.42578125" style="119" customWidth="1"/>
    <col min="8452" max="8452" width="6.5703125" style="119" customWidth="1"/>
    <col min="8453" max="8453" width="47.42578125" style="119" customWidth="1"/>
    <col min="8454" max="8454" width="21.42578125" style="119" customWidth="1"/>
    <col min="8455" max="8455" width="9.140625" style="119"/>
    <col min="8456" max="8456" width="12.28515625" style="119" customWidth="1"/>
    <col min="8457" max="8704" width="9.140625" style="119"/>
    <col min="8705" max="8705" width="4.42578125" style="119" customWidth="1"/>
    <col min="8706" max="8706" width="5.7109375" style="119" customWidth="1"/>
    <col min="8707" max="8707" width="8.42578125" style="119" customWidth="1"/>
    <col min="8708" max="8708" width="6.5703125" style="119" customWidth="1"/>
    <col min="8709" max="8709" width="47.42578125" style="119" customWidth="1"/>
    <col min="8710" max="8710" width="21.42578125" style="119" customWidth="1"/>
    <col min="8711" max="8711" width="9.140625" style="119"/>
    <col min="8712" max="8712" width="12.28515625" style="119" customWidth="1"/>
    <col min="8713" max="8960" width="9.140625" style="119"/>
    <col min="8961" max="8961" width="4.42578125" style="119" customWidth="1"/>
    <col min="8962" max="8962" width="5.7109375" style="119" customWidth="1"/>
    <col min="8963" max="8963" width="8.42578125" style="119" customWidth="1"/>
    <col min="8964" max="8964" width="6.5703125" style="119" customWidth="1"/>
    <col min="8965" max="8965" width="47.42578125" style="119" customWidth="1"/>
    <col min="8966" max="8966" width="21.42578125" style="119" customWidth="1"/>
    <col min="8967" max="8967" width="9.140625" style="119"/>
    <col min="8968" max="8968" width="12.28515625" style="119" customWidth="1"/>
    <col min="8969" max="9216" width="9.140625" style="119"/>
    <col min="9217" max="9217" width="4.42578125" style="119" customWidth="1"/>
    <col min="9218" max="9218" width="5.7109375" style="119" customWidth="1"/>
    <col min="9219" max="9219" width="8.42578125" style="119" customWidth="1"/>
    <col min="9220" max="9220" width="6.5703125" style="119" customWidth="1"/>
    <col min="9221" max="9221" width="47.42578125" style="119" customWidth="1"/>
    <col min="9222" max="9222" width="21.42578125" style="119" customWidth="1"/>
    <col min="9223" max="9223" width="9.140625" style="119"/>
    <col min="9224" max="9224" width="12.28515625" style="119" customWidth="1"/>
    <col min="9225" max="9472" width="9.140625" style="119"/>
    <col min="9473" max="9473" width="4.42578125" style="119" customWidth="1"/>
    <col min="9474" max="9474" width="5.7109375" style="119" customWidth="1"/>
    <col min="9475" max="9475" width="8.42578125" style="119" customWidth="1"/>
    <col min="9476" max="9476" width="6.5703125" style="119" customWidth="1"/>
    <col min="9477" max="9477" width="47.42578125" style="119" customWidth="1"/>
    <col min="9478" max="9478" width="21.42578125" style="119" customWidth="1"/>
    <col min="9479" max="9479" width="9.140625" style="119"/>
    <col min="9480" max="9480" width="12.28515625" style="119" customWidth="1"/>
    <col min="9481" max="9728" width="9.140625" style="119"/>
    <col min="9729" max="9729" width="4.42578125" style="119" customWidth="1"/>
    <col min="9730" max="9730" width="5.7109375" style="119" customWidth="1"/>
    <col min="9731" max="9731" width="8.42578125" style="119" customWidth="1"/>
    <col min="9732" max="9732" width="6.5703125" style="119" customWidth="1"/>
    <col min="9733" max="9733" width="47.42578125" style="119" customWidth="1"/>
    <col min="9734" max="9734" width="21.42578125" style="119" customWidth="1"/>
    <col min="9735" max="9735" width="9.140625" style="119"/>
    <col min="9736" max="9736" width="12.28515625" style="119" customWidth="1"/>
    <col min="9737" max="9984" width="9.140625" style="119"/>
    <col min="9985" max="9985" width="4.42578125" style="119" customWidth="1"/>
    <col min="9986" max="9986" width="5.7109375" style="119" customWidth="1"/>
    <col min="9987" max="9987" width="8.42578125" style="119" customWidth="1"/>
    <col min="9988" max="9988" width="6.5703125" style="119" customWidth="1"/>
    <col min="9989" max="9989" width="47.42578125" style="119" customWidth="1"/>
    <col min="9990" max="9990" width="21.42578125" style="119" customWidth="1"/>
    <col min="9991" max="9991" width="9.140625" style="119"/>
    <col min="9992" max="9992" width="12.28515625" style="119" customWidth="1"/>
    <col min="9993" max="10240" width="9.140625" style="119"/>
    <col min="10241" max="10241" width="4.42578125" style="119" customWidth="1"/>
    <col min="10242" max="10242" width="5.7109375" style="119" customWidth="1"/>
    <col min="10243" max="10243" width="8.42578125" style="119" customWidth="1"/>
    <col min="10244" max="10244" width="6.5703125" style="119" customWidth="1"/>
    <col min="10245" max="10245" width="47.42578125" style="119" customWidth="1"/>
    <col min="10246" max="10246" width="21.42578125" style="119" customWidth="1"/>
    <col min="10247" max="10247" width="9.140625" style="119"/>
    <col min="10248" max="10248" width="12.28515625" style="119" customWidth="1"/>
    <col min="10249" max="10496" width="9.140625" style="119"/>
    <col min="10497" max="10497" width="4.42578125" style="119" customWidth="1"/>
    <col min="10498" max="10498" width="5.7109375" style="119" customWidth="1"/>
    <col min="10499" max="10499" width="8.42578125" style="119" customWidth="1"/>
    <col min="10500" max="10500" width="6.5703125" style="119" customWidth="1"/>
    <col min="10501" max="10501" width="47.42578125" style="119" customWidth="1"/>
    <col min="10502" max="10502" width="21.42578125" style="119" customWidth="1"/>
    <col min="10503" max="10503" width="9.140625" style="119"/>
    <col min="10504" max="10504" width="12.28515625" style="119" customWidth="1"/>
    <col min="10505" max="10752" width="9.140625" style="119"/>
    <col min="10753" max="10753" width="4.42578125" style="119" customWidth="1"/>
    <col min="10754" max="10754" width="5.7109375" style="119" customWidth="1"/>
    <col min="10755" max="10755" width="8.42578125" style="119" customWidth="1"/>
    <col min="10756" max="10756" width="6.5703125" style="119" customWidth="1"/>
    <col min="10757" max="10757" width="47.42578125" style="119" customWidth="1"/>
    <col min="10758" max="10758" width="21.42578125" style="119" customWidth="1"/>
    <col min="10759" max="10759" width="9.140625" style="119"/>
    <col min="10760" max="10760" width="12.28515625" style="119" customWidth="1"/>
    <col min="10761" max="11008" width="9.140625" style="119"/>
    <col min="11009" max="11009" width="4.42578125" style="119" customWidth="1"/>
    <col min="11010" max="11010" width="5.7109375" style="119" customWidth="1"/>
    <col min="11011" max="11011" width="8.42578125" style="119" customWidth="1"/>
    <col min="11012" max="11012" width="6.5703125" style="119" customWidth="1"/>
    <col min="11013" max="11013" width="47.42578125" style="119" customWidth="1"/>
    <col min="11014" max="11014" width="21.42578125" style="119" customWidth="1"/>
    <col min="11015" max="11015" width="9.140625" style="119"/>
    <col min="11016" max="11016" width="12.28515625" style="119" customWidth="1"/>
    <col min="11017" max="11264" width="9.140625" style="119"/>
    <col min="11265" max="11265" width="4.42578125" style="119" customWidth="1"/>
    <col min="11266" max="11266" width="5.7109375" style="119" customWidth="1"/>
    <col min="11267" max="11267" width="8.42578125" style="119" customWidth="1"/>
    <col min="11268" max="11268" width="6.5703125" style="119" customWidth="1"/>
    <col min="11269" max="11269" width="47.42578125" style="119" customWidth="1"/>
    <col min="11270" max="11270" width="21.42578125" style="119" customWidth="1"/>
    <col min="11271" max="11271" width="9.140625" style="119"/>
    <col min="11272" max="11272" width="12.28515625" style="119" customWidth="1"/>
    <col min="11273" max="11520" width="9.140625" style="119"/>
    <col min="11521" max="11521" width="4.42578125" style="119" customWidth="1"/>
    <col min="11522" max="11522" width="5.7109375" style="119" customWidth="1"/>
    <col min="11523" max="11523" width="8.42578125" style="119" customWidth="1"/>
    <col min="11524" max="11524" width="6.5703125" style="119" customWidth="1"/>
    <col min="11525" max="11525" width="47.42578125" style="119" customWidth="1"/>
    <col min="11526" max="11526" width="21.42578125" style="119" customWidth="1"/>
    <col min="11527" max="11527" width="9.140625" style="119"/>
    <col min="11528" max="11528" width="12.28515625" style="119" customWidth="1"/>
    <col min="11529" max="11776" width="9.140625" style="119"/>
    <col min="11777" max="11777" width="4.42578125" style="119" customWidth="1"/>
    <col min="11778" max="11778" width="5.7109375" style="119" customWidth="1"/>
    <col min="11779" max="11779" width="8.42578125" style="119" customWidth="1"/>
    <col min="11780" max="11780" width="6.5703125" style="119" customWidth="1"/>
    <col min="11781" max="11781" width="47.42578125" style="119" customWidth="1"/>
    <col min="11782" max="11782" width="21.42578125" style="119" customWidth="1"/>
    <col min="11783" max="11783" width="9.140625" style="119"/>
    <col min="11784" max="11784" width="12.28515625" style="119" customWidth="1"/>
    <col min="11785" max="12032" width="9.140625" style="119"/>
    <col min="12033" max="12033" width="4.42578125" style="119" customWidth="1"/>
    <col min="12034" max="12034" width="5.7109375" style="119" customWidth="1"/>
    <col min="12035" max="12035" width="8.42578125" style="119" customWidth="1"/>
    <col min="12036" max="12036" width="6.5703125" style="119" customWidth="1"/>
    <col min="12037" max="12037" width="47.42578125" style="119" customWidth="1"/>
    <col min="12038" max="12038" width="21.42578125" style="119" customWidth="1"/>
    <col min="12039" max="12039" width="9.140625" style="119"/>
    <col min="12040" max="12040" width="12.28515625" style="119" customWidth="1"/>
    <col min="12041" max="12288" width="9.140625" style="119"/>
    <col min="12289" max="12289" width="4.42578125" style="119" customWidth="1"/>
    <col min="12290" max="12290" width="5.7109375" style="119" customWidth="1"/>
    <col min="12291" max="12291" width="8.42578125" style="119" customWidth="1"/>
    <col min="12292" max="12292" width="6.5703125" style="119" customWidth="1"/>
    <col min="12293" max="12293" width="47.42578125" style="119" customWidth="1"/>
    <col min="12294" max="12294" width="21.42578125" style="119" customWidth="1"/>
    <col min="12295" max="12295" width="9.140625" style="119"/>
    <col min="12296" max="12296" width="12.28515625" style="119" customWidth="1"/>
    <col min="12297" max="12544" width="9.140625" style="119"/>
    <col min="12545" max="12545" width="4.42578125" style="119" customWidth="1"/>
    <col min="12546" max="12546" width="5.7109375" style="119" customWidth="1"/>
    <col min="12547" max="12547" width="8.42578125" style="119" customWidth="1"/>
    <col min="12548" max="12548" width="6.5703125" style="119" customWidth="1"/>
    <col min="12549" max="12549" width="47.42578125" style="119" customWidth="1"/>
    <col min="12550" max="12550" width="21.42578125" style="119" customWidth="1"/>
    <col min="12551" max="12551" width="9.140625" style="119"/>
    <col min="12552" max="12552" width="12.28515625" style="119" customWidth="1"/>
    <col min="12553" max="12800" width="9.140625" style="119"/>
    <col min="12801" max="12801" width="4.42578125" style="119" customWidth="1"/>
    <col min="12802" max="12802" width="5.7109375" style="119" customWidth="1"/>
    <col min="12803" max="12803" width="8.42578125" style="119" customWidth="1"/>
    <col min="12804" max="12804" width="6.5703125" style="119" customWidth="1"/>
    <col min="12805" max="12805" width="47.42578125" style="119" customWidth="1"/>
    <col min="12806" max="12806" width="21.42578125" style="119" customWidth="1"/>
    <col min="12807" max="12807" width="9.140625" style="119"/>
    <col min="12808" max="12808" width="12.28515625" style="119" customWidth="1"/>
    <col min="12809" max="13056" width="9.140625" style="119"/>
    <col min="13057" max="13057" width="4.42578125" style="119" customWidth="1"/>
    <col min="13058" max="13058" width="5.7109375" style="119" customWidth="1"/>
    <col min="13059" max="13059" width="8.42578125" style="119" customWidth="1"/>
    <col min="13060" max="13060" width="6.5703125" style="119" customWidth="1"/>
    <col min="13061" max="13061" width="47.42578125" style="119" customWidth="1"/>
    <col min="13062" max="13062" width="21.42578125" style="119" customWidth="1"/>
    <col min="13063" max="13063" width="9.140625" style="119"/>
    <col min="13064" max="13064" width="12.28515625" style="119" customWidth="1"/>
    <col min="13065" max="13312" width="9.140625" style="119"/>
    <col min="13313" max="13313" width="4.42578125" style="119" customWidth="1"/>
    <col min="13314" max="13314" width="5.7109375" style="119" customWidth="1"/>
    <col min="13315" max="13315" width="8.42578125" style="119" customWidth="1"/>
    <col min="13316" max="13316" width="6.5703125" style="119" customWidth="1"/>
    <col min="13317" max="13317" width="47.42578125" style="119" customWidth="1"/>
    <col min="13318" max="13318" width="21.42578125" style="119" customWidth="1"/>
    <col min="13319" max="13319" width="9.140625" style="119"/>
    <col min="13320" max="13320" width="12.28515625" style="119" customWidth="1"/>
    <col min="13321" max="13568" width="9.140625" style="119"/>
    <col min="13569" max="13569" width="4.42578125" style="119" customWidth="1"/>
    <col min="13570" max="13570" width="5.7109375" style="119" customWidth="1"/>
    <col min="13571" max="13571" width="8.42578125" style="119" customWidth="1"/>
    <col min="13572" max="13572" width="6.5703125" style="119" customWidth="1"/>
    <col min="13573" max="13573" width="47.42578125" style="119" customWidth="1"/>
    <col min="13574" max="13574" width="21.42578125" style="119" customWidth="1"/>
    <col min="13575" max="13575" width="9.140625" style="119"/>
    <col min="13576" max="13576" width="12.28515625" style="119" customWidth="1"/>
    <col min="13577" max="13824" width="9.140625" style="119"/>
    <col min="13825" max="13825" width="4.42578125" style="119" customWidth="1"/>
    <col min="13826" max="13826" width="5.7109375" style="119" customWidth="1"/>
    <col min="13827" max="13827" width="8.42578125" style="119" customWidth="1"/>
    <col min="13828" max="13828" width="6.5703125" style="119" customWidth="1"/>
    <col min="13829" max="13829" width="47.42578125" style="119" customWidth="1"/>
    <col min="13830" max="13830" width="21.42578125" style="119" customWidth="1"/>
    <col min="13831" max="13831" width="9.140625" style="119"/>
    <col min="13832" max="13832" width="12.28515625" style="119" customWidth="1"/>
    <col min="13833" max="14080" width="9.140625" style="119"/>
    <col min="14081" max="14081" width="4.42578125" style="119" customWidth="1"/>
    <col min="14082" max="14082" width="5.7109375" style="119" customWidth="1"/>
    <col min="14083" max="14083" width="8.42578125" style="119" customWidth="1"/>
    <col min="14084" max="14084" width="6.5703125" style="119" customWidth="1"/>
    <col min="14085" max="14085" width="47.42578125" style="119" customWidth="1"/>
    <col min="14086" max="14086" width="21.42578125" style="119" customWidth="1"/>
    <col min="14087" max="14087" width="9.140625" style="119"/>
    <col min="14088" max="14088" width="12.28515625" style="119" customWidth="1"/>
    <col min="14089" max="14336" width="9.140625" style="119"/>
    <col min="14337" max="14337" width="4.42578125" style="119" customWidth="1"/>
    <col min="14338" max="14338" width="5.7109375" style="119" customWidth="1"/>
    <col min="14339" max="14339" width="8.42578125" style="119" customWidth="1"/>
    <col min="14340" max="14340" width="6.5703125" style="119" customWidth="1"/>
    <col min="14341" max="14341" width="47.42578125" style="119" customWidth="1"/>
    <col min="14342" max="14342" width="21.42578125" style="119" customWidth="1"/>
    <col min="14343" max="14343" width="9.140625" style="119"/>
    <col min="14344" max="14344" width="12.28515625" style="119" customWidth="1"/>
    <col min="14345" max="14592" width="9.140625" style="119"/>
    <col min="14593" max="14593" width="4.42578125" style="119" customWidth="1"/>
    <col min="14594" max="14594" width="5.7109375" style="119" customWidth="1"/>
    <col min="14595" max="14595" width="8.42578125" style="119" customWidth="1"/>
    <col min="14596" max="14596" width="6.5703125" style="119" customWidth="1"/>
    <col min="14597" max="14597" width="47.42578125" style="119" customWidth="1"/>
    <col min="14598" max="14598" width="21.42578125" style="119" customWidth="1"/>
    <col min="14599" max="14599" width="9.140625" style="119"/>
    <col min="14600" max="14600" width="12.28515625" style="119" customWidth="1"/>
    <col min="14601" max="14848" width="9.140625" style="119"/>
    <col min="14849" max="14849" width="4.42578125" style="119" customWidth="1"/>
    <col min="14850" max="14850" width="5.7109375" style="119" customWidth="1"/>
    <col min="14851" max="14851" width="8.42578125" style="119" customWidth="1"/>
    <col min="14852" max="14852" width="6.5703125" style="119" customWidth="1"/>
    <col min="14853" max="14853" width="47.42578125" style="119" customWidth="1"/>
    <col min="14854" max="14854" width="21.42578125" style="119" customWidth="1"/>
    <col min="14855" max="14855" width="9.140625" style="119"/>
    <col min="14856" max="14856" width="12.28515625" style="119" customWidth="1"/>
    <col min="14857" max="15104" width="9.140625" style="119"/>
    <col min="15105" max="15105" width="4.42578125" style="119" customWidth="1"/>
    <col min="15106" max="15106" width="5.7109375" style="119" customWidth="1"/>
    <col min="15107" max="15107" width="8.42578125" style="119" customWidth="1"/>
    <col min="15108" max="15108" width="6.5703125" style="119" customWidth="1"/>
    <col min="15109" max="15109" width="47.42578125" style="119" customWidth="1"/>
    <col min="15110" max="15110" width="21.42578125" style="119" customWidth="1"/>
    <col min="15111" max="15111" width="9.140625" style="119"/>
    <col min="15112" max="15112" width="12.28515625" style="119" customWidth="1"/>
    <col min="15113" max="15360" width="9.140625" style="119"/>
    <col min="15361" max="15361" width="4.42578125" style="119" customWidth="1"/>
    <col min="15362" max="15362" width="5.7109375" style="119" customWidth="1"/>
    <col min="15363" max="15363" width="8.42578125" style="119" customWidth="1"/>
    <col min="15364" max="15364" width="6.5703125" style="119" customWidth="1"/>
    <col min="15365" max="15365" width="47.42578125" style="119" customWidth="1"/>
    <col min="15366" max="15366" width="21.42578125" style="119" customWidth="1"/>
    <col min="15367" max="15367" width="9.140625" style="119"/>
    <col min="15368" max="15368" width="12.28515625" style="119" customWidth="1"/>
    <col min="15369" max="15616" width="9.140625" style="119"/>
    <col min="15617" max="15617" width="4.42578125" style="119" customWidth="1"/>
    <col min="15618" max="15618" width="5.7109375" style="119" customWidth="1"/>
    <col min="15619" max="15619" width="8.42578125" style="119" customWidth="1"/>
    <col min="15620" max="15620" width="6.5703125" style="119" customWidth="1"/>
    <col min="15621" max="15621" width="47.42578125" style="119" customWidth="1"/>
    <col min="15622" max="15622" width="21.42578125" style="119" customWidth="1"/>
    <col min="15623" max="15623" width="9.140625" style="119"/>
    <col min="15624" max="15624" width="12.28515625" style="119" customWidth="1"/>
    <col min="15625" max="15872" width="9.140625" style="119"/>
    <col min="15873" max="15873" width="4.42578125" style="119" customWidth="1"/>
    <col min="15874" max="15874" width="5.7109375" style="119" customWidth="1"/>
    <col min="15875" max="15875" width="8.42578125" style="119" customWidth="1"/>
    <col min="15876" max="15876" width="6.5703125" style="119" customWidth="1"/>
    <col min="15877" max="15877" width="47.42578125" style="119" customWidth="1"/>
    <col min="15878" max="15878" width="21.42578125" style="119" customWidth="1"/>
    <col min="15879" max="15879" width="9.140625" style="119"/>
    <col min="15880" max="15880" width="12.28515625" style="119" customWidth="1"/>
    <col min="15881" max="16128" width="9.140625" style="119"/>
    <col min="16129" max="16129" width="4.42578125" style="119" customWidth="1"/>
    <col min="16130" max="16130" width="5.7109375" style="119" customWidth="1"/>
    <col min="16131" max="16131" width="8.42578125" style="119" customWidth="1"/>
    <col min="16132" max="16132" width="6.5703125" style="119" customWidth="1"/>
    <col min="16133" max="16133" width="47.42578125" style="119" customWidth="1"/>
    <col min="16134" max="16134" width="21.42578125" style="119" customWidth="1"/>
    <col min="16135" max="16135" width="9.140625" style="119"/>
    <col min="16136" max="16136" width="12.28515625" style="119" customWidth="1"/>
    <col min="16137" max="16384" width="9.140625" style="119"/>
  </cols>
  <sheetData>
    <row r="1" spans="1:8" ht="13.5" customHeight="1" x14ac:dyDescent="0.2">
      <c r="E1" s="136"/>
      <c r="F1" s="137" t="s">
        <v>323</v>
      </c>
    </row>
    <row r="2" spans="1:8" x14ac:dyDescent="0.2">
      <c r="E2" s="136"/>
      <c r="F2" s="3" t="s">
        <v>449</v>
      </c>
    </row>
    <row r="3" spans="1:8" x14ac:dyDescent="0.2">
      <c r="E3" s="136"/>
      <c r="F3" s="3" t="s">
        <v>0</v>
      </c>
    </row>
    <row r="4" spans="1:8" x14ac:dyDescent="0.2">
      <c r="E4" s="136"/>
      <c r="F4" s="3" t="s">
        <v>450</v>
      </c>
    </row>
    <row r="5" spans="1:8" ht="18.75" customHeight="1" x14ac:dyDescent="0.2">
      <c r="E5" s="121"/>
    </row>
    <row r="6" spans="1:8" ht="13.5" customHeight="1" x14ac:dyDescent="0.2">
      <c r="A6" s="138" t="s">
        <v>175</v>
      </c>
      <c r="B6" s="138"/>
      <c r="C6" s="138"/>
      <c r="D6" s="139"/>
      <c r="E6" s="138"/>
      <c r="F6" s="138"/>
    </row>
    <row r="7" spans="1:8" ht="14.25" customHeight="1" x14ac:dyDescent="0.2">
      <c r="A7" s="138" t="s">
        <v>187</v>
      </c>
      <c r="B7" s="138"/>
      <c r="C7" s="138"/>
      <c r="D7" s="139"/>
      <c r="E7" s="138"/>
      <c r="F7" s="138"/>
    </row>
    <row r="8" spans="1:8" ht="17.25" customHeight="1" x14ac:dyDescent="0.2">
      <c r="A8" s="140"/>
      <c r="B8" s="140"/>
      <c r="C8" s="140"/>
      <c r="D8" s="141"/>
      <c r="E8" s="140"/>
      <c r="F8" s="142" t="s">
        <v>2</v>
      </c>
    </row>
    <row r="9" spans="1:8" ht="20.25" customHeight="1" x14ac:dyDescent="0.2">
      <c r="A9" s="143" t="s">
        <v>176</v>
      </c>
      <c r="B9" s="143" t="s">
        <v>177</v>
      </c>
      <c r="C9" s="143" t="s">
        <v>178</v>
      </c>
      <c r="D9" s="144" t="s">
        <v>179</v>
      </c>
      <c r="E9" s="145" t="s">
        <v>180</v>
      </c>
      <c r="F9" s="143" t="s">
        <v>181</v>
      </c>
    </row>
    <row r="10" spans="1:8" s="149" customFormat="1" ht="9.75" customHeight="1" x14ac:dyDescent="0.2">
      <c r="A10" s="146">
        <v>1</v>
      </c>
      <c r="B10" s="146">
        <v>2</v>
      </c>
      <c r="C10" s="146">
        <v>3</v>
      </c>
      <c r="D10" s="147">
        <v>4</v>
      </c>
      <c r="E10" s="148">
        <v>5</v>
      </c>
      <c r="F10" s="146">
        <v>6</v>
      </c>
    </row>
    <row r="11" spans="1:8" ht="17.25" customHeight="1" x14ac:dyDescent="0.2">
      <c r="A11" s="588" t="s">
        <v>182</v>
      </c>
      <c r="B11" s="589"/>
      <c r="C11" s="589"/>
      <c r="D11" s="150"/>
      <c r="E11" s="589"/>
      <c r="F11" s="590"/>
    </row>
    <row r="12" spans="1:8" ht="24" customHeight="1" x14ac:dyDescent="0.2">
      <c r="A12" s="151">
        <v>1</v>
      </c>
      <c r="B12" s="151">
        <v>600</v>
      </c>
      <c r="C12" s="151">
        <v>60095</v>
      </c>
      <c r="D12" s="152">
        <v>6230</v>
      </c>
      <c r="E12" s="124" t="s">
        <v>188</v>
      </c>
      <c r="F12" s="127">
        <v>200000</v>
      </c>
    </row>
    <row r="13" spans="1:8" ht="17.25" customHeight="1" x14ac:dyDescent="0.2">
      <c r="A13" s="151">
        <v>2</v>
      </c>
      <c r="B13" s="151">
        <v>700</v>
      </c>
      <c r="C13" s="151">
        <v>70095</v>
      </c>
      <c r="D13" s="128">
        <v>6230</v>
      </c>
      <c r="E13" s="153" t="s">
        <v>189</v>
      </c>
      <c r="F13" s="154">
        <v>1500000</v>
      </c>
      <c r="G13" s="155"/>
    </row>
    <row r="14" spans="1:8" ht="26.25" customHeight="1" x14ac:dyDescent="0.2">
      <c r="A14" s="156">
        <v>3</v>
      </c>
      <c r="B14" s="156">
        <v>750</v>
      </c>
      <c r="C14" s="156">
        <v>75095</v>
      </c>
      <c r="D14" s="157">
        <v>2820</v>
      </c>
      <c r="E14" s="158" t="s">
        <v>190</v>
      </c>
      <c r="F14" s="130">
        <v>90000</v>
      </c>
      <c r="H14" s="125"/>
    </row>
    <row r="15" spans="1:8" ht="26.25" customHeight="1" x14ac:dyDescent="0.2">
      <c r="A15" s="156">
        <v>4</v>
      </c>
      <c r="B15" s="156">
        <v>750</v>
      </c>
      <c r="C15" s="156">
        <v>75095</v>
      </c>
      <c r="D15" s="159" t="s">
        <v>191</v>
      </c>
      <c r="E15" s="158" t="s">
        <v>192</v>
      </c>
      <c r="F15" s="130">
        <f>20033.52+113523.25</f>
        <v>133556.76999999999</v>
      </c>
      <c r="H15" s="125"/>
    </row>
    <row r="16" spans="1:8" ht="15.75" customHeight="1" x14ac:dyDescent="0.2">
      <c r="A16" s="156">
        <v>5</v>
      </c>
      <c r="B16" s="156">
        <v>755</v>
      </c>
      <c r="C16" s="156">
        <v>75515</v>
      </c>
      <c r="D16" s="157">
        <v>2820</v>
      </c>
      <c r="E16" s="158" t="s">
        <v>193</v>
      </c>
      <c r="F16" s="154">
        <v>128040</v>
      </c>
      <c r="H16" s="125"/>
    </row>
    <row r="17" spans="1:8" ht="15.75" customHeight="1" x14ac:dyDescent="0.2">
      <c r="A17" s="126">
        <v>6</v>
      </c>
      <c r="B17" s="126">
        <v>801</v>
      </c>
      <c r="C17" s="131">
        <v>80101</v>
      </c>
      <c r="D17" s="160">
        <v>2340</v>
      </c>
      <c r="E17" s="161" t="s">
        <v>70</v>
      </c>
      <c r="F17" s="127">
        <f>1182.91+1343.84+1213.79+1344+1300+1344+1300+1344</f>
        <v>10372.540000000001</v>
      </c>
      <c r="H17" s="125"/>
    </row>
    <row r="18" spans="1:8" ht="24" customHeight="1" x14ac:dyDescent="0.2">
      <c r="A18" s="162"/>
      <c r="B18" s="163"/>
      <c r="C18" s="164"/>
      <c r="D18" s="157"/>
      <c r="E18" s="165" t="s">
        <v>194</v>
      </c>
      <c r="F18" s="166"/>
      <c r="H18" s="125"/>
    </row>
    <row r="19" spans="1:8" ht="15.75" customHeight="1" x14ac:dyDescent="0.2">
      <c r="A19" s="126">
        <v>7</v>
      </c>
      <c r="B19" s="126">
        <v>801</v>
      </c>
      <c r="C19" s="131">
        <v>80104</v>
      </c>
      <c r="D19" s="160">
        <v>2340</v>
      </c>
      <c r="E19" s="161" t="s">
        <v>97</v>
      </c>
      <c r="F19" s="127">
        <f>10372.44+5081.41+5625+5444+5625+5991+5598</f>
        <v>43736.85</v>
      </c>
      <c r="H19" s="125"/>
    </row>
    <row r="20" spans="1:8" ht="15.75" customHeight="1" x14ac:dyDescent="0.2">
      <c r="A20" s="162"/>
      <c r="B20" s="163"/>
      <c r="C20" s="164"/>
      <c r="D20" s="167"/>
      <c r="E20" s="168" t="s">
        <v>195</v>
      </c>
      <c r="F20" s="166"/>
      <c r="H20" s="125"/>
    </row>
    <row r="21" spans="1:8" ht="15.75" customHeight="1" x14ac:dyDescent="0.2">
      <c r="A21" s="169"/>
      <c r="B21" s="136"/>
      <c r="C21" s="170"/>
      <c r="D21" s="171"/>
      <c r="E21" s="172" t="s">
        <v>196</v>
      </c>
      <c r="F21" s="173"/>
      <c r="H21" s="125"/>
    </row>
    <row r="22" spans="1:8" ht="15.75" customHeight="1" x14ac:dyDescent="0.2">
      <c r="A22" s="169"/>
      <c r="B22" s="136"/>
      <c r="C22" s="170"/>
      <c r="D22" s="171"/>
      <c r="E22" s="174" t="s">
        <v>197</v>
      </c>
      <c r="F22" s="173"/>
      <c r="H22" s="125"/>
    </row>
    <row r="23" spans="1:8" ht="15.75" customHeight="1" x14ac:dyDescent="0.2">
      <c r="A23" s="169"/>
      <c r="B23" s="136"/>
      <c r="C23" s="170"/>
      <c r="D23" s="171"/>
      <c r="E23" s="175" t="s">
        <v>198</v>
      </c>
      <c r="F23" s="173"/>
      <c r="H23" s="125"/>
    </row>
    <row r="24" spans="1:8" ht="15.75" customHeight="1" x14ac:dyDescent="0.2">
      <c r="A24" s="169"/>
      <c r="B24" s="136"/>
      <c r="C24" s="170"/>
      <c r="D24" s="171"/>
      <c r="E24" s="176" t="s">
        <v>199</v>
      </c>
      <c r="F24" s="173"/>
      <c r="H24" s="125"/>
    </row>
    <row r="25" spans="1:8" ht="15.75" customHeight="1" x14ac:dyDescent="0.2">
      <c r="A25" s="177"/>
      <c r="B25" s="134"/>
      <c r="C25" s="132"/>
      <c r="D25" s="178"/>
      <c r="E25" s="179" t="s">
        <v>200</v>
      </c>
      <c r="F25" s="180"/>
      <c r="H25" s="125"/>
    </row>
    <row r="26" spans="1:8" ht="15.75" customHeight="1" x14ac:dyDescent="0.2">
      <c r="A26" s="126">
        <v>8</v>
      </c>
      <c r="B26" s="126">
        <v>801</v>
      </c>
      <c r="C26" s="131">
        <v>80117</v>
      </c>
      <c r="D26" s="160">
        <v>2340</v>
      </c>
      <c r="E26" s="161" t="s">
        <v>103</v>
      </c>
      <c r="F26" s="127">
        <f>741.67+861+776+10353+828+796-8665+856</f>
        <v>6546.67</v>
      </c>
      <c r="H26" s="125"/>
    </row>
    <row r="27" spans="1:8" ht="15.75" customHeight="1" x14ac:dyDescent="0.2">
      <c r="A27" s="181"/>
      <c r="B27" s="182"/>
      <c r="C27" s="133"/>
      <c r="D27" s="178"/>
      <c r="E27" s="183" t="s">
        <v>201</v>
      </c>
      <c r="F27" s="127"/>
      <c r="H27" s="125"/>
    </row>
    <row r="28" spans="1:8" ht="15.75" customHeight="1" x14ac:dyDescent="0.2">
      <c r="A28" s="126">
        <v>9</v>
      </c>
      <c r="B28" s="126">
        <v>801</v>
      </c>
      <c r="C28" s="131">
        <v>80120</v>
      </c>
      <c r="D28" s="160">
        <v>2340</v>
      </c>
      <c r="E28" s="161" t="s">
        <v>104</v>
      </c>
      <c r="F28" s="127">
        <f>8442.4+10140+9354+859+9992+9982+19497+10331</f>
        <v>78597.399999999994</v>
      </c>
      <c r="H28" s="125"/>
    </row>
    <row r="29" spans="1:8" ht="23.25" customHeight="1" x14ac:dyDescent="0.2">
      <c r="A29" s="169"/>
      <c r="B29" s="136"/>
      <c r="C29" s="170"/>
      <c r="D29" s="171"/>
      <c r="E29" s="184" t="s">
        <v>202</v>
      </c>
      <c r="F29" s="173"/>
      <c r="H29" s="125"/>
    </row>
    <row r="30" spans="1:8" ht="24.75" customHeight="1" x14ac:dyDescent="0.2">
      <c r="A30" s="177"/>
      <c r="B30" s="134"/>
      <c r="C30" s="132"/>
      <c r="D30" s="178"/>
      <c r="E30" s="185" t="s">
        <v>203</v>
      </c>
      <c r="F30" s="180"/>
      <c r="H30" s="125"/>
    </row>
    <row r="31" spans="1:8" ht="48" customHeight="1" x14ac:dyDescent="0.2">
      <c r="A31" s="186">
        <v>10</v>
      </c>
      <c r="B31" s="186">
        <v>801</v>
      </c>
      <c r="C31" s="186">
        <v>80153</v>
      </c>
      <c r="D31" s="591" t="s">
        <v>204</v>
      </c>
      <c r="E31" s="187" t="s">
        <v>527</v>
      </c>
      <c r="F31" s="188">
        <f>85604.57+27.23+27.23-27.23</f>
        <v>85631.8</v>
      </c>
      <c r="H31" s="125"/>
    </row>
    <row r="32" spans="1:8" ht="12.75" customHeight="1" x14ac:dyDescent="0.2">
      <c r="A32" s="189"/>
      <c r="B32" s="189"/>
      <c r="C32" s="189"/>
      <c r="D32" s="592"/>
      <c r="E32" s="190" t="s">
        <v>205</v>
      </c>
      <c r="F32" s="191"/>
      <c r="H32" s="125"/>
    </row>
    <row r="33" spans="1:8" ht="12.75" customHeight="1" x14ac:dyDescent="0.2">
      <c r="A33" s="192"/>
      <c r="B33" s="192"/>
      <c r="C33" s="192"/>
      <c r="D33" s="593"/>
      <c r="E33" s="193" t="s">
        <v>206</v>
      </c>
      <c r="F33" s="194"/>
      <c r="H33" s="125"/>
    </row>
    <row r="34" spans="1:8" ht="24.75" customHeight="1" x14ac:dyDescent="0.2">
      <c r="A34" s="192"/>
      <c r="B34" s="192"/>
      <c r="C34" s="192"/>
      <c r="D34" s="593"/>
      <c r="E34" s="195" t="s">
        <v>207</v>
      </c>
      <c r="F34" s="196"/>
      <c r="H34" s="125"/>
    </row>
    <row r="35" spans="1:8" ht="12.75" customHeight="1" x14ac:dyDescent="0.2">
      <c r="A35" s="197"/>
      <c r="B35" s="197"/>
      <c r="C35" s="197"/>
      <c r="D35" s="594"/>
      <c r="E35" s="198" t="s">
        <v>208</v>
      </c>
      <c r="F35" s="199"/>
      <c r="H35" s="125"/>
    </row>
    <row r="36" spans="1:8" ht="36" customHeight="1" x14ac:dyDescent="0.2">
      <c r="A36" s="200">
        <v>11</v>
      </c>
      <c r="B36" s="200">
        <v>801</v>
      </c>
      <c r="C36" s="200">
        <v>80195</v>
      </c>
      <c r="D36" s="178">
        <v>2827</v>
      </c>
      <c r="E36" s="201" t="s">
        <v>209</v>
      </c>
      <c r="F36" s="130">
        <f>14126-4851.46+30717+265865.03-48827.21+120444.72</f>
        <v>377474.08</v>
      </c>
      <c r="H36" s="125"/>
    </row>
    <row r="37" spans="1:8" ht="15" customHeight="1" x14ac:dyDescent="0.2">
      <c r="A37" s="156">
        <v>12</v>
      </c>
      <c r="B37" s="156">
        <v>851</v>
      </c>
      <c r="C37" s="156">
        <v>85153</v>
      </c>
      <c r="D37" s="178">
        <v>2820</v>
      </c>
      <c r="E37" s="202" t="s">
        <v>210</v>
      </c>
      <c r="F37" s="203">
        <v>60000</v>
      </c>
      <c r="H37" s="125"/>
    </row>
    <row r="38" spans="1:8" ht="36" customHeight="1" x14ac:dyDescent="0.2">
      <c r="A38" s="156">
        <v>13</v>
      </c>
      <c r="B38" s="156">
        <v>851</v>
      </c>
      <c r="C38" s="156">
        <v>85154</v>
      </c>
      <c r="D38" s="157">
        <v>2820</v>
      </c>
      <c r="E38" s="158" t="s">
        <v>211</v>
      </c>
      <c r="F38" s="130">
        <f>500000+40000</f>
        <v>540000</v>
      </c>
    </row>
    <row r="39" spans="1:8" ht="24.75" customHeight="1" x14ac:dyDescent="0.2">
      <c r="A39" s="156">
        <v>14</v>
      </c>
      <c r="B39" s="156">
        <v>851</v>
      </c>
      <c r="C39" s="204">
        <v>85195</v>
      </c>
      <c r="D39" s="157">
        <v>2820</v>
      </c>
      <c r="E39" s="158" t="s">
        <v>212</v>
      </c>
      <c r="F39" s="130">
        <v>67500</v>
      </c>
    </row>
    <row r="40" spans="1:8" ht="24.75" customHeight="1" x14ac:dyDescent="0.2">
      <c r="A40" s="205">
        <v>15</v>
      </c>
      <c r="B40" s="206">
        <v>852</v>
      </c>
      <c r="C40" s="207">
        <v>85228</v>
      </c>
      <c r="D40" s="167">
        <v>2820</v>
      </c>
      <c r="E40" s="208" t="s">
        <v>213</v>
      </c>
      <c r="F40" s="130">
        <f>F41+F42</f>
        <v>10066730</v>
      </c>
    </row>
    <row r="41" spans="1:8" ht="13.5" customHeight="1" x14ac:dyDescent="0.2">
      <c r="A41" s="209" t="s">
        <v>214</v>
      </c>
      <c r="B41" s="206"/>
      <c r="C41" s="207"/>
      <c r="D41" s="167"/>
      <c r="E41" s="208" t="s">
        <v>215</v>
      </c>
      <c r="F41" s="210">
        <f>7600000-413770</f>
        <v>7186230</v>
      </c>
    </row>
    <row r="42" spans="1:8" ht="13.5" customHeight="1" x14ac:dyDescent="0.2">
      <c r="A42" s="209" t="s">
        <v>216</v>
      </c>
      <c r="B42" s="206"/>
      <c r="C42" s="207"/>
      <c r="D42" s="167"/>
      <c r="E42" s="208" t="s">
        <v>217</v>
      </c>
      <c r="F42" s="210">
        <v>2880500</v>
      </c>
    </row>
    <row r="43" spans="1:8" ht="25.5" customHeight="1" x14ac:dyDescent="0.2">
      <c r="A43" s="156">
        <v>16</v>
      </c>
      <c r="B43" s="156">
        <v>852</v>
      </c>
      <c r="C43" s="156">
        <v>85295</v>
      </c>
      <c r="D43" s="157">
        <v>2820</v>
      </c>
      <c r="E43" s="158" t="s">
        <v>218</v>
      </c>
      <c r="F43" s="154">
        <f>1742700+187270</f>
        <v>1929970</v>
      </c>
    </row>
    <row r="44" spans="1:8" ht="26.25" customHeight="1" x14ac:dyDescent="0.2">
      <c r="A44" s="156">
        <v>17</v>
      </c>
      <c r="B44" s="156">
        <v>852</v>
      </c>
      <c r="C44" s="156">
        <v>85295</v>
      </c>
      <c r="D44" s="157">
        <v>2827</v>
      </c>
      <c r="E44" s="158" t="s">
        <v>219</v>
      </c>
      <c r="F44" s="130">
        <f>115543.68+289564.4</f>
        <v>405108.08</v>
      </c>
    </row>
    <row r="45" spans="1:8" ht="26.25" customHeight="1" x14ac:dyDescent="0.2">
      <c r="A45" s="156">
        <v>18</v>
      </c>
      <c r="B45" s="156">
        <v>853</v>
      </c>
      <c r="C45" s="156">
        <v>85395</v>
      </c>
      <c r="D45" s="157">
        <v>2820</v>
      </c>
      <c r="E45" s="158" t="s">
        <v>220</v>
      </c>
      <c r="F45" s="130">
        <v>20000</v>
      </c>
    </row>
    <row r="46" spans="1:8" ht="34.5" customHeight="1" x14ac:dyDescent="0.2">
      <c r="A46" s="156">
        <v>19</v>
      </c>
      <c r="B46" s="156">
        <v>853</v>
      </c>
      <c r="C46" s="156">
        <v>85395</v>
      </c>
      <c r="D46" s="159" t="s">
        <v>191</v>
      </c>
      <c r="E46" s="158" t="s">
        <v>192</v>
      </c>
      <c r="F46" s="130">
        <f>27806.52+157570.3+35322.49+200160.75</f>
        <v>420860.05999999994</v>
      </c>
    </row>
    <row r="47" spans="1:8" ht="15.75" customHeight="1" x14ac:dyDescent="0.2">
      <c r="A47" s="211">
        <v>20</v>
      </c>
      <c r="B47" s="211">
        <v>855</v>
      </c>
      <c r="C47" s="211">
        <v>85510</v>
      </c>
      <c r="D47" s="212">
        <v>2830</v>
      </c>
      <c r="E47" s="208" t="s">
        <v>143</v>
      </c>
      <c r="F47" s="154">
        <f>2508000+243500</f>
        <v>2751500</v>
      </c>
    </row>
    <row r="48" spans="1:8" ht="22.5" customHeight="1" x14ac:dyDescent="0.2">
      <c r="A48" s="156">
        <v>21</v>
      </c>
      <c r="B48" s="156">
        <v>900</v>
      </c>
      <c r="C48" s="156">
        <v>90005</v>
      </c>
      <c r="D48" s="157">
        <v>6230</v>
      </c>
      <c r="E48" s="158" t="s">
        <v>221</v>
      </c>
      <c r="F48" s="154">
        <f>F49+F50</f>
        <v>600000</v>
      </c>
    </row>
    <row r="49" spans="1:8" ht="15" customHeight="1" x14ac:dyDescent="0.2">
      <c r="A49" s="213" t="s">
        <v>222</v>
      </c>
      <c r="B49" s="156"/>
      <c r="C49" s="156"/>
      <c r="D49" s="157"/>
      <c r="E49" s="214" t="s">
        <v>223</v>
      </c>
      <c r="F49" s="215">
        <v>300000</v>
      </c>
    </row>
    <row r="50" spans="1:8" ht="13.5" customHeight="1" x14ac:dyDescent="0.2">
      <c r="A50" s="213" t="s">
        <v>224</v>
      </c>
      <c r="B50" s="156"/>
      <c r="C50" s="156"/>
      <c r="D50" s="157"/>
      <c r="E50" s="214" t="s">
        <v>225</v>
      </c>
      <c r="F50" s="215">
        <v>300000</v>
      </c>
    </row>
    <row r="51" spans="1:8" ht="15.75" customHeight="1" x14ac:dyDescent="0.2">
      <c r="A51" s="211">
        <v>22</v>
      </c>
      <c r="B51" s="211">
        <v>921</v>
      </c>
      <c r="C51" s="211">
        <v>92120</v>
      </c>
      <c r="D51" s="212">
        <v>2720</v>
      </c>
      <c r="E51" s="216" t="s">
        <v>226</v>
      </c>
      <c r="F51" s="154">
        <v>600000</v>
      </c>
    </row>
    <row r="52" spans="1:8" ht="36.75" customHeight="1" x14ac:dyDescent="0.2">
      <c r="A52" s="156">
        <v>23</v>
      </c>
      <c r="B52" s="156">
        <v>921</v>
      </c>
      <c r="C52" s="156">
        <v>92195</v>
      </c>
      <c r="D52" s="159" t="s">
        <v>227</v>
      </c>
      <c r="E52" s="158" t="s">
        <v>228</v>
      </c>
      <c r="F52" s="217">
        <v>222000</v>
      </c>
    </row>
    <row r="53" spans="1:8" ht="35.25" customHeight="1" x14ac:dyDescent="0.2">
      <c r="A53" s="156">
        <v>24</v>
      </c>
      <c r="B53" s="156">
        <v>921</v>
      </c>
      <c r="C53" s="156">
        <v>92195</v>
      </c>
      <c r="D53" s="159" t="s">
        <v>191</v>
      </c>
      <c r="E53" s="158" t="s">
        <v>229</v>
      </c>
      <c r="F53" s="130">
        <f>48080.44+272455.82</f>
        <v>320536.26</v>
      </c>
    </row>
    <row r="54" spans="1:8" ht="36.75" customHeight="1" x14ac:dyDescent="0.2">
      <c r="A54" s="156">
        <v>25</v>
      </c>
      <c r="B54" s="156">
        <v>926</v>
      </c>
      <c r="C54" s="156">
        <v>92605</v>
      </c>
      <c r="D54" s="159" t="s">
        <v>230</v>
      </c>
      <c r="E54" s="129" t="s">
        <v>231</v>
      </c>
      <c r="F54" s="130">
        <f>1936300+200000+2200-2200</f>
        <v>2136300</v>
      </c>
    </row>
    <row r="55" spans="1:8" ht="49.5" customHeight="1" x14ac:dyDescent="0.2">
      <c r="A55" s="218">
        <v>26</v>
      </c>
      <c r="B55" s="156">
        <v>926</v>
      </c>
      <c r="C55" s="156">
        <v>92605</v>
      </c>
      <c r="D55" s="159" t="s">
        <v>232</v>
      </c>
      <c r="E55" s="129" t="s">
        <v>233</v>
      </c>
      <c r="F55" s="130">
        <f>16026.81+90818.61+8013.4+45409.31-8013.4-45409.31</f>
        <v>106845.42000000001</v>
      </c>
    </row>
    <row r="56" spans="1:8" ht="15" customHeight="1" x14ac:dyDescent="0.2">
      <c r="A56" s="595"/>
      <c r="B56" s="596"/>
      <c r="C56" s="596"/>
      <c r="D56" s="150"/>
      <c r="E56" s="596" t="s">
        <v>234</v>
      </c>
      <c r="F56" s="597">
        <f>F55+F54+F53+F52+F51+F48+F47+F46+F45+F44+F43+F40+F39+F38+F37+F31+F28+F26+F19+F17+F36+F16+F15+F14+F13+F12</f>
        <v>22901305.93</v>
      </c>
      <c r="H56" s="125"/>
    </row>
    <row r="57" spans="1:8" ht="17.25" customHeight="1" x14ac:dyDescent="0.2">
      <c r="A57" s="588" t="s">
        <v>183</v>
      </c>
      <c r="B57" s="589"/>
      <c r="C57" s="589"/>
      <c r="D57" s="150"/>
      <c r="E57" s="589"/>
      <c r="F57" s="590"/>
    </row>
    <row r="58" spans="1:8" ht="17.25" customHeight="1" x14ac:dyDescent="0.2">
      <c r="A58" s="143" t="s">
        <v>176</v>
      </c>
      <c r="B58" s="143" t="s">
        <v>177</v>
      </c>
      <c r="C58" s="143" t="s">
        <v>178</v>
      </c>
      <c r="D58" s="157"/>
      <c r="E58" s="219" t="s">
        <v>235</v>
      </c>
      <c r="F58" s="143" t="s">
        <v>181</v>
      </c>
    </row>
    <row r="59" spans="1:8" ht="24" customHeight="1" x14ac:dyDescent="0.2">
      <c r="A59" s="156">
        <v>1</v>
      </c>
      <c r="B59" s="156">
        <v>801</v>
      </c>
      <c r="C59" s="156">
        <v>80101</v>
      </c>
      <c r="D59" s="220" t="s">
        <v>236</v>
      </c>
      <c r="E59" s="221" t="s">
        <v>70</v>
      </c>
      <c r="F59" s="154">
        <f>2602394+5833078</f>
        <v>8435472</v>
      </c>
    </row>
    <row r="60" spans="1:8" ht="16.5" customHeight="1" x14ac:dyDescent="0.2">
      <c r="A60" s="222"/>
      <c r="B60" s="223"/>
      <c r="C60" s="224"/>
      <c r="D60" s="167"/>
      <c r="E60" s="225" t="s">
        <v>237</v>
      </c>
      <c r="F60" s="226"/>
    </row>
    <row r="61" spans="1:8" ht="15" customHeight="1" x14ac:dyDescent="0.2">
      <c r="A61" s="227"/>
      <c r="B61" s="228"/>
      <c r="C61" s="229"/>
      <c r="D61" s="171"/>
      <c r="E61" s="230" t="s">
        <v>238</v>
      </c>
      <c r="F61" s="231"/>
      <c r="G61" s="232"/>
    </row>
    <row r="62" spans="1:8" ht="26.25" customHeight="1" x14ac:dyDescent="0.2">
      <c r="A62" s="227"/>
      <c r="B62" s="228"/>
      <c r="C62" s="229"/>
      <c r="D62" s="171"/>
      <c r="E62" s="233" t="s">
        <v>239</v>
      </c>
      <c r="F62" s="231"/>
    </row>
    <row r="63" spans="1:8" ht="27" customHeight="1" x14ac:dyDescent="0.2">
      <c r="A63" s="227"/>
      <c r="B63" s="228"/>
      <c r="C63" s="229"/>
      <c r="D63" s="171"/>
      <c r="E63" s="233" t="s">
        <v>194</v>
      </c>
      <c r="F63" s="231"/>
    </row>
    <row r="64" spans="1:8" ht="14.25" customHeight="1" x14ac:dyDescent="0.2">
      <c r="A64" s="227"/>
      <c r="B64" s="228"/>
      <c r="C64" s="229"/>
      <c r="D64" s="171"/>
      <c r="E64" s="234" t="s">
        <v>206</v>
      </c>
      <c r="F64" s="231"/>
    </row>
    <row r="65" spans="1:6" ht="24" customHeight="1" x14ac:dyDescent="0.2">
      <c r="A65" s="235"/>
      <c r="B65" s="236"/>
      <c r="C65" s="237"/>
      <c r="D65" s="178"/>
      <c r="E65" s="238" t="s">
        <v>207</v>
      </c>
      <c r="F65" s="203"/>
    </row>
    <row r="66" spans="1:6" ht="15" customHeight="1" x14ac:dyDescent="0.2">
      <c r="A66" s="211">
        <v>2</v>
      </c>
      <c r="B66" s="211">
        <v>801</v>
      </c>
      <c r="C66" s="211">
        <v>80103</v>
      </c>
      <c r="D66" s="212">
        <v>2540</v>
      </c>
      <c r="E66" s="239" t="s">
        <v>240</v>
      </c>
      <c r="F66" s="154">
        <f>152496</f>
        <v>152496</v>
      </c>
    </row>
    <row r="67" spans="1:6" ht="27" customHeight="1" x14ac:dyDescent="0.2">
      <c r="A67" s="227"/>
      <c r="B67" s="228"/>
      <c r="C67" s="229"/>
      <c r="D67" s="171"/>
      <c r="E67" s="240" t="s">
        <v>239</v>
      </c>
      <c r="F67" s="226"/>
    </row>
    <row r="68" spans="1:6" ht="15" customHeight="1" x14ac:dyDescent="0.2">
      <c r="A68" s="235"/>
      <c r="B68" s="236"/>
      <c r="C68" s="237"/>
      <c r="D68" s="178"/>
      <c r="E68" s="236" t="s">
        <v>206</v>
      </c>
      <c r="F68" s="203"/>
    </row>
    <row r="69" spans="1:6" ht="26.25" customHeight="1" x14ac:dyDescent="0.2">
      <c r="A69" s="156">
        <v>3</v>
      </c>
      <c r="B69" s="156">
        <v>801</v>
      </c>
      <c r="C69" s="156">
        <v>80104</v>
      </c>
      <c r="D69" s="159" t="s">
        <v>236</v>
      </c>
      <c r="E69" s="221" t="s">
        <v>97</v>
      </c>
      <c r="F69" s="217">
        <f>7360256+2051055-50000</f>
        <v>9361311</v>
      </c>
    </row>
    <row r="70" spans="1:6" ht="15.2" customHeight="1" x14ac:dyDescent="0.2">
      <c r="A70" s="222"/>
      <c r="B70" s="223"/>
      <c r="C70" s="224"/>
      <c r="D70" s="167"/>
      <c r="E70" s="225" t="s">
        <v>197</v>
      </c>
      <c r="F70" s="226"/>
    </row>
    <row r="71" spans="1:6" ht="15.2" customHeight="1" x14ac:dyDescent="0.2">
      <c r="A71" s="227"/>
      <c r="B71" s="228"/>
      <c r="C71" s="229"/>
      <c r="D71" s="171"/>
      <c r="E71" s="241" t="s">
        <v>195</v>
      </c>
      <c r="F71" s="231"/>
    </row>
    <row r="72" spans="1:6" ht="15.2" customHeight="1" x14ac:dyDescent="0.2">
      <c r="A72" s="235"/>
      <c r="B72" s="236"/>
      <c r="C72" s="237"/>
      <c r="D72" s="178"/>
      <c r="E72" s="242" t="s">
        <v>196</v>
      </c>
      <c r="F72" s="243"/>
    </row>
    <row r="73" spans="1:6" ht="23.25" customHeight="1" x14ac:dyDescent="0.2">
      <c r="A73" s="227"/>
      <c r="B73" s="228"/>
      <c r="C73" s="229"/>
      <c r="D73" s="244"/>
      <c r="E73" s="245" t="s">
        <v>241</v>
      </c>
      <c r="F73" s="246"/>
    </row>
    <row r="74" spans="1:6" ht="15.2" customHeight="1" x14ac:dyDescent="0.2">
      <c r="A74" s="227"/>
      <c r="B74" s="228"/>
      <c r="C74" s="229"/>
      <c r="D74" s="171"/>
      <c r="E74" s="241" t="s">
        <v>242</v>
      </c>
      <c r="F74" s="231"/>
    </row>
    <row r="75" spans="1:6" ht="15.2" customHeight="1" x14ac:dyDescent="0.2">
      <c r="A75" s="227"/>
      <c r="B75" s="228"/>
      <c r="C75" s="229"/>
      <c r="D75" s="171"/>
      <c r="E75" s="233" t="s">
        <v>243</v>
      </c>
      <c r="F75" s="231"/>
    </row>
    <row r="76" spans="1:6" ht="15.2" customHeight="1" x14ac:dyDescent="0.2">
      <c r="A76" s="227"/>
      <c r="B76" s="228"/>
      <c r="C76" s="229"/>
      <c r="D76" s="171"/>
      <c r="E76" s="233" t="s">
        <v>244</v>
      </c>
      <c r="F76" s="231"/>
    </row>
    <row r="77" spans="1:6" ht="15.2" customHeight="1" x14ac:dyDescent="0.2">
      <c r="A77" s="227"/>
      <c r="B77" s="228"/>
      <c r="C77" s="229"/>
      <c r="D77" s="171"/>
      <c r="E77" s="241" t="s">
        <v>199</v>
      </c>
      <c r="F77" s="231"/>
    </row>
    <row r="78" spans="1:6" ht="15.2" customHeight="1" x14ac:dyDescent="0.2">
      <c r="A78" s="227"/>
      <c r="B78" s="228"/>
      <c r="C78" s="229"/>
      <c r="D78" s="171"/>
      <c r="E78" s="241" t="s">
        <v>245</v>
      </c>
      <c r="F78" s="231"/>
    </row>
    <row r="79" spans="1:6" ht="15.2" customHeight="1" x14ac:dyDescent="0.2">
      <c r="A79" s="227"/>
      <c r="B79" s="228"/>
      <c r="C79" s="229"/>
      <c r="D79" s="171"/>
      <c r="E79" s="233" t="s">
        <v>246</v>
      </c>
      <c r="F79" s="231"/>
    </row>
    <row r="80" spans="1:6" ht="15.2" customHeight="1" x14ac:dyDescent="0.2">
      <c r="A80" s="227"/>
      <c r="B80" s="228"/>
      <c r="C80" s="229"/>
      <c r="D80" s="171"/>
      <c r="E80" s="247" t="s">
        <v>198</v>
      </c>
      <c r="F80" s="231"/>
    </row>
    <row r="81" spans="1:6" ht="15.2" customHeight="1" x14ac:dyDescent="0.2">
      <c r="A81" s="227"/>
      <c r="B81" s="228"/>
      <c r="C81" s="229"/>
      <c r="D81" s="171"/>
      <c r="E81" s="248" t="s">
        <v>200</v>
      </c>
      <c r="F81" s="246"/>
    </row>
    <row r="82" spans="1:6" ht="15.2" customHeight="1" x14ac:dyDescent="0.2">
      <c r="A82" s="227"/>
      <c r="B82" s="228"/>
      <c r="C82" s="229"/>
      <c r="D82" s="171"/>
      <c r="E82" s="234" t="s">
        <v>247</v>
      </c>
      <c r="F82" s="231"/>
    </row>
    <row r="83" spans="1:6" ht="15.2" customHeight="1" x14ac:dyDescent="0.2">
      <c r="A83" s="227"/>
      <c r="B83" s="228"/>
      <c r="C83" s="229"/>
      <c r="D83" s="171"/>
      <c r="E83" s="234" t="s">
        <v>248</v>
      </c>
      <c r="F83" s="231"/>
    </row>
    <row r="84" spans="1:6" ht="15.2" customHeight="1" x14ac:dyDescent="0.2">
      <c r="A84" s="235"/>
      <c r="B84" s="236"/>
      <c r="C84" s="237"/>
      <c r="D84" s="178"/>
      <c r="E84" s="249" t="s">
        <v>249</v>
      </c>
      <c r="F84" s="203"/>
    </row>
    <row r="85" spans="1:6" ht="17.25" customHeight="1" x14ac:dyDescent="0.2">
      <c r="A85" s="156">
        <v>4</v>
      </c>
      <c r="B85" s="156">
        <v>801</v>
      </c>
      <c r="C85" s="156">
        <v>80106</v>
      </c>
      <c r="D85" s="157">
        <v>2540</v>
      </c>
      <c r="E85" s="250" t="s">
        <v>250</v>
      </c>
      <c r="F85" s="130">
        <v>70572</v>
      </c>
    </row>
    <row r="86" spans="1:6" ht="16.5" customHeight="1" x14ac:dyDescent="0.2">
      <c r="A86" s="227"/>
      <c r="B86" s="228"/>
      <c r="C86" s="229"/>
      <c r="D86" s="167"/>
      <c r="E86" s="251" t="s">
        <v>251</v>
      </c>
      <c r="F86" s="252"/>
    </row>
    <row r="87" spans="1:6" ht="13.5" customHeight="1" x14ac:dyDescent="0.2">
      <c r="A87" s="211">
        <v>5</v>
      </c>
      <c r="B87" s="211">
        <v>801</v>
      </c>
      <c r="C87" s="211">
        <v>80115</v>
      </c>
      <c r="D87" s="157">
        <v>2540</v>
      </c>
      <c r="E87" s="239" t="s">
        <v>100</v>
      </c>
      <c r="F87" s="154">
        <f>2702384</f>
        <v>2702384</v>
      </c>
    </row>
    <row r="88" spans="1:6" ht="28.5" customHeight="1" x14ac:dyDescent="0.2">
      <c r="A88" s="216"/>
      <c r="B88" s="239"/>
      <c r="C88" s="253"/>
      <c r="D88" s="157"/>
      <c r="E88" s="254" t="s">
        <v>252</v>
      </c>
      <c r="F88" s="154"/>
    </row>
    <row r="89" spans="1:6" ht="13.5" customHeight="1" x14ac:dyDescent="0.2">
      <c r="A89" s="211">
        <v>6</v>
      </c>
      <c r="B89" s="211">
        <v>801</v>
      </c>
      <c r="C89" s="211">
        <v>80116</v>
      </c>
      <c r="D89" s="157">
        <v>2540</v>
      </c>
      <c r="E89" s="239" t="s">
        <v>102</v>
      </c>
      <c r="F89" s="154">
        <v>5194583</v>
      </c>
    </row>
    <row r="90" spans="1:6" ht="15" customHeight="1" x14ac:dyDescent="0.2">
      <c r="A90" s="222"/>
      <c r="B90" s="223"/>
      <c r="C90" s="224"/>
      <c r="D90" s="167"/>
      <c r="E90" s="255" t="s">
        <v>253</v>
      </c>
      <c r="F90" s="226"/>
    </row>
    <row r="91" spans="1:6" ht="25.5" customHeight="1" x14ac:dyDescent="0.2">
      <c r="A91" s="227"/>
      <c r="B91" s="228"/>
      <c r="C91" s="229"/>
      <c r="D91" s="171"/>
      <c r="E91" s="230" t="s">
        <v>254</v>
      </c>
      <c r="F91" s="231"/>
    </row>
    <row r="92" spans="1:6" ht="13.5" customHeight="1" x14ac:dyDescent="0.2">
      <c r="A92" s="227"/>
      <c r="B92" s="228"/>
      <c r="C92" s="229"/>
      <c r="D92" s="171"/>
      <c r="E92" s="234" t="s">
        <v>255</v>
      </c>
      <c r="F92" s="231"/>
    </row>
    <row r="93" spans="1:6" ht="25.5" customHeight="1" x14ac:dyDescent="0.2">
      <c r="A93" s="227"/>
      <c r="B93" s="228"/>
      <c r="C93" s="229"/>
      <c r="D93" s="171"/>
      <c r="E93" s="256" t="s">
        <v>256</v>
      </c>
      <c r="F93" s="246"/>
    </row>
    <row r="94" spans="1:6" ht="27.75" customHeight="1" x14ac:dyDescent="0.2">
      <c r="A94" s="227"/>
      <c r="B94" s="228"/>
      <c r="C94" s="229"/>
      <c r="D94" s="171"/>
      <c r="E94" s="230" t="s">
        <v>257</v>
      </c>
      <c r="F94" s="231"/>
    </row>
    <row r="95" spans="1:6" ht="15.75" customHeight="1" x14ac:dyDescent="0.2">
      <c r="A95" s="227"/>
      <c r="B95" s="228"/>
      <c r="C95" s="229"/>
      <c r="D95" s="171"/>
      <c r="E95" s="234" t="s">
        <v>258</v>
      </c>
      <c r="F95" s="231"/>
    </row>
    <row r="96" spans="1:6" ht="15" customHeight="1" x14ac:dyDescent="0.2">
      <c r="A96" s="227"/>
      <c r="B96" s="228"/>
      <c r="C96" s="229"/>
      <c r="D96" s="244"/>
      <c r="E96" s="257" t="s">
        <v>259</v>
      </c>
      <c r="F96" s="231"/>
    </row>
    <row r="97" spans="1:6" ht="15" customHeight="1" x14ac:dyDescent="0.2">
      <c r="A97" s="227"/>
      <c r="B97" s="228"/>
      <c r="C97" s="229"/>
      <c r="D97" s="244"/>
      <c r="E97" s="258" t="s">
        <v>260</v>
      </c>
      <c r="F97" s="246"/>
    </row>
    <row r="98" spans="1:6" ht="15.75" customHeight="1" x14ac:dyDescent="0.2">
      <c r="A98" s="227"/>
      <c r="B98" s="228"/>
      <c r="C98" s="229"/>
      <c r="D98" s="244"/>
      <c r="E98" s="248" t="s">
        <v>261</v>
      </c>
      <c r="F98" s="246"/>
    </row>
    <row r="99" spans="1:6" ht="27" customHeight="1" x14ac:dyDescent="0.2">
      <c r="A99" s="235"/>
      <c r="B99" s="236"/>
      <c r="C99" s="237"/>
      <c r="D99" s="178"/>
      <c r="E99" s="238" t="s">
        <v>262</v>
      </c>
      <c r="F99" s="203"/>
    </row>
    <row r="100" spans="1:6" ht="24.75" customHeight="1" x14ac:dyDescent="0.2">
      <c r="A100" s="156">
        <v>7</v>
      </c>
      <c r="B100" s="156">
        <v>801</v>
      </c>
      <c r="C100" s="156">
        <v>80117</v>
      </c>
      <c r="D100" s="159" t="s">
        <v>236</v>
      </c>
      <c r="E100" s="221" t="s">
        <v>103</v>
      </c>
      <c r="F100" s="154">
        <f>1606616+1004162</f>
        <v>2610778</v>
      </c>
    </row>
    <row r="101" spans="1:6" ht="28.5" customHeight="1" x14ac:dyDescent="0.2">
      <c r="A101" s="227"/>
      <c r="B101" s="228"/>
      <c r="C101" s="229"/>
      <c r="D101" s="171"/>
      <c r="E101" s="256" t="s">
        <v>263</v>
      </c>
      <c r="F101" s="246"/>
    </row>
    <row r="102" spans="1:6" ht="26.25" customHeight="1" x14ac:dyDescent="0.2">
      <c r="A102" s="227"/>
      <c r="B102" s="228"/>
      <c r="C102" s="229"/>
      <c r="D102" s="171"/>
      <c r="E102" s="259" t="s">
        <v>264</v>
      </c>
      <c r="F102" s="231"/>
    </row>
    <row r="103" spans="1:6" ht="25.5" customHeight="1" x14ac:dyDescent="0.2">
      <c r="A103" s="227"/>
      <c r="B103" s="228"/>
      <c r="C103" s="229"/>
      <c r="D103" s="171"/>
      <c r="E103" s="238" t="s">
        <v>265</v>
      </c>
      <c r="F103" s="252"/>
    </row>
    <row r="104" spans="1:6" ht="27" customHeight="1" x14ac:dyDescent="0.2">
      <c r="A104" s="156">
        <v>8</v>
      </c>
      <c r="B104" s="156">
        <v>801</v>
      </c>
      <c r="C104" s="156">
        <v>80120</v>
      </c>
      <c r="D104" s="159" t="s">
        <v>236</v>
      </c>
      <c r="E104" s="221" t="s">
        <v>104</v>
      </c>
      <c r="F104" s="154">
        <f>3353811+3084625-100000</f>
        <v>6338436</v>
      </c>
    </row>
    <row r="105" spans="1:6" ht="16.5" customHeight="1" x14ac:dyDescent="0.2">
      <c r="A105" s="227"/>
      <c r="B105" s="228"/>
      <c r="C105" s="229"/>
      <c r="D105" s="171"/>
      <c r="E105" s="230" t="s">
        <v>266</v>
      </c>
      <c r="F105" s="231"/>
    </row>
    <row r="106" spans="1:6" ht="24.75" customHeight="1" x14ac:dyDescent="0.2">
      <c r="A106" s="227"/>
      <c r="B106" s="228"/>
      <c r="C106" s="229"/>
      <c r="D106" s="244"/>
      <c r="E106" s="230" t="s">
        <v>267</v>
      </c>
      <c r="F106" s="231"/>
    </row>
    <row r="107" spans="1:6" ht="24" customHeight="1" x14ac:dyDescent="0.2">
      <c r="A107" s="227"/>
      <c r="B107" s="228"/>
      <c r="C107" s="229"/>
      <c r="D107" s="244"/>
      <c r="E107" s="260" t="s">
        <v>268</v>
      </c>
      <c r="F107" s="231"/>
    </row>
    <row r="108" spans="1:6" ht="25.5" customHeight="1" x14ac:dyDescent="0.2">
      <c r="A108" s="227"/>
      <c r="B108" s="228"/>
      <c r="C108" s="229"/>
      <c r="D108" s="171"/>
      <c r="E108" s="230" t="s">
        <v>269</v>
      </c>
      <c r="F108" s="231"/>
    </row>
    <row r="109" spans="1:6" ht="25.5" customHeight="1" x14ac:dyDescent="0.2">
      <c r="A109" s="235"/>
      <c r="B109" s="236"/>
      <c r="C109" s="237"/>
      <c r="D109" s="178"/>
      <c r="E109" s="242" t="s">
        <v>270</v>
      </c>
      <c r="F109" s="243"/>
    </row>
    <row r="110" spans="1:6" ht="25.5" customHeight="1" x14ac:dyDescent="0.2">
      <c r="A110" s="227"/>
      <c r="B110" s="228"/>
      <c r="C110" s="229"/>
      <c r="D110" s="171"/>
      <c r="E110" s="261" t="s">
        <v>202</v>
      </c>
      <c r="F110" s="246"/>
    </row>
    <row r="111" spans="1:6" ht="26.25" customHeight="1" x14ac:dyDescent="0.2">
      <c r="A111" s="227"/>
      <c r="B111" s="228"/>
      <c r="C111" s="229"/>
      <c r="D111" s="171"/>
      <c r="E111" s="233" t="s">
        <v>203</v>
      </c>
      <c r="F111" s="231"/>
    </row>
    <row r="112" spans="1:6" ht="15" customHeight="1" x14ac:dyDescent="0.2">
      <c r="A112" s="227"/>
      <c r="B112" s="228"/>
      <c r="C112" s="229"/>
      <c r="D112" s="171"/>
      <c r="E112" s="234" t="s">
        <v>271</v>
      </c>
      <c r="F112" s="231"/>
    </row>
    <row r="113" spans="1:6" ht="15.75" customHeight="1" x14ac:dyDescent="0.2">
      <c r="A113" s="235"/>
      <c r="B113" s="236"/>
      <c r="C113" s="237"/>
      <c r="D113" s="178"/>
      <c r="E113" s="249" t="s">
        <v>272</v>
      </c>
      <c r="F113" s="203"/>
    </row>
    <row r="114" spans="1:6" ht="51" customHeight="1" x14ac:dyDescent="0.2">
      <c r="A114" s="156">
        <v>9</v>
      </c>
      <c r="B114" s="156">
        <v>801</v>
      </c>
      <c r="C114" s="156">
        <v>80149</v>
      </c>
      <c r="D114" s="159" t="s">
        <v>236</v>
      </c>
      <c r="E114" s="250" t="s">
        <v>273</v>
      </c>
      <c r="F114" s="130">
        <f>2272895+24507+59523.68</f>
        <v>2356925.6800000002</v>
      </c>
    </row>
    <row r="115" spans="1:6" ht="28.5" customHeight="1" x14ac:dyDescent="0.2">
      <c r="A115" s="222"/>
      <c r="B115" s="223"/>
      <c r="C115" s="224"/>
      <c r="D115" s="262"/>
      <c r="E115" s="263" t="s">
        <v>274</v>
      </c>
      <c r="F115" s="226"/>
    </row>
    <row r="116" spans="1:6" ht="15.2" customHeight="1" x14ac:dyDescent="0.2">
      <c r="A116" s="227"/>
      <c r="B116" s="228"/>
      <c r="C116" s="229"/>
      <c r="D116" s="171"/>
      <c r="E116" s="233" t="s">
        <v>198</v>
      </c>
      <c r="F116" s="231"/>
    </row>
    <row r="117" spans="1:6" ht="15.2" customHeight="1" x14ac:dyDescent="0.2">
      <c r="A117" s="227"/>
      <c r="B117" s="228"/>
      <c r="C117" s="229"/>
      <c r="D117" s="171"/>
      <c r="E117" s="233" t="s">
        <v>275</v>
      </c>
      <c r="F117" s="231"/>
    </row>
    <row r="118" spans="1:6" ht="15.2" customHeight="1" x14ac:dyDescent="0.2">
      <c r="A118" s="227"/>
      <c r="B118" s="228"/>
      <c r="C118" s="229"/>
      <c r="D118" s="171"/>
      <c r="E118" s="264" t="s">
        <v>197</v>
      </c>
      <c r="F118" s="246"/>
    </row>
    <row r="119" spans="1:6" ht="15.2" customHeight="1" x14ac:dyDescent="0.2">
      <c r="A119" s="227"/>
      <c r="B119" s="228"/>
      <c r="C119" s="229"/>
      <c r="D119" s="171"/>
      <c r="E119" s="241" t="s">
        <v>196</v>
      </c>
      <c r="F119" s="231"/>
    </row>
    <row r="120" spans="1:6" ht="15.2" customHeight="1" x14ac:dyDescent="0.2">
      <c r="A120" s="227"/>
      <c r="B120" s="228"/>
      <c r="C120" s="229"/>
      <c r="D120" s="171"/>
      <c r="E120" s="233" t="s">
        <v>276</v>
      </c>
      <c r="F120" s="231"/>
    </row>
    <row r="121" spans="1:6" ht="15.2" customHeight="1" x14ac:dyDescent="0.2">
      <c r="A121" s="227"/>
      <c r="B121" s="228"/>
      <c r="C121" s="229"/>
      <c r="D121" s="171"/>
      <c r="E121" s="233" t="s">
        <v>277</v>
      </c>
      <c r="F121" s="231"/>
    </row>
    <row r="122" spans="1:6" ht="15.2" customHeight="1" x14ac:dyDescent="0.2">
      <c r="A122" s="227"/>
      <c r="B122" s="228"/>
      <c r="C122" s="229"/>
      <c r="D122" s="171"/>
      <c r="E122" s="233" t="s">
        <v>244</v>
      </c>
      <c r="F122" s="231"/>
    </row>
    <row r="123" spans="1:6" ht="15.2" customHeight="1" x14ac:dyDescent="0.2">
      <c r="A123" s="227"/>
      <c r="B123" s="228"/>
      <c r="C123" s="229"/>
      <c r="D123" s="265"/>
      <c r="E123" s="241" t="s">
        <v>199</v>
      </c>
      <c r="F123" s="231"/>
    </row>
    <row r="124" spans="1:6" ht="15.2" customHeight="1" x14ac:dyDescent="0.2">
      <c r="A124" s="227"/>
      <c r="B124" s="228"/>
      <c r="C124" s="229"/>
      <c r="D124" s="171"/>
      <c r="E124" s="241" t="s">
        <v>195</v>
      </c>
      <c r="F124" s="231"/>
    </row>
    <row r="125" spans="1:6" ht="15.2" customHeight="1" x14ac:dyDescent="0.2">
      <c r="A125" s="227"/>
      <c r="B125" s="228"/>
      <c r="C125" s="229"/>
      <c r="D125" s="171"/>
      <c r="E125" s="261" t="s">
        <v>249</v>
      </c>
      <c r="F125" s="246"/>
    </row>
    <row r="126" spans="1:6" ht="15.2" customHeight="1" x14ac:dyDescent="0.2">
      <c r="A126" s="235"/>
      <c r="B126" s="236"/>
      <c r="C126" s="237"/>
      <c r="D126" s="178"/>
      <c r="E126" s="266" t="s">
        <v>247</v>
      </c>
      <c r="F126" s="203"/>
    </row>
    <row r="127" spans="1:6" ht="39" customHeight="1" x14ac:dyDescent="0.2">
      <c r="A127" s="156">
        <v>10</v>
      </c>
      <c r="B127" s="156">
        <v>801</v>
      </c>
      <c r="C127" s="156">
        <v>80150</v>
      </c>
      <c r="D127" s="159" t="s">
        <v>236</v>
      </c>
      <c r="E127" s="250" t="s">
        <v>278</v>
      </c>
      <c r="F127" s="130">
        <f>158853+90670+100000+100000+100000</f>
        <v>549523</v>
      </c>
    </row>
    <row r="128" spans="1:6" ht="25.5" customHeight="1" x14ac:dyDescent="0.2">
      <c r="A128" s="227"/>
      <c r="B128" s="228"/>
      <c r="C128" s="229"/>
      <c r="D128" s="171"/>
      <c r="E128" s="230" t="s">
        <v>279</v>
      </c>
      <c r="F128" s="231"/>
    </row>
    <row r="129" spans="1:7" ht="16.5" customHeight="1" x14ac:dyDescent="0.2">
      <c r="A129" s="227"/>
      <c r="B129" s="228"/>
      <c r="C129" s="229"/>
      <c r="D129" s="267"/>
      <c r="E129" s="165" t="s">
        <v>206</v>
      </c>
      <c r="F129" s="231"/>
    </row>
    <row r="130" spans="1:7" ht="16.5" customHeight="1" x14ac:dyDescent="0.2">
      <c r="A130" s="227"/>
      <c r="B130" s="228"/>
      <c r="C130" s="229"/>
      <c r="D130" s="171"/>
      <c r="E130" s="261" t="s">
        <v>237</v>
      </c>
      <c r="F130" s="246"/>
    </row>
    <row r="131" spans="1:7" ht="15.75" customHeight="1" x14ac:dyDescent="0.2">
      <c r="A131" s="235"/>
      <c r="B131" s="236"/>
      <c r="C131" s="237"/>
      <c r="D131" s="178"/>
      <c r="E131" s="238" t="s">
        <v>238</v>
      </c>
      <c r="F131" s="203"/>
      <c r="G131" s="232"/>
    </row>
    <row r="132" spans="1:7" ht="13.5" customHeight="1" x14ac:dyDescent="0.2">
      <c r="A132" s="211">
        <v>11</v>
      </c>
      <c r="B132" s="211">
        <v>801</v>
      </c>
      <c r="C132" s="211">
        <v>80151</v>
      </c>
      <c r="D132" s="157">
        <v>2540</v>
      </c>
      <c r="E132" s="239" t="s">
        <v>117</v>
      </c>
      <c r="F132" s="154">
        <f>60410</f>
        <v>60410</v>
      </c>
    </row>
    <row r="133" spans="1:7" ht="15.2" customHeight="1" x14ac:dyDescent="0.2">
      <c r="A133" s="222"/>
      <c r="B133" s="223"/>
      <c r="C133" s="224"/>
      <c r="D133" s="262"/>
      <c r="E133" s="255" t="s">
        <v>280</v>
      </c>
      <c r="F133" s="226"/>
    </row>
    <row r="134" spans="1:7" ht="15.2" customHeight="1" x14ac:dyDescent="0.2">
      <c r="A134" s="235"/>
      <c r="B134" s="236"/>
      <c r="C134" s="237"/>
      <c r="D134" s="268"/>
      <c r="E134" s="249" t="s">
        <v>281</v>
      </c>
      <c r="F134" s="203"/>
    </row>
    <row r="135" spans="1:7" ht="102" customHeight="1" x14ac:dyDescent="0.2">
      <c r="A135" s="156">
        <v>12</v>
      </c>
      <c r="B135" s="156">
        <v>801</v>
      </c>
      <c r="C135" s="156">
        <v>80152</v>
      </c>
      <c r="D135" s="159" t="s">
        <v>236</v>
      </c>
      <c r="E135" s="250" t="s">
        <v>282</v>
      </c>
      <c r="F135" s="130">
        <f>221339+382609+100000+100000</f>
        <v>803948</v>
      </c>
    </row>
    <row r="136" spans="1:7" ht="15" customHeight="1" x14ac:dyDescent="0.2">
      <c r="A136" s="222"/>
      <c r="B136" s="223"/>
      <c r="C136" s="224"/>
      <c r="D136" s="167"/>
      <c r="E136" s="269" t="s">
        <v>283</v>
      </c>
      <c r="F136" s="226"/>
    </row>
    <row r="137" spans="1:7" ht="24.75" customHeight="1" x14ac:dyDescent="0.2">
      <c r="A137" s="227"/>
      <c r="B137" s="228"/>
      <c r="C137" s="229"/>
      <c r="D137" s="171"/>
      <c r="E137" s="256" t="s">
        <v>263</v>
      </c>
      <c r="F137" s="246"/>
    </row>
    <row r="138" spans="1:7" ht="15" customHeight="1" x14ac:dyDescent="0.2">
      <c r="A138" s="227"/>
      <c r="B138" s="228"/>
      <c r="C138" s="229"/>
      <c r="D138" s="171"/>
      <c r="E138" s="241" t="s">
        <v>272</v>
      </c>
      <c r="F138" s="231"/>
    </row>
    <row r="139" spans="1:7" ht="22.9" customHeight="1" x14ac:dyDescent="0.2">
      <c r="A139" s="227"/>
      <c r="B139" s="228"/>
      <c r="C139" s="229"/>
      <c r="D139" s="171"/>
      <c r="E139" s="270" t="s">
        <v>252</v>
      </c>
      <c r="F139" s="231"/>
    </row>
    <row r="140" spans="1:7" ht="24.75" customHeight="1" x14ac:dyDescent="0.2">
      <c r="A140" s="227"/>
      <c r="B140" s="228"/>
      <c r="C140" s="229"/>
      <c r="D140" s="171"/>
      <c r="E140" s="233" t="s">
        <v>203</v>
      </c>
      <c r="F140" s="231"/>
    </row>
    <row r="141" spans="1:7" ht="24" customHeight="1" x14ac:dyDescent="0.2">
      <c r="A141" s="235"/>
      <c r="B141" s="236"/>
      <c r="C141" s="237"/>
      <c r="D141" s="178"/>
      <c r="E141" s="238" t="s">
        <v>265</v>
      </c>
      <c r="F141" s="203"/>
    </row>
    <row r="142" spans="1:7" ht="15.75" customHeight="1" x14ac:dyDescent="0.2">
      <c r="A142" s="271">
        <v>13</v>
      </c>
      <c r="B142" s="271">
        <v>853</v>
      </c>
      <c r="C142" s="271">
        <v>85311</v>
      </c>
      <c r="D142" s="212">
        <v>2580</v>
      </c>
      <c r="E142" s="236" t="s">
        <v>284</v>
      </c>
      <c r="F142" s="203">
        <f>230801+15000</f>
        <v>245801</v>
      </c>
    </row>
    <row r="143" spans="1:7" ht="18" customHeight="1" x14ac:dyDescent="0.2">
      <c r="A143" s="216"/>
      <c r="B143" s="239"/>
      <c r="C143" s="237"/>
      <c r="D143" s="178"/>
      <c r="E143" s="236" t="s">
        <v>285</v>
      </c>
      <c r="F143" s="203"/>
    </row>
    <row r="144" spans="1:7" ht="15.75" customHeight="1" x14ac:dyDescent="0.2">
      <c r="A144" s="211">
        <v>14</v>
      </c>
      <c r="B144" s="211">
        <v>854</v>
      </c>
      <c r="C144" s="211">
        <v>85402</v>
      </c>
      <c r="D144" s="212">
        <v>2540</v>
      </c>
      <c r="E144" s="239" t="s">
        <v>286</v>
      </c>
      <c r="F144" s="154">
        <f>984049</f>
        <v>984049</v>
      </c>
    </row>
    <row r="145" spans="1:6" ht="22.5" customHeight="1" x14ac:dyDescent="0.2">
      <c r="A145" s="216"/>
      <c r="B145" s="239"/>
      <c r="C145" s="253"/>
      <c r="D145" s="157"/>
      <c r="E145" s="250" t="s">
        <v>287</v>
      </c>
      <c r="F145" s="154"/>
    </row>
    <row r="146" spans="1:6" ht="15.75" customHeight="1" x14ac:dyDescent="0.2">
      <c r="A146" s="211">
        <v>15</v>
      </c>
      <c r="B146" s="211">
        <v>854</v>
      </c>
      <c r="C146" s="211">
        <v>85404</v>
      </c>
      <c r="D146" s="128">
        <v>2540</v>
      </c>
      <c r="E146" s="239" t="s">
        <v>288</v>
      </c>
      <c r="F146" s="154">
        <f>534790+50000</f>
        <v>584790</v>
      </c>
    </row>
    <row r="147" spans="1:6" ht="15" customHeight="1" x14ac:dyDescent="0.2">
      <c r="A147" s="227"/>
      <c r="B147" s="228"/>
      <c r="C147" s="229"/>
      <c r="D147" s="171"/>
      <c r="E147" s="234" t="s">
        <v>247</v>
      </c>
      <c r="F147" s="246"/>
    </row>
    <row r="148" spans="1:6" ht="13.5" customHeight="1" x14ac:dyDescent="0.2">
      <c r="A148" s="227"/>
      <c r="B148" s="228"/>
      <c r="C148" s="229"/>
      <c r="D148" s="171"/>
      <c r="E148" s="272" t="s">
        <v>196</v>
      </c>
      <c r="F148" s="231"/>
    </row>
    <row r="149" spans="1:6" ht="24.75" customHeight="1" x14ac:dyDescent="0.2">
      <c r="A149" s="227"/>
      <c r="B149" s="228"/>
      <c r="C149" s="229"/>
      <c r="D149" s="244"/>
      <c r="E149" s="245" t="s">
        <v>274</v>
      </c>
      <c r="F149" s="231"/>
    </row>
    <row r="150" spans="1:6" ht="13.5" customHeight="1" x14ac:dyDescent="0.2">
      <c r="A150" s="227"/>
      <c r="B150" s="228"/>
      <c r="C150" s="229"/>
      <c r="D150" s="171"/>
      <c r="E150" s="233" t="s">
        <v>275</v>
      </c>
      <c r="F150" s="231"/>
    </row>
    <row r="151" spans="1:6" ht="13.5" customHeight="1" x14ac:dyDescent="0.2">
      <c r="A151" s="227"/>
      <c r="B151" s="228"/>
      <c r="C151" s="229"/>
      <c r="D151" s="171"/>
      <c r="E151" s="241" t="s">
        <v>199</v>
      </c>
      <c r="F151" s="231"/>
    </row>
    <row r="152" spans="1:6" ht="13.5" customHeight="1" x14ac:dyDescent="0.2">
      <c r="A152" s="227"/>
      <c r="B152" s="228"/>
      <c r="C152" s="229"/>
      <c r="D152" s="171"/>
      <c r="E152" s="233" t="s">
        <v>276</v>
      </c>
      <c r="F152" s="231"/>
    </row>
    <row r="153" spans="1:6" ht="13.5" customHeight="1" x14ac:dyDescent="0.2">
      <c r="A153" s="227"/>
      <c r="B153" s="228"/>
      <c r="C153" s="229"/>
      <c r="D153" s="171"/>
      <c r="E153" s="233" t="s">
        <v>244</v>
      </c>
      <c r="F153" s="231"/>
    </row>
    <row r="154" spans="1:6" ht="13.5" customHeight="1" x14ac:dyDescent="0.2">
      <c r="A154" s="227"/>
      <c r="B154" s="228"/>
      <c r="C154" s="229"/>
      <c r="D154" s="171"/>
      <c r="E154" s="264" t="s">
        <v>197</v>
      </c>
      <c r="F154" s="246"/>
    </row>
    <row r="155" spans="1:6" ht="14.25" customHeight="1" x14ac:dyDescent="0.2">
      <c r="A155" s="227"/>
      <c r="B155" s="228"/>
      <c r="C155" s="229"/>
      <c r="D155" s="171"/>
      <c r="E155" s="233" t="s">
        <v>277</v>
      </c>
      <c r="F155" s="231"/>
    </row>
    <row r="156" spans="1:6" ht="14.25" customHeight="1" x14ac:dyDescent="0.2">
      <c r="A156" s="235"/>
      <c r="B156" s="236"/>
      <c r="C156" s="237"/>
      <c r="D156" s="171"/>
      <c r="E156" s="264" t="s">
        <v>195</v>
      </c>
      <c r="F156" s="203"/>
    </row>
    <row r="157" spans="1:6" ht="25.5" customHeight="1" x14ac:dyDescent="0.2">
      <c r="A157" s="200">
        <v>16</v>
      </c>
      <c r="B157" s="200">
        <v>854</v>
      </c>
      <c r="C157" s="200">
        <v>85406</v>
      </c>
      <c r="D157" s="157">
        <v>2540</v>
      </c>
      <c r="E157" s="273" t="s">
        <v>289</v>
      </c>
      <c r="F157" s="154">
        <f>60974</f>
        <v>60974</v>
      </c>
    </row>
    <row r="158" spans="1:6" ht="15.75" customHeight="1" x14ac:dyDescent="0.2">
      <c r="A158" s="222"/>
      <c r="B158" s="223"/>
      <c r="C158" s="224"/>
      <c r="D158" s="167"/>
      <c r="E158" s="274" t="s">
        <v>290</v>
      </c>
      <c r="F158" s="226"/>
    </row>
    <row r="159" spans="1:6" ht="37.5" customHeight="1" x14ac:dyDescent="0.2">
      <c r="A159" s="235"/>
      <c r="B159" s="236"/>
      <c r="C159" s="237"/>
      <c r="D159" s="178"/>
      <c r="E159" s="275" t="s">
        <v>291</v>
      </c>
      <c r="F159" s="203"/>
    </row>
    <row r="160" spans="1:6" ht="16.5" customHeight="1" x14ac:dyDescent="0.2">
      <c r="A160" s="211">
        <v>17</v>
      </c>
      <c r="B160" s="211">
        <v>854</v>
      </c>
      <c r="C160" s="211">
        <v>85410</v>
      </c>
      <c r="D160" s="128">
        <v>2590</v>
      </c>
      <c r="E160" s="239" t="s">
        <v>137</v>
      </c>
      <c r="F160" s="154">
        <f>911326+200000</f>
        <v>1111326</v>
      </c>
    </row>
    <row r="161" spans="1:6" ht="13.5" customHeight="1" x14ac:dyDescent="0.2">
      <c r="A161" s="216"/>
      <c r="B161" s="239"/>
      <c r="C161" s="253"/>
      <c r="D161" s="178"/>
      <c r="E161" s="236" t="s">
        <v>292</v>
      </c>
      <c r="F161" s="154"/>
    </row>
    <row r="162" spans="1:6" ht="14.25" customHeight="1" x14ac:dyDescent="0.2">
      <c r="A162" s="595"/>
      <c r="B162" s="596"/>
      <c r="C162" s="596"/>
      <c r="D162" s="150"/>
      <c r="E162" s="596" t="s">
        <v>234</v>
      </c>
      <c r="F162" s="597">
        <f>SUM(F59:F161)</f>
        <v>41623778.68</v>
      </c>
    </row>
    <row r="163" spans="1:6" ht="15.75" customHeight="1" x14ac:dyDescent="0.2">
      <c r="A163" s="276"/>
      <c r="B163" s="277"/>
      <c r="C163" s="277"/>
      <c r="D163" s="150"/>
      <c r="E163" s="277" t="s">
        <v>185</v>
      </c>
      <c r="F163" s="278">
        <f>F162+F56</f>
        <v>64525084.609999999</v>
      </c>
    </row>
    <row r="165" spans="1:6" ht="12.6" customHeight="1" x14ac:dyDescent="0.2">
      <c r="A165" s="598"/>
      <c r="F165" s="279"/>
    </row>
    <row r="167" spans="1:6" x14ac:dyDescent="0.2">
      <c r="F167" s="279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  <rowBreaks count="1" manualBreakCount="1">
    <brk id="1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B909-382D-45B8-8C48-9271DC378396}">
  <dimension ref="A1:G37"/>
  <sheetViews>
    <sheetView zoomScale="110" zoomScaleNormal="110" workbookViewId="0"/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451</v>
      </c>
    </row>
    <row r="2" spans="1:7" x14ac:dyDescent="0.25">
      <c r="F2" s="3" t="s">
        <v>449</v>
      </c>
    </row>
    <row r="3" spans="1:7" x14ac:dyDescent="0.25">
      <c r="F3" s="3" t="s">
        <v>0</v>
      </c>
    </row>
    <row r="4" spans="1:7" x14ac:dyDescent="0.25">
      <c r="F4" s="3" t="s">
        <v>450</v>
      </c>
    </row>
    <row r="6" spans="1:7" s="281" customFormat="1" ht="12.75" x14ac:dyDescent="0.2">
      <c r="A6" s="280" t="s">
        <v>294</v>
      </c>
      <c r="B6" s="280"/>
      <c r="C6" s="280"/>
      <c r="D6" s="280"/>
      <c r="E6" s="280"/>
      <c r="F6" s="280"/>
      <c r="G6" s="280"/>
    </row>
    <row r="7" spans="1:7" s="281" customFormat="1" ht="12.75" x14ac:dyDescent="0.2">
      <c r="A7" s="280" t="s">
        <v>295</v>
      </c>
      <c r="B7" s="280"/>
      <c r="C7" s="280"/>
      <c r="D7" s="280"/>
      <c r="E7" s="280"/>
      <c r="F7" s="280"/>
      <c r="G7" s="280"/>
    </row>
    <row r="8" spans="1:7" x14ac:dyDescent="0.25">
      <c r="A8" s="282" t="s">
        <v>296</v>
      </c>
      <c r="B8" s="282"/>
      <c r="C8" s="282"/>
      <c r="D8" s="282"/>
      <c r="E8" s="282"/>
      <c r="F8" s="282"/>
      <c r="G8" s="282"/>
    </row>
    <row r="9" spans="1:7" x14ac:dyDescent="0.25">
      <c r="A9" s="360"/>
      <c r="B9" s="360"/>
      <c r="C9" s="360"/>
      <c r="D9" s="360"/>
      <c r="E9" s="360"/>
      <c r="F9" s="360"/>
      <c r="G9" s="283" t="s">
        <v>2</v>
      </c>
    </row>
    <row r="10" spans="1:7" ht="15" customHeight="1" x14ac:dyDescent="0.25">
      <c r="A10" s="284"/>
      <c r="B10" s="285"/>
      <c r="C10" s="285"/>
      <c r="D10" s="286" t="s">
        <v>297</v>
      </c>
      <c r="E10" s="287"/>
      <c r="F10" s="288"/>
      <c r="G10" s="286" t="s">
        <v>298</v>
      </c>
    </row>
    <row r="11" spans="1:7" x14ac:dyDescent="0.25">
      <c r="A11" s="289" t="s">
        <v>176</v>
      </c>
      <c r="B11" s="290" t="s">
        <v>4</v>
      </c>
      <c r="C11" s="290" t="s">
        <v>299</v>
      </c>
      <c r="D11" s="291" t="s">
        <v>300</v>
      </c>
      <c r="E11" s="291"/>
      <c r="F11" s="291"/>
      <c r="G11" s="291" t="s">
        <v>300</v>
      </c>
    </row>
    <row r="12" spans="1:7" x14ac:dyDescent="0.25">
      <c r="A12" s="289"/>
      <c r="B12" s="292"/>
      <c r="C12" s="290"/>
      <c r="D12" s="291" t="s">
        <v>301</v>
      </c>
      <c r="E12" s="291" t="s">
        <v>302</v>
      </c>
      <c r="F12" s="291" t="s">
        <v>303</v>
      </c>
      <c r="G12" s="291" t="s">
        <v>304</v>
      </c>
    </row>
    <row r="13" spans="1:7" x14ac:dyDescent="0.25">
      <c r="A13" s="293"/>
      <c r="B13" s="292" t="s">
        <v>5</v>
      </c>
      <c r="C13" s="292"/>
      <c r="D13" s="294"/>
      <c r="E13" s="294"/>
      <c r="F13" s="294"/>
      <c r="G13" s="294"/>
    </row>
    <row r="14" spans="1:7" s="296" customFormat="1" ht="9.75" x14ac:dyDescent="0.15">
      <c r="A14" s="295">
        <v>1</v>
      </c>
      <c r="B14" s="295">
        <v>2</v>
      </c>
      <c r="C14" s="295">
        <v>3</v>
      </c>
      <c r="D14" s="295">
        <v>4</v>
      </c>
      <c r="E14" s="295">
        <v>5</v>
      </c>
      <c r="F14" s="295">
        <v>6</v>
      </c>
      <c r="G14" s="295">
        <v>7</v>
      </c>
    </row>
    <row r="15" spans="1:7" s="360" customFormat="1" x14ac:dyDescent="0.25">
      <c r="A15" s="297"/>
      <c r="B15" s="298">
        <v>801</v>
      </c>
      <c r="C15" s="419"/>
      <c r="D15" s="299"/>
      <c r="E15" s="299"/>
      <c r="F15" s="299"/>
      <c r="G15" s="299"/>
    </row>
    <row r="16" spans="1:7" ht="13.5" customHeight="1" x14ac:dyDescent="0.25">
      <c r="A16" s="300" t="s">
        <v>305</v>
      </c>
      <c r="B16" s="301">
        <v>80101</v>
      </c>
      <c r="C16" s="302" t="s">
        <v>70</v>
      </c>
      <c r="D16" s="303">
        <v>6324.7</v>
      </c>
      <c r="E16" s="303">
        <v>875652.34</v>
      </c>
      <c r="F16" s="303">
        <v>881977.04</v>
      </c>
      <c r="G16" s="303">
        <v>0</v>
      </c>
    </row>
    <row r="17" spans="1:7" ht="13.5" customHeight="1" x14ac:dyDescent="0.25">
      <c r="A17" s="300" t="s">
        <v>306</v>
      </c>
      <c r="B17" s="301">
        <v>80102</v>
      </c>
      <c r="C17" s="304" t="s">
        <v>95</v>
      </c>
      <c r="D17" s="305">
        <v>0</v>
      </c>
      <c r="E17" s="305">
        <v>24543</v>
      </c>
      <c r="F17" s="305">
        <v>24543</v>
      </c>
      <c r="G17" s="305">
        <v>0</v>
      </c>
    </row>
    <row r="18" spans="1:7" ht="13.5" customHeight="1" x14ac:dyDescent="0.25">
      <c r="A18" s="300" t="s">
        <v>307</v>
      </c>
      <c r="B18" s="301">
        <v>80104</v>
      </c>
      <c r="C18" s="304" t="s">
        <v>97</v>
      </c>
      <c r="D18" s="305">
        <v>5972.12</v>
      </c>
      <c r="E18" s="305">
        <v>4716684.87</v>
      </c>
      <c r="F18" s="305">
        <v>4722656.99</v>
      </c>
      <c r="G18" s="305">
        <v>0</v>
      </c>
    </row>
    <row r="19" spans="1:7" ht="13.5" customHeight="1" x14ac:dyDescent="0.25">
      <c r="A19" s="300" t="s">
        <v>308</v>
      </c>
      <c r="B19" s="301">
        <v>80115</v>
      </c>
      <c r="C19" s="304" t="s">
        <v>100</v>
      </c>
      <c r="D19" s="305">
        <v>8.06</v>
      </c>
      <c r="E19" s="305">
        <v>1201812.7</v>
      </c>
      <c r="F19" s="305">
        <v>1201820.76</v>
      </c>
      <c r="G19" s="305">
        <v>0</v>
      </c>
    </row>
    <row r="20" spans="1:7" ht="13.5" customHeight="1" x14ac:dyDescent="0.25">
      <c r="A20" s="300" t="s">
        <v>309</v>
      </c>
      <c r="B20" s="301">
        <v>80120</v>
      </c>
      <c r="C20" s="304" t="s">
        <v>104</v>
      </c>
      <c r="D20" s="306">
        <v>342.39</v>
      </c>
      <c r="E20" s="305">
        <v>290790</v>
      </c>
      <c r="F20" s="305">
        <v>291132.39</v>
      </c>
      <c r="G20" s="305">
        <v>0</v>
      </c>
    </row>
    <row r="21" spans="1:7" ht="13.5" customHeight="1" x14ac:dyDescent="0.25">
      <c r="A21" s="300" t="s">
        <v>310</v>
      </c>
      <c r="B21" s="301">
        <v>80132</v>
      </c>
      <c r="C21" s="304" t="s">
        <v>311</v>
      </c>
      <c r="D21" s="305">
        <v>0</v>
      </c>
      <c r="E21" s="305">
        <v>37900</v>
      </c>
      <c r="F21" s="305">
        <v>37900</v>
      </c>
      <c r="G21" s="307">
        <v>0</v>
      </c>
    </row>
    <row r="22" spans="1:7" ht="13.5" customHeight="1" x14ac:dyDescent="0.25">
      <c r="A22" s="300" t="s">
        <v>312</v>
      </c>
      <c r="B22" s="301">
        <v>80134</v>
      </c>
      <c r="C22" s="304" t="s">
        <v>108</v>
      </c>
      <c r="D22" s="305">
        <v>0</v>
      </c>
      <c r="E22" s="305">
        <v>1300</v>
      </c>
      <c r="F22" s="305">
        <v>1300</v>
      </c>
      <c r="G22" s="305">
        <v>0</v>
      </c>
    </row>
    <row r="23" spans="1:7" ht="25.5" customHeight="1" x14ac:dyDescent="0.25">
      <c r="A23" s="308" t="s">
        <v>313</v>
      </c>
      <c r="B23" s="309">
        <v>80140</v>
      </c>
      <c r="C23" s="310" t="s">
        <v>314</v>
      </c>
      <c r="D23" s="311">
        <v>67.19</v>
      </c>
      <c r="E23" s="311">
        <v>159270</v>
      </c>
      <c r="F23" s="311">
        <v>159337.19</v>
      </c>
      <c r="G23" s="311">
        <v>0</v>
      </c>
    </row>
    <row r="24" spans="1:7" ht="13.5" customHeight="1" x14ac:dyDescent="0.25">
      <c r="A24" s="308" t="s">
        <v>315</v>
      </c>
      <c r="B24" s="309">
        <v>80142</v>
      </c>
      <c r="C24" s="310" t="s">
        <v>316</v>
      </c>
      <c r="D24" s="305">
        <v>109.5</v>
      </c>
      <c r="E24" s="305">
        <v>369147</v>
      </c>
      <c r="F24" s="305">
        <v>369256.5</v>
      </c>
      <c r="G24" s="305">
        <v>0</v>
      </c>
    </row>
    <row r="25" spans="1:7" ht="13.5" customHeight="1" x14ac:dyDescent="0.25">
      <c r="A25" s="308" t="s">
        <v>317</v>
      </c>
      <c r="B25" s="309">
        <v>80144</v>
      </c>
      <c r="C25" s="310" t="s">
        <v>318</v>
      </c>
      <c r="D25" s="305">
        <v>319.77</v>
      </c>
      <c r="E25" s="305">
        <v>74800</v>
      </c>
      <c r="F25" s="305">
        <v>75119.77</v>
      </c>
      <c r="G25" s="305">
        <v>0</v>
      </c>
    </row>
    <row r="26" spans="1:7" ht="13.5" customHeight="1" x14ac:dyDescent="0.25">
      <c r="A26" s="308" t="s">
        <v>319</v>
      </c>
      <c r="B26" s="309">
        <v>80148</v>
      </c>
      <c r="C26" s="304" t="s">
        <v>110</v>
      </c>
      <c r="D26" s="306">
        <v>1146.97</v>
      </c>
      <c r="E26" s="306">
        <v>3130515</v>
      </c>
      <c r="F26" s="306">
        <v>3131661.97</v>
      </c>
      <c r="G26" s="306">
        <v>0</v>
      </c>
    </row>
    <row r="27" spans="1:7" ht="13.5" customHeight="1" x14ac:dyDescent="0.25">
      <c r="A27" s="312"/>
      <c r="B27" s="313">
        <v>854</v>
      </c>
      <c r="C27" s="314"/>
      <c r="D27" s="315"/>
      <c r="E27" s="315"/>
      <c r="F27" s="315"/>
      <c r="G27" s="315"/>
    </row>
    <row r="28" spans="1:7" ht="13.5" customHeight="1" x14ac:dyDescent="0.25">
      <c r="A28" s="300" t="s">
        <v>305</v>
      </c>
      <c r="B28" s="301">
        <v>85410</v>
      </c>
      <c r="C28" s="304" t="s">
        <v>137</v>
      </c>
      <c r="D28" s="305">
        <v>763.66</v>
      </c>
      <c r="E28" s="305">
        <v>491700</v>
      </c>
      <c r="F28" s="305">
        <v>492463.66</v>
      </c>
      <c r="G28" s="305">
        <v>0</v>
      </c>
    </row>
    <row r="29" spans="1:7" ht="13.5" customHeight="1" x14ac:dyDescent="0.25">
      <c r="A29" s="300" t="s">
        <v>306</v>
      </c>
      <c r="B29" s="301">
        <v>85412</v>
      </c>
      <c r="C29" s="304" t="s">
        <v>138</v>
      </c>
      <c r="D29" s="305"/>
      <c r="E29" s="305"/>
      <c r="F29" s="305"/>
      <c r="G29" s="305"/>
    </row>
    <row r="30" spans="1:7" ht="13.5" customHeight="1" x14ac:dyDescent="0.25">
      <c r="A30" s="300"/>
      <c r="B30" s="301"/>
      <c r="C30" s="304" t="s">
        <v>320</v>
      </c>
      <c r="D30" s="305">
        <v>0</v>
      </c>
      <c r="E30" s="305">
        <v>15100</v>
      </c>
      <c r="F30" s="305">
        <v>15100</v>
      </c>
      <c r="G30" s="305">
        <v>0</v>
      </c>
    </row>
    <row r="31" spans="1:7" ht="13.5" customHeight="1" x14ac:dyDescent="0.25">
      <c r="A31" s="300" t="s">
        <v>307</v>
      </c>
      <c r="B31" s="301">
        <v>85417</v>
      </c>
      <c r="C31" s="316" t="s">
        <v>321</v>
      </c>
      <c r="D31" s="305">
        <v>0</v>
      </c>
      <c r="E31" s="305">
        <v>80400</v>
      </c>
      <c r="F31" s="305">
        <v>80400</v>
      </c>
      <c r="G31" s="305">
        <v>0</v>
      </c>
    </row>
    <row r="32" spans="1:7" ht="13.5" customHeight="1" x14ac:dyDescent="0.25">
      <c r="A32" s="317" t="s">
        <v>308</v>
      </c>
      <c r="B32" s="318">
        <v>85420</v>
      </c>
      <c r="C32" s="319" t="s">
        <v>139</v>
      </c>
      <c r="D32" s="320">
        <v>73.81</v>
      </c>
      <c r="E32" s="320">
        <v>22500</v>
      </c>
      <c r="F32" s="320">
        <v>22573.81</v>
      </c>
      <c r="G32" s="321">
        <v>0</v>
      </c>
    </row>
    <row r="33" spans="1:7" s="361" customFormat="1" ht="22.5" customHeight="1" x14ac:dyDescent="0.25">
      <c r="A33" s="322"/>
      <c r="B33" s="323"/>
      <c r="C33" s="420" t="s">
        <v>322</v>
      </c>
      <c r="D33" s="421">
        <f>SUM(D16:D32)</f>
        <v>15128.169999999998</v>
      </c>
      <c r="E33" s="421">
        <f>SUM(E16:E32)</f>
        <v>11492114.91</v>
      </c>
      <c r="F33" s="421">
        <f>SUM(F16:F32)</f>
        <v>11507243.08</v>
      </c>
      <c r="G33" s="421">
        <f>SUM(G16:G32)</f>
        <v>0</v>
      </c>
    </row>
    <row r="35" spans="1:7" x14ac:dyDescent="0.25">
      <c r="A35" s="422"/>
      <c r="B35" s="422"/>
      <c r="C35" s="324"/>
    </row>
    <row r="36" spans="1:7" x14ac:dyDescent="0.25">
      <c r="A36" s="422"/>
      <c r="B36" s="422"/>
      <c r="C36" s="324"/>
    </row>
    <row r="37" spans="1:7" x14ac:dyDescent="0.25">
      <c r="A37" s="422"/>
      <c r="B37" s="422"/>
      <c r="C37" s="324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05AB-2253-4B8E-BC3E-7AFAB0CA5F9A}">
  <sheetPr>
    <tabColor rgb="FFFF0000"/>
  </sheetPr>
  <dimension ref="A1:WVO203"/>
  <sheetViews>
    <sheetView zoomScale="140" zoomScaleNormal="140" workbookViewId="0"/>
  </sheetViews>
  <sheetFormatPr defaultRowHeight="15" x14ac:dyDescent="0.25"/>
  <cols>
    <col min="1" max="1" width="4.85546875" style="360" customWidth="1"/>
    <col min="2" max="2" width="33.42578125" style="360" customWidth="1"/>
    <col min="3" max="3" width="8.5703125" style="360" customWidth="1"/>
    <col min="4" max="4" width="9.42578125" style="360" customWidth="1"/>
    <col min="5" max="5" width="8.140625" style="360" customWidth="1"/>
    <col min="6" max="6" width="13" customWidth="1"/>
    <col min="7" max="7" width="12.85546875" customWidth="1"/>
    <col min="9" max="9" width="12.42578125" customWidth="1"/>
    <col min="77" max="253" width="9.140625" style="360"/>
    <col min="254" max="254" width="5.28515625" style="360" customWidth="1"/>
    <col min="255" max="255" width="8" style="360" customWidth="1"/>
    <col min="256" max="256" width="5.85546875" style="360" customWidth="1"/>
    <col min="257" max="257" width="9.42578125" style="360" customWidth="1"/>
    <col min="258" max="258" width="11.28515625" style="360" customWidth="1"/>
    <col min="259" max="259" width="11" style="360" customWidth="1"/>
    <col min="260" max="260" width="13.140625" style="360" customWidth="1"/>
    <col min="261" max="261" width="11.7109375" style="360" customWidth="1"/>
    <col min="262" max="262" width="11.140625" style="360" customWidth="1"/>
    <col min="263" max="263" width="11.7109375" style="360" customWidth="1"/>
    <col min="264" max="509" width="9.140625" style="360"/>
    <col min="510" max="510" width="5.28515625" style="360" customWidth="1"/>
    <col min="511" max="511" width="8" style="360" customWidth="1"/>
    <col min="512" max="512" width="5.85546875" style="360" customWidth="1"/>
    <col min="513" max="513" width="9.42578125" style="360" customWidth="1"/>
    <col min="514" max="514" width="11.28515625" style="360" customWidth="1"/>
    <col min="515" max="515" width="11" style="360" customWidth="1"/>
    <col min="516" max="516" width="13.140625" style="360" customWidth="1"/>
    <col min="517" max="517" width="11.7109375" style="360" customWidth="1"/>
    <col min="518" max="518" width="11.140625" style="360" customWidth="1"/>
    <col min="519" max="519" width="11.7109375" style="360" customWidth="1"/>
    <col min="520" max="765" width="9.140625" style="360"/>
    <col min="766" max="766" width="5.28515625" style="360" customWidth="1"/>
    <col min="767" max="767" width="8" style="360" customWidth="1"/>
    <col min="768" max="768" width="5.85546875" style="360" customWidth="1"/>
    <col min="769" max="769" width="9.42578125" style="360" customWidth="1"/>
    <col min="770" max="770" width="11.28515625" style="360" customWidth="1"/>
    <col min="771" max="771" width="11" style="360" customWidth="1"/>
    <col min="772" max="772" width="13.140625" style="360" customWidth="1"/>
    <col min="773" max="773" width="11.7109375" style="360" customWidth="1"/>
    <col min="774" max="774" width="11.140625" style="360" customWidth="1"/>
    <col min="775" max="775" width="11.7109375" style="360" customWidth="1"/>
    <col min="776" max="1021" width="9.140625" style="360"/>
    <col min="1022" max="1022" width="5.28515625" style="360" customWidth="1"/>
    <col min="1023" max="1023" width="8" style="360" customWidth="1"/>
    <col min="1024" max="1024" width="5.85546875" style="360" customWidth="1"/>
    <col min="1025" max="1025" width="9.42578125" style="360" customWidth="1"/>
    <col min="1026" max="1026" width="11.28515625" style="360" customWidth="1"/>
    <col min="1027" max="1027" width="11" style="360" customWidth="1"/>
    <col min="1028" max="1028" width="13.140625" style="360" customWidth="1"/>
    <col min="1029" max="1029" width="11.7109375" style="360" customWidth="1"/>
    <col min="1030" max="1030" width="11.140625" style="360" customWidth="1"/>
    <col min="1031" max="1031" width="11.7109375" style="360" customWidth="1"/>
    <col min="1032" max="1277" width="9.140625" style="360"/>
    <col min="1278" max="1278" width="5.28515625" style="360" customWidth="1"/>
    <col min="1279" max="1279" width="8" style="360" customWidth="1"/>
    <col min="1280" max="1280" width="5.85546875" style="360" customWidth="1"/>
    <col min="1281" max="1281" width="9.42578125" style="360" customWidth="1"/>
    <col min="1282" max="1282" width="11.28515625" style="360" customWidth="1"/>
    <col min="1283" max="1283" width="11" style="360" customWidth="1"/>
    <col min="1284" max="1284" width="13.140625" style="360" customWidth="1"/>
    <col min="1285" max="1285" width="11.7109375" style="360" customWidth="1"/>
    <col min="1286" max="1286" width="11.140625" style="360" customWidth="1"/>
    <col min="1287" max="1287" width="11.7109375" style="360" customWidth="1"/>
    <col min="1288" max="1533" width="9.140625" style="360"/>
    <col min="1534" max="1534" width="5.28515625" style="360" customWidth="1"/>
    <col min="1535" max="1535" width="8" style="360" customWidth="1"/>
    <col min="1536" max="1536" width="5.85546875" style="360" customWidth="1"/>
    <col min="1537" max="1537" width="9.42578125" style="360" customWidth="1"/>
    <col min="1538" max="1538" width="11.28515625" style="360" customWidth="1"/>
    <col min="1539" max="1539" width="11" style="360" customWidth="1"/>
    <col min="1540" max="1540" width="13.140625" style="360" customWidth="1"/>
    <col min="1541" max="1541" width="11.7109375" style="360" customWidth="1"/>
    <col min="1542" max="1542" width="11.140625" style="360" customWidth="1"/>
    <col min="1543" max="1543" width="11.7109375" style="360" customWidth="1"/>
    <col min="1544" max="1789" width="9.140625" style="360"/>
    <col min="1790" max="1790" width="5.28515625" style="360" customWidth="1"/>
    <col min="1791" max="1791" width="8" style="360" customWidth="1"/>
    <col min="1792" max="1792" width="5.85546875" style="360" customWidth="1"/>
    <col min="1793" max="1793" width="9.42578125" style="360" customWidth="1"/>
    <col min="1794" max="1794" width="11.28515625" style="360" customWidth="1"/>
    <col min="1795" max="1795" width="11" style="360" customWidth="1"/>
    <col min="1796" max="1796" width="13.140625" style="360" customWidth="1"/>
    <col min="1797" max="1797" width="11.7109375" style="360" customWidth="1"/>
    <col min="1798" max="1798" width="11.140625" style="360" customWidth="1"/>
    <col min="1799" max="1799" width="11.7109375" style="360" customWidth="1"/>
    <col min="1800" max="2045" width="9.140625" style="360"/>
    <col min="2046" max="2046" width="5.28515625" style="360" customWidth="1"/>
    <col min="2047" max="2047" width="8" style="360" customWidth="1"/>
    <col min="2048" max="2048" width="5.85546875" style="360" customWidth="1"/>
    <col min="2049" max="2049" width="9.42578125" style="360" customWidth="1"/>
    <col min="2050" max="2050" width="11.28515625" style="360" customWidth="1"/>
    <col min="2051" max="2051" width="11" style="360" customWidth="1"/>
    <col min="2052" max="2052" width="13.140625" style="360" customWidth="1"/>
    <col min="2053" max="2053" width="11.7109375" style="360" customWidth="1"/>
    <col min="2054" max="2054" width="11.140625" style="360" customWidth="1"/>
    <col min="2055" max="2055" width="11.7109375" style="360" customWidth="1"/>
    <col min="2056" max="2301" width="9.140625" style="360"/>
    <col min="2302" max="2302" width="5.28515625" style="360" customWidth="1"/>
    <col min="2303" max="2303" width="8" style="360" customWidth="1"/>
    <col min="2304" max="2304" width="5.85546875" style="360" customWidth="1"/>
    <col min="2305" max="2305" width="9.42578125" style="360" customWidth="1"/>
    <col min="2306" max="2306" width="11.28515625" style="360" customWidth="1"/>
    <col min="2307" max="2307" width="11" style="360" customWidth="1"/>
    <col min="2308" max="2308" width="13.140625" style="360" customWidth="1"/>
    <col min="2309" max="2309" width="11.7109375" style="360" customWidth="1"/>
    <col min="2310" max="2310" width="11.140625" style="360" customWidth="1"/>
    <col min="2311" max="2311" width="11.7109375" style="360" customWidth="1"/>
    <col min="2312" max="2557" width="9.140625" style="360"/>
    <col min="2558" max="2558" width="5.28515625" style="360" customWidth="1"/>
    <col min="2559" max="2559" width="8" style="360" customWidth="1"/>
    <col min="2560" max="2560" width="5.85546875" style="360" customWidth="1"/>
    <col min="2561" max="2561" width="9.42578125" style="360" customWidth="1"/>
    <col min="2562" max="2562" width="11.28515625" style="360" customWidth="1"/>
    <col min="2563" max="2563" width="11" style="360" customWidth="1"/>
    <col min="2564" max="2564" width="13.140625" style="360" customWidth="1"/>
    <col min="2565" max="2565" width="11.7109375" style="360" customWidth="1"/>
    <col min="2566" max="2566" width="11.140625" style="360" customWidth="1"/>
    <col min="2567" max="2567" width="11.7109375" style="360" customWidth="1"/>
    <col min="2568" max="2813" width="9.140625" style="360"/>
    <col min="2814" max="2814" width="5.28515625" style="360" customWidth="1"/>
    <col min="2815" max="2815" width="8" style="360" customWidth="1"/>
    <col min="2816" max="2816" width="5.85546875" style="360" customWidth="1"/>
    <col min="2817" max="2817" width="9.42578125" style="360" customWidth="1"/>
    <col min="2818" max="2818" width="11.28515625" style="360" customWidth="1"/>
    <col min="2819" max="2819" width="11" style="360" customWidth="1"/>
    <col min="2820" max="2820" width="13.140625" style="360" customWidth="1"/>
    <col min="2821" max="2821" width="11.7109375" style="360" customWidth="1"/>
    <col min="2822" max="2822" width="11.140625" style="360" customWidth="1"/>
    <col min="2823" max="2823" width="11.7109375" style="360" customWidth="1"/>
    <col min="2824" max="3069" width="9.140625" style="360"/>
    <col min="3070" max="3070" width="5.28515625" style="360" customWidth="1"/>
    <col min="3071" max="3071" width="8" style="360" customWidth="1"/>
    <col min="3072" max="3072" width="5.85546875" style="360" customWidth="1"/>
    <col min="3073" max="3073" width="9.42578125" style="360" customWidth="1"/>
    <col min="3074" max="3074" width="11.28515625" style="360" customWidth="1"/>
    <col min="3075" max="3075" width="11" style="360" customWidth="1"/>
    <col min="3076" max="3076" width="13.140625" style="360" customWidth="1"/>
    <col min="3077" max="3077" width="11.7109375" style="360" customWidth="1"/>
    <col min="3078" max="3078" width="11.140625" style="360" customWidth="1"/>
    <col min="3079" max="3079" width="11.7109375" style="360" customWidth="1"/>
    <col min="3080" max="3325" width="9.140625" style="360"/>
    <col min="3326" max="3326" width="5.28515625" style="360" customWidth="1"/>
    <col min="3327" max="3327" width="8" style="360" customWidth="1"/>
    <col min="3328" max="3328" width="5.85546875" style="360" customWidth="1"/>
    <col min="3329" max="3329" width="9.42578125" style="360" customWidth="1"/>
    <col min="3330" max="3330" width="11.28515625" style="360" customWidth="1"/>
    <col min="3331" max="3331" width="11" style="360" customWidth="1"/>
    <col min="3332" max="3332" width="13.140625" style="360" customWidth="1"/>
    <col min="3333" max="3333" width="11.7109375" style="360" customWidth="1"/>
    <col min="3334" max="3334" width="11.140625" style="360" customWidth="1"/>
    <col min="3335" max="3335" width="11.7109375" style="360" customWidth="1"/>
    <col min="3336" max="3581" width="9.140625" style="360"/>
    <col min="3582" max="3582" width="5.28515625" style="360" customWidth="1"/>
    <col min="3583" max="3583" width="8" style="360" customWidth="1"/>
    <col min="3584" max="3584" width="5.85546875" style="360" customWidth="1"/>
    <col min="3585" max="3585" width="9.42578125" style="360" customWidth="1"/>
    <col min="3586" max="3586" width="11.28515625" style="360" customWidth="1"/>
    <col min="3587" max="3587" width="11" style="360" customWidth="1"/>
    <col min="3588" max="3588" width="13.140625" style="360" customWidth="1"/>
    <col min="3589" max="3589" width="11.7109375" style="360" customWidth="1"/>
    <col min="3590" max="3590" width="11.140625" style="360" customWidth="1"/>
    <col min="3591" max="3591" width="11.7109375" style="360" customWidth="1"/>
    <col min="3592" max="3837" width="9.140625" style="360"/>
    <col min="3838" max="3838" width="5.28515625" style="360" customWidth="1"/>
    <col min="3839" max="3839" width="8" style="360" customWidth="1"/>
    <col min="3840" max="3840" width="5.85546875" style="360" customWidth="1"/>
    <col min="3841" max="3841" width="9.42578125" style="360" customWidth="1"/>
    <col min="3842" max="3842" width="11.28515625" style="360" customWidth="1"/>
    <col min="3843" max="3843" width="11" style="360" customWidth="1"/>
    <col min="3844" max="3844" width="13.140625" style="360" customWidth="1"/>
    <col min="3845" max="3845" width="11.7109375" style="360" customWidth="1"/>
    <col min="3846" max="3846" width="11.140625" style="360" customWidth="1"/>
    <col min="3847" max="3847" width="11.7109375" style="360" customWidth="1"/>
    <col min="3848" max="4093" width="9.140625" style="360"/>
    <col min="4094" max="4094" width="5.28515625" style="360" customWidth="1"/>
    <col min="4095" max="4095" width="8" style="360" customWidth="1"/>
    <col min="4096" max="4096" width="5.85546875" style="360" customWidth="1"/>
    <col min="4097" max="4097" width="9.42578125" style="360" customWidth="1"/>
    <col min="4098" max="4098" width="11.28515625" style="360" customWidth="1"/>
    <col min="4099" max="4099" width="11" style="360" customWidth="1"/>
    <col min="4100" max="4100" width="13.140625" style="360" customWidth="1"/>
    <col min="4101" max="4101" width="11.7109375" style="360" customWidth="1"/>
    <col min="4102" max="4102" width="11.140625" style="360" customWidth="1"/>
    <col min="4103" max="4103" width="11.7109375" style="360" customWidth="1"/>
    <col min="4104" max="4349" width="9.140625" style="360"/>
    <col min="4350" max="4350" width="5.28515625" style="360" customWidth="1"/>
    <col min="4351" max="4351" width="8" style="360" customWidth="1"/>
    <col min="4352" max="4352" width="5.85546875" style="360" customWidth="1"/>
    <col min="4353" max="4353" width="9.42578125" style="360" customWidth="1"/>
    <col min="4354" max="4354" width="11.28515625" style="360" customWidth="1"/>
    <col min="4355" max="4355" width="11" style="360" customWidth="1"/>
    <col min="4356" max="4356" width="13.140625" style="360" customWidth="1"/>
    <col min="4357" max="4357" width="11.7109375" style="360" customWidth="1"/>
    <col min="4358" max="4358" width="11.140625" style="360" customWidth="1"/>
    <col min="4359" max="4359" width="11.7109375" style="360" customWidth="1"/>
    <col min="4360" max="4605" width="9.140625" style="360"/>
    <col min="4606" max="4606" width="5.28515625" style="360" customWidth="1"/>
    <col min="4607" max="4607" width="8" style="360" customWidth="1"/>
    <col min="4608" max="4608" width="5.85546875" style="360" customWidth="1"/>
    <col min="4609" max="4609" width="9.42578125" style="360" customWidth="1"/>
    <col min="4610" max="4610" width="11.28515625" style="360" customWidth="1"/>
    <col min="4611" max="4611" width="11" style="360" customWidth="1"/>
    <col min="4612" max="4612" width="13.140625" style="360" customWidth="1"/>
    <col min="4613" max="4613" width="11.7109375" style="360" customWidth="1"/>
    <col min="4614" max="4614" width="11.140625" style="360" customWidth="1"/>
    <col min="4615" max="4615" width="11.7109375" style="360" customWidth="1"/>
    <col min="4616" max="4861" width="9.140625" style="360"/>
    <col min="4862" max="4862" width="5.28515625" style="360" customWidth="1"/>
    <col min="4863" max="4863" width="8" style="360" customWidth="1"/>
    <col min="4864" max="4864" width="5.85546875" style="360" customWidth="1"/>
    <col min="4865" max="4865" width="9.42578125" style="360" customWidth="1"/>
    <col min="4866" max="4866" width="11.28515625" style="360" customWidth="1"/>
    <col min="4867" max="4867" width="11" style="360" customWidth="1"/>
    <col min="4868" max="4868" width="13.140625" style="360" customWidth="1"/>
    <col min="4869" max="4869" width="11.7109375" style="360" customWidth="1"/>
    <col min="4870" max="4870" width="11.140625" style="360" customWidth="1"/>
    <col min="4871" max="4871" width="11.7109375" style="360" customWidth="1"/>
    <col min="4872" max="5117" width="9.140625" style="360"/>
    <col min="5118" max="5118" width="5.28515625" style="360" customWidth="1"/>
    <col min="5119" max="5119" width="8" style="360" customWidth="1"/>
    <col min="5120" max="5120" width="5.85546875" style="360" customWidth="1"/>
    <col min="5121" max="5121" width="9.42578125" style="360" customWidth="1"/>
    <col min="5122" max="5122" width="11.28515625" style="360" customWidth="1"/>
    <col min="5123" max="5123" width="11" style="360" customWidth="1"/>
    <col min="5124" max="5124" width="13.140625" style="360" customWidth="1"/>
    <col min="5125" max="5125" width="11.7109375" style="360" customWidth="1"/>
    <col min="5126" max="5126" width="11.140625" style="360" customWidth="1"/>
    <col min="5127" max="5127" width="11.7109375" style="360" customWidth="1"/>
    <col min="5128" max="5373" width="9.140625" style="360"/>
    <col min="5374" max="5374" width="5.28515625" style="360" customWidth="1"/>
    <col min="5375" max="5375" width="8" style="360" customWidth="1"/>
    <col min="5376" max="5376" width="5.85546875" style="360" customWidth="1"/>
    <col min="5377" max="5377" width="9.42578125" style="360" customWidth="1"/>
    <col min="5378" max="5378" width="11.28515625" style="360" customWidth="1"/>
    <col min="5379" max="5379" width="11" style="360" customWidth="1"/>
    <col min="5380" max="5380" width="13.140625" style="360" customWidth="1"/>
    <col min="5381" max="5381" width="11.7109375" style="360" customWidth="1"/>
    <col min="5382" max="5382" width="11.140625" style="360" customWidth="1"/>
    <col min="5383" max="5383" width="11.7109375" style="360" customWidth="1"/>
    <col min="5384" max="5629" width="9.140625" style="360"/>
    <col min="5630" max="5630" width="5.28515625" style="360" customWidth="1"/>
    <col min="5631" max="5631" width="8" style="360" customWidth="1"/>
    <col min="5632" max="5632" width="5.85546875" style="360" customWidth="1"/>
    <col min="5633" max="5633" width="9.42578125" style="360" customWidth="1"/>
    <col min="5634" max="5634" width="11.28515625" style="360" customWidth="1"/>
    <col min="5635" max="5635" width="11" style="360" customWidth="1"/>
    <col min="5636" max="5636" width="13.140625" style="360" customWidth="1"/>
    <col min="5637" max="5637" width="11.7109375" style="360" customWidth="1"/>
    <col min="5638" max="5638" width="11.140625" style="360" customWidth="1"/>
    <col min="5639" max="5639" width="11.7109375" style="360" customWidth="1"/>
    <col min="5640" max="5885" width="9.140625" style="360"/>
    <col min="5886" max="5886" width="5.28515625" style="360" customWidth="1"/>
    <col min="5887" max="5887" width="8" style="360" customWidth="1"/>
    <col min="5888" max="5888" width="5.85546875" style="360" customWidth="1"/>
    <col min="5889" max="5889" width="9.42578125" style="360" customWidth="1"/>
    <col min="5890" max="5890" width="11.28515625" style="360" customWidth="1"/>
    <col min="5891" max="5891" width="11" style="360" customWidth="1"/>
    <col min="5892" max="5892" width="13.140625" style="360" customWidth="1"/>
    <col min="5893" max="5893" width="11.7109375" style="360" customWidth="1"/>
    <col min="5894" max="5894" width="11.140625" style="360" customWidth="1"/>
    <col min="5895" max="5895" width="11.7109375" style="360" customWidth="1"/>
    <col min="5896" max="6141" width="9.140625" style="360"/>
    <col min="6142" max="6142" width="5.28515625" style="360" customWidth="1"/>
    <col min="6143" max="6143" width="8" style="360" customWidth="1"/>
    <col min="6144" max="6144" width="5.85546875" style="360" customWidth="1"/>
    <col min="6145" max="6145" width="9.42578125" style="360" customWidth="1"/>
    <col min="6146" max="6146" width="11.28515625" style="360" customWidth="1"/>
    <col min="6147" max="6147" width="11" style="360" customWidth="1"/>
    <col min="6148" max="6148" width="13.140625" style="360" customWidth="1"/>
    <col min="6149" max="6149" width="11.7109375" style="360" customWidth="1"/>
    <col min="6150" max="6150" width="11.140625" style="360" customWidth="1"/>
    <col min="6151" max="6151" width="11.7109375" style="360" customWidth="1"/>
    <col min="6152" max="6397" width="9.140625" style="360"/>
    <col min="6398" max="6398" width="5.28515625" style="360" customWidth="1"/>
    <col min="6399" max="6399" width="8" style="360" customWidth="1"/>
    <col min="6400" max="6400" width="5.85546875" style="360" customWidth="1"/>
    <col min="6401" max="6401" width="9.42578125" style="360" customWidth="1"/>
    <col min="6402" max="6402" width="11.28515625" style="360" customWidth="1"/>
    <col min="6403" max="6403" width="11" style="360" customWidth="1"/>
    <col min="6404" max="6404" width="13.140625" style="360" customWidth="1"/>
    <col min="6405" max="6405" width="11.7109375" style="360" customWidth="1"/>
    <col min="6406" max="6406" width="11.140625" style="360" customWidth="1"/>
    <col min="6407" max="6407" width="11.7109375" style="360" customWidth="1"/>
    <col min="6408" max="6653" width="9.140625" style="360"/>
    <col min="6654" max="6654" width="5.28515625" style="360" customWidth="1"/>
    <col min="6655" max="6655" width="8" style="360" customWidth="1"/>
    <col min="6656" max="6656" width="5.85546875" style="360" customWidth="1"/>
    <col min="6657" max="6657" width="9.42578125" style="360" customWidth="1"/>
    <col min="6658" max="6658" width="11.28515625" style="360" customWidth="1"/>
    <col min="6659" max="6659" width="11" style="360" customWidth="1"/>
    <col min="6660" max="6660" width="13.140625" style="360" customWidth="1"/>
    <col min="6661" max="6661" width="11.7109375" style="360" customWidth="1"/>
    <col min="6662" max="6662" width="11.140625" style="360" customWidth="1"/>
    <col min="6663" max="6663" width="11.7109375" style="360" customWidth="1"/>
    <col min="6664" max="6909" width="9.140625" style="360"/>
    <col min="6910" max="6910" width="5.28515625" style="360" customWidth="1"/>
    <col min="6911" max="6911" width="8" style="360" customWidth="1"/>
    <col min="6912" max="6912" width="5.85546875" style="360" customWidth="1"/>
    <col min="6913" max="6913" width="9.42578125" style="360" customWidth="1"/>
    <col min="6914" max="6914" width="11.28515625" style="360" customWidth="1"/>
    <col min="6915" max="6915" width="11" style="360" customWidth="1"/>
    <col min="6916" max="6916" width="13.140625" style="360" customWidth="1"/>
    <col min="6917" max="6917" width="11.7109375" style="360" customWidth="1"/>
    <col min="6918" max="6918" width="11.140625" style="360" customWidth="1"/>
    <col min="6919" max="6919" width="11.7109375" style="360" customWidth="1"/>
    <col min="6920" max="7165" width="9.140625" style="360"/>
    <col min="7166" max="7166" width="5.28515625" style="360" customWidth="1"/>
    <col min="7167" max="7167" width="8" style="360" customWidth="1"/>
    <col min="7168" max="7168" width="5.85546875" style="360" customWidth="1"/>
    <col min="7169" max="7169" width="9.42578125" style="360" customWidth="1"/>
    <col min="7170" max="7170" width="11.28515625" style="360" customWidth="1"/>
    <col min="7171" max="7171" width="11" style="360" customWidth="1"/>
    <col min="7172" max="7172" width="13.140625" style="360" customWidth="1"/>
    <col min="7173" max="7173" width="11.7109375" style="360" customWidth="1"/>
    <col min="7174" max="7174" width="11.140625" style="360" customWidth="1"/>
    <col min="7175" max="7175" width="11.7109375" style="360" customWidth="1"/>
    <col min="7176" max="7421" width="9.140625" style="360"/>
    <col min="7422" max="7422" width="5.28515625" style="360" customWidth="1"/>
    <col min="7423" max="7423" width="8" style="360" customWidth="1"/>
    <col min="7424" max="7424" width="5.85546875" style="360" customWidth="1"/>
    <col min="7425" max="7425" width="9.42578125" style="360" customWidth="1"/>
    <col min="7426" max="7426" width="11.28515625" style="360" customWidth="1"/>
    <col min="7427" max="7427" width="11" style="360" customWidth="1"/>
    <col min="7428" max="7428" width="13.140625" style="360" customWidth="1"/>
    <col min="7429" max="7429" width="11.7109375" style="360" customWidth="1"/>
    <col min="7430" max="7430" width="11.140625" style="360" customWidth="1"/>
    <col min="7431" max="7431" width="11.7109375" style="360" customWidth="1"/>
    <col min="7432" max="7677" width="9.140625" style="360"/>
    <col min="7678" max="7678" width="5.28515625" style="360" customWidth="1"/>
    <col min="7679" max="7679" width="8" style="360" customWidth="1"/>
    <col min="7680" max="7680" width="5.85546875" style="360" customWidth="1"/>
    <col min="7681" max="7681" width="9.42578125" style="360" customWidth="1"/>
    <col min="7682" max="7682" width="11.28515625" style="360" customWidth="1"/>
    <col min="7683" max="7683" width="11" style="360" customWidth="1"/>
    <col min="7684" max="7684" width="13.140625" style="360" customWidth="1"/>
    <col min="7685" max="7685" width="11.7109375" style="360" customWidth="1"/>
    <col min="7686" max="7686" width="11.140625" style="360" customWidth="1"/>
    <col min="7687" max="7687" width="11.7109375" style="360" customWidth="1"/>
    <col min="7688" max="7933" width="9.140625" style="360"/>
    <col min="7934" max="7934" width="5.28515625" style="360" customWidth="1"/>
    <col min="7935" max="7935" width="8" style="360" customWidth="1"/>
    <col min="7936" max="7936" width="5.85546875" style="360" customWidth="1"/>
    <col min="7937" max="7937" width="9.42578125" style="360" customWidth="1"/>
    <col min="7938" max="7938" width="11.28515625" style="360" customWidth="1"/>
    <col min="7939" max="7939" width="11" style="360" customWidth="1"/>
    <col min="7940" max="7940" width="13.140625" style="360" customWidth="1"/>
    <col min="7941" max="7941" width="11.7109375" style="360" customWidth="1"/>
    <col min="7942" max="7942" width="11.140625" style="360" customWidth="1"/>
    <col min="7943" max="7943" width="11.7109375" style="360" customWidth="1"/>
    <col min="7944" max="8189" width="9.140625" style="360"/>
    <col min="8190" max="8190" width="5.28515625" style="360" customWidth="1"/>
    <col min="8191" max="8191" width="8" style="360" customWidth="1"/>
    <col min="8192" max="8192" width="5.85546875" style="360" customWidth="1"/>
    <col min="8193" max="8193" width="9.42578125" style="360" customWidth="1"/>
    <col min="8194" max="8194" width="11.28515625" style="360" customWidth="1"/>
    <col min="8195" max="8195" width="11" style="360" customWidth="1"/>
    <col min="8196" max="8196" width="13.140625" style="360" customWidth="1"/>
    <col min="8197" max="8197" width="11.7109375" style="360" customWidth="1"/>
    <col min="8198" max="8198" width="11.140625" style="360" customWidth="1"/>
    <col min="8199" max="8199" width="11.7109375" style="360" customWidth="1"/>
    <col min="8200" max="8445" width="9.140625" style="360"/>
    <col min="8446" max="8446" width="5.28515625" style="360" customWidth="1"/>
    <col min="8447" max="8447" width="8" style="360" customWidth="1"/>
    <col min="8448" max="8448" width="5.85546875" style="360" customWidth="1"/>
    <col min="8449" max="8449" width="9.42578125" style="360" customWidth="1"/>
    <col min="8450" max="8450" width="11.28515625" style="360" customWidth="1"/>
    <col min="8451" max="8451" width="11" style="360" customWidth="1"/>
    <col min="8452" max="8452" width="13.140625" style="360" customWidth="1"/>
    <col min="8453" max="8453" width="11.7109375" style="360" customWidth="1"/>
    <col min="8454" max="8454" width="11.140625" style="360" customWidth="1"/>
    <col min="8455" max="8455" width="11.7109375" style="360" customWidth="1"/>
    <col min="8456" max="8701" width="9.140625" style="360"/>
    <col min="8702" max="8702" width="5.28515625" style="360" customWidth="1"/>
    <col min="8703" max="8703" width="8" style="360" customWidth="1"/>
    <col min="8704" max="8704" width="5.85546875" style="360" customWidth="1"/>
    <col min="8705" max="8705" width="9.42578125" style="360" customWidth="1"/>
    <col min="8706" max="8706" width="11.28515625" style="360" customWidth="1"/>
    <col min="8707" max="8707" width="11" style="360" customWidth="1"/>
    <col min="8708" max="8708" width="13.140625" style="360" customWidth="1"/>
    <col min="8709" max="8709" width="11.7109375" style="360" customWidth="1"/>
    <col min="8710" max="8710" width="11.140625" style="360" customWidth="1"/>
    <col min="8711" max="8711" width="11.7109375" style="360" customWidth="1"/>
    <col min="8712" max="8957" width="9.140625" style="360"/>
    <col min="8958" max="8958" width="5.28515625" style="360" customWidth="1"/>
    <col min="8959" max="8959" width="8" style="360" customWidth="1"/>
    <col min="8960" max="8960" width="5.85546875" style="360" customWidth="1"/>
    <col min="8961" max="8961" width="9.42578125" style="360" customWidth="1"/>
    <col min="8962" max="8962" width="11.28515625" style="360" customWidth="1"/>
    <col min="8963" max="8963" width="11" style="360" customWidth="1"/>
    <col min="8964" max="8964" width="13.140625" style="360" customWidth="1"/>
    <col min="8965" max="8965" width="11.7109375" style="360" customWidth="1"/>
    <col min="8966" max="8966" width="11.140625" style="360" customWidth="1"/>
    <col min="8967" max="8967" width="11.7109375" style="360" customWidth="1"/>
    <col min="8968" max="9213" width="9.140625" style="360"/>
    <col min="9214" max="9214" width="5.28515625" style="360" customWidth="1"/>
    <col min="9215" max="9215" width="8" style="360" customWidth="1"/>
    <col min="9216" max="9216" width="5.85546875" style="360" customWidth="1"/>
    <col min="9217" max="9217" width="9.42578125" style="360" customWidth="1"/>
    <col min="9218" max="9218" width="11.28515625" style="360" customWidth="1"/>
    <col min="9219" max="9219" width="11" style="360" customWidth="1"/>
    <col min="9220" max="9220" width="13.140625" style="360" customWidth="1"/>
    <col min="9221" max="9221" width="11.7109375" style="360" customWidth="1"/>
    <col min="9222" max="9222" width="11.140625" style="360" customWidth="1"/>
    <col min="9223" max="9223" width="11.7109375" style="360" customWidth="1"/>
    <col min="9224" max="9469" width="9.140625" style="360"/>
    <col min="9470" max="9470" width="5.28515625" style="360" customWidth="1"/>
    <col min="9471" max="9471" width="8" style="360" customWidth="1"/>
    <col min="9472" max="9472" width="5.85546875" style="360" customWidth="1"/>
    <col min="9473" max="9473" width="9.42578125" style="360" customWidth="1"/>
    <col min="9474" max="9474" width="11.28515625" style="360" customWidth="1"/>
    <col min="9475" max="9475" width="11" style="360" customWidth="1"/>
    <col min="9476" max="9476" width="13.140625" style="360" customWidth="1"/>
    <col min="9477" max="9477" width="11.7109375" style="360" customWidth="1"/>
    <col min="9478" max="9478" width="11.140625" style="360" customWidth="1"/>
    <col min="9479" max="9479" width="11.7109375" style="360" customWidth="1"/>
    <col min="9480" max="9725" width="9.140625" style="360"/>
    <col min="9726" max="9726" width="5.28515625" style="360" customWidth="1"/>
    <col min="9727" max="9727" width="8" style="360" customWidth="1"/>
    <col min="9728" max="9728" width="5.85546875" style="360" customWidth="1"/>
    <col min="9729" max="9729" width="9.42578125" style="360" customWidth="1"/>
    <col min="9730" max="9730" width="11.28515625" style="360" customWidth="1"/>
    <col min="9731" max="9731" width="11" style="360" customWidth="1"/>
    <col min="9732" max="9732" width="13.140625" style="360" customWidth="1"/>
    <col min="9733" max="9733" width="11.7109375" style="360" customWidth="1"/>
    <col min="9734" max="9734" width="11.140625" style="360" customWidth="1"/>
    <col min="9735" max="9735" width="11.7109375" style="360" customWidth="1"/>
    <col min="9736" max="9981" width="9.140625" style="360"/>
    <col min="9982" max="9982" width="5.28515625" style="360" customWidth="1"/>
    <col min="9983" max="9983" width="8" style="360" customWidth="1"/>
    <col min="9984" max="9984" width="5.85546875" style="360" customWidth="1"/>
    <col min="9985" max="9985" width="9.42578125" style="360" customWidth="1"/>
    <col min="9986" max="9986" width="11.28515625" style="360" customWidth="1"/>
    <col min="9987" max="9987" width="11" style="360" customWidth="1"/>
    <col min="9988" max="9988" width="13.140625" style="360" customWidth="1"/>
    <col min="9989" max="9989" width="11.7109375" style="360" customWidth="1"/>
    <col min="9990" max="9990" width="11.140625" style="360" customWidth="1"/>
    <col min="9991" max="9991" width="11.7109375" style="360" customWidth="1"/>
    <col min="9992" max="10237" width="9.140625" style="360"/>
    <col min="10238" max="10238" width="5.28515625" style="360" customWidth="1"/>
    <col min="10239" max="10239" width="8" style="360" customWidth="1"/>
    <col min="10240" max="10240" width="5.85546875" style="360" customWidth="1"/>
    <col min="10241" max="10241" width="9.42578125" style="360" customWidth="1"/>
    <col min="10242" max="10242" width="11.28515625" style="360" customWidth="1"/>
    <col min="10243" max="10243" width="11" style="360" customWidth="1"/>
    <col min="10244" max="10244" width="13.140625" style="360" customWidth="1"/>
    <col min="10245" max="10245" width="11.7109375" style="360" customWidth="1"/>
    <col min="10246" max="10246" width="11.140625" style="360" customWidth="1"/>
    <col min="10247" max="10247" width="11.7109375" style="360" customWidth="1"/>
    <col min="10248" max="10493" width="9.140625" style="360"/>
    <col min="10494" max="10494" width="5.28515625" style="360" customWidth="1"/>
    <col min="10495" max="10495" width="8" style="360" customWidth="1"/>
    <col min="10496" max="10496" width="5.85546875" style="360" customWidth="1"/>
    <col min="10497" max="10497" width="9.42578125" style="360" customWidth="1"/>
    <col min="10498" max="10498" width="11.28515625" style="360" customWidth="1"/>
    <col min="10499" max="10499" width="11" style="360" customWidth="1"/>
    <col min="10500" max="10500" width="13.140625" style="360" customWidth="1"/>
    <col min="10501" max="10501" width="11.7109375" style="360" customWidth="1"/>
    <col min="10502" max="10502" width="11.140625" style="360" customWidth="1"/>
    <col min="10503" max="10503" width="11.7109375" style="360" customWidth="1"/>
    <col min="10504" max="10749" width="9.140625" style="360"/>
    <col min="10750" max="10750" width="5.28515625" style="360" customWidth="1"/>
    <col min="10751" max="10751" width="8" style="360" customWidth="1"/>
    <col min="10752" max="10752" width="5.85546875" style="360" customWidth="1"/>
    <col min="10753" max="10753" width="9.42578125" style="360" customWidth="1"/>
    <col min="10754" max="10754" width="11.28515625" style="360" customWidth="1"/>
    <col min="10755" max="10755" width="11" style="360" customWidth="1"/>
    <col min="10756" max="10756" width="13.140625" style="360" customWidth="1"/>
    <col min="10757" max="10757" width="11.7109375" style="360" customWidth="1"/>
    <col min="10758" max="10758" width="11.140625" style="360" customWidth="1"/>
    <col min="10759" max="10759" width="11.7109375" style="360" customWidth="1"/>
    <col min="10760" max="11005" width="9.140625" style="360"/>
    <col min="11006" max="11006" width="5.28515625" style="360" customWidth="1"/>
    <col min="11007" max="11007" width="8" style="360" customWidth="1"/>
    <col min="11008" max="11008" width="5.85546875" style="360" customWidth="1"/>
    <col min="11009" max="11009" width="9.42578125" style="360" customWidth="1"/>
    <col min="11010" max="11010" width="11.28515625" style="360" customWidth="1"/>
    <col min="11011" max="11011" width="11" style="360" customWidth="1"/>
    <col min="11012" max="11012" width="13.140625" style="360" customWidth="1"/>
    <col min="11013" max="11013" width="11.7109375" style="360" customWidth="1"/>
    <col min="11014" max="11014" width="11.140625" style="360" customWidth="1"/>
    <col min="11015" max="11015" width="11.7109375" style="360" customWidth="1"/>
    <col min="11016" max="11261" width="9.140625" style="360"/>
    <col min="11262" max="11262" width="5.28515625" style="360" customWidth="1"/>
    <col min="11263" max="11263" width="8" style="360" customWidth="1"/>
    <col min="11264" max="11264" width="5.85546875" style="360" customWidth="1"/>
    <col min="11265" max="11265" width="9.42578125" style="360" customWidth="1"/>
    <col min="11266" max="11266" width="11.28515625" style="360" customWidth="1"/>
    <col min="11267" max="11267" width="11" style="360" customWidth="1"/>
    <col min="11268" max="11268" width="13.140625" style="360" customWidth="1"/>
    <col min="11269" max="11269" width="11.7109375" style="360" customWidth="1"/>
    <col min="11270" max="11270" width="11.140625" style="360" customWidth="1"/>
    <col min="11271" max="11271" width="11.7109375" style="360" customWidth="1"/>
    <col min="11272" max="11517" width="9.140625" style="360"/>
    <col min="11518" max="11518" width="5.28515625" style="360" customWidth="1"/>
    <col min="11519" max="11519" width="8" style="360" customWidth="1"/>
    <col min="11520" max="11520" width="5.85546875" style="360" customWidth="1"/>
    <col min="11521" max="11521" width="9.42578125" style="360" customWidth="1"/>
    <col min="11522" max="11522" width="11.28515625" style="360" customWidth="1"/>
    <col min="11523" max="11523" width="11" style="360" customWidth="1"/>
    <col min="11524" max="11524" width="13.140625" style="360" customWidth="1"/>
    <col min="11525" max="11525" width="11.7109375" style="360" customWidth="1"/>
    <col min="11526" max="11526" width="11.140625" style="360" customWidth="1"/>
    <col min="11527" max="11527" width="11.7109375" style="360" customWidth="1"/>
    <col min="11528" max="11773" width="9.140625" style="360"/>
    <col min="11774" max="11774" width="5.28515625" style="360" customWidth="1"/>
    <col min="11775" max="11775" width="8" style="360" customWidth="1"/>
    <col min="11776" max="11776" width="5.85546875" style="360" customWidth="1"/>
    <col min="11777" max="11777" width="9.42578125" style="360" customWidth="1"/>
    <col min="11778" max="11778" width="11.28515625" style="360" customWidth="1"/>
    <col min="11779" max="11779" width="11" style="360" customWidth="1"/>
    <col min="11780" max="11780" width="13.140625" style="360" customWidth="1"/>
    <col min="11781" max="11781" width="11.7109375" style="360" customWidth="1"/>
    <col min="11782" max="11782" width="11.140625" style="360" customWidth="1"/>
    <col min="11783" max="11783" width="11.7109375" style="360" customWidth="1"/>
    <col min="11784" max="12029" width="9.140625" style="360"/>
    <col min="12030" max="12030" width="5.28515625" style="360" customWidth="1"/>
    <col min="12031" max="12031" width="8" style="360" customWidth="1"/>
    <col min="12032" max="12032" width="5.85546875" style="360" customWidth="1"/>
    <col min="12033" max="12033" width="9.42578125" style="360" customWidth="1"/>
    <col min="12034" max="12034" width="11.28515625" style="360" customWidth="1"/>
    <col min="12035" max="12035" width="11" style="360" customWidth="1"/>
    <col min="12036" max="12036" width="13.140625" style="360" customWidth="1"/>
    <col min="12037" max="12037" width="11.7109375" style="360" customWidth="1"/>
    <col min="12038" max="12038" width="11.140625" style="360" customWidth="1"/>
    <col min="12039" max="12039" width="11.7109375" style="360" customWidth="1"/>
    <col min="12040" max="12285" width="9.140625" style="360"/>
    <col min="12286" max="12286" width="5.28515625" style="360" customWidth="1"/>
    <col min="12287" max="12287" width="8" style="360" customWidth="1"/>
    <col min="12288" max="12288" width="5.85546875" style="360" customWidth="1"/>
    <col min="12289" max="12289" width="9.42578125" style="360" customWidth="1"/>
    <col min="12290" max="12290" width="11.28515625" style="360" customWidth="1"/>
    <col min="12291" max="12291" width="11" style="360" customWidth="1"/>
    <col min="12292" max="12292" width="13.140625" style="360" customWidth="1"/>
    <col min="12293" max="12293" width="11.7109375" style="360" customWidth="1"/>
    <col min="12294" max="12294" width="11.140625" style="360" customWidth="1"/>
    <col min="12295" max="12295" width="11.7109375" style="360" customWidth="1"/>
    <col min="12296" max="12541" width="9.140625" style="360"/>
    <col min="12542" max="12542" width="5.28515625" style="360" customWidth="1"/>
    <col min="12543" max="12543" width="8" style="360" customWidth="1"/>
    <col min="12544" max="12544" width="5.85546875" style="360" customWidth="1"/>
    <col min="12545" max="12545" width="9.42578125" style="360" customWidth="1"/>
    <col min="12546" max="12546" width="11.28515625" style="360" customWidth="1"/>
    <col min="12547" max="12547" width="11" style="360" customWidth="1"/>
    <col min="12548" max="12548" width="13.140625" style="360" customWidth="1"/>
    <col min="12549" max="12549" width="11.7109375" style="360" customWidth="1"/>
    <col min="12550" max="12550" width="11.140625" style="360" customWidth="1"/>
    <col min="12551" max="12551" width="11.7109375" style="360" customWidth="1"/>
    <col min="12552" max="12797" width="9.140625" style="360"/>
    <col min="12798" max="12798" width="5.28515625" style="360" customWidth="1"/>
    <col min="12799" max="12799" width="8" style="360" customWidth="1"/>
    <col min="12800" max="12800" width="5.85546875" style="360" customWidth="1"/>
    <col min="12801" max="12801" width="9.42578125" style="360" customWidth="1"/>
    <col min="12802" max="12802" width="11.28515625" style="360" customWidth="1"/>
    <col min="12803" max="12803" width="11" style="360" customWidth="1"/>
    <col min="12804" max="12804" width="13.140625" style="360" customWidth="1"/>
    <col min="12805" max="12805" width="11.7109375" style="360" customWidth="1"/>
    <col min="12806" max="12806" width="11.140625" style="360" customWidth="1"/>
    <col min="12807" max="12807" width="11.7109375" style="360" customWidth="1"/>
    <col min="12808" max="13053" width="9.140625" style="360"/>
    <col min="13054" max="13054" width="5.28515625" style="360" customWidth="1"/>
    <col min="13055" max="13055" width="8" style="360" customWidth="1"/>
    <col min="13056" max="13056" width="5.85546875" style="360" customWidth="1"/>
    <col min="13057" max="13057" width="9.42578125" style="360" customWidth="1"/>
    <col min="13058" max="13058" width="11.28515625" style="360" customWidth="1"/>
    <col min="13059" max="13059" width="11" style="360" customWidth="1"/>
    <col min="13060" max="13060" width="13.140625" style="360" customWidth="1"/>
    <col min="13061" max="13061" width="11.7109375" style="360" customWidth="1"/>
    <col min="13062" max="13062" width="11.140625" style="360" customWidth="1"/>
    <col min="13063" max="13063" width="11.7109375" style="360" customWidth="1"/>
    <col min="13064" max="13309" width="9.140625" style="360"/>
    <col min="13310" max="13310" width="5.28515625" style="360" customWidth="1"/>
    <col min="13311" max="13311" width="8" style="360" customWidth="1"/>
    <col min="13312" max="13312" width="5.85546875" style="360" customWidth="1"/>
    <col min="13313" max="13313" width="9.42578125" style="360" customWidth="1"/>
    <col min="13314" max="13314" width="11.28515625" style="360" customWidth="1"/>
    <col min="13315" max="13315" width="11" style="360" customWidth="1"/>
    <col min="13316" max="13316" width="13.140625" style="360" customWidth="1"/>
    <col min="13317" max="13317" width="11.7109375" style="360" customWidth="1"/>
    <col min="13318" max="13318" width="11.140625" style="360" customWidth="1"/>
    <col min="13319" max="13319" width="11.7109375" style="360" customWidth="1"/>
    <col min="13320" max="13565" width="9.140625" style="360"/>
    <col min="13566" max="13566" width="5.28515625" style="360" customWidth="1"/>
    <col min="13567" max="13567" width="8" style="360" customWidth="1"/>
    <col min="13568" max="13568" width="5.85546875" style="360" customWidth="1"/>
    <col min="13569" max="13569" width="9.42578125" style="360" customWidth="1"/>
    <col min="13570" max="13570" width="11.28515625" style="360" customWidth="1"/>
    <col min="13571" max="13571" width="11" style="360" customWidth="1"/>
    <col min="13572" max="13572" width="13.140625" style="360" customWidth="1"/>
    <col min="13573" max="13573" width="11.7109375" style="360" customWidth="1"/>
    <col min="13574" max="13574" width="11.140625" style="360" customWidth="1"/>
    <col min="13575" max="13575" width="11.7109375" style="360" customWidth="1"/>
    <col min="13576" max="13821" width="9.140625" style="360"/>
    <col min="13822" max="13822" width="5.28515625" style="360" customWidth="1"/>
    <col min="13823" max="13823" width="8" style="360" customWidth="1"/>
    <col min="13824" max="13824" width="5.85546875" style="360" customWidth="1"/>
    <col min="13825" max="13825" width="9.42578125" style="360" customWidth="1"/>
    <col min="13826" max="13826" width="11.28515625" style="360" customWidth="1"/>
    <col min="13827" max="13827" width="11" style="360" customWidth="1"/>
    <col min="13828" max="13828" width="13.140625" style="360" customWidth="1"/>
    <col min="13829" max="13829" width="11.7109375" style="360" customWidth="1"/>
    <col min="13830" max="13830" width="11.140625" style="360" customWidth="1"/>
    <col min="13831" max="13831" width="11.7109375" style="360" customWidth="1"/>
    <col min="13832" max="14077" width="9.140625" style="360"/>
    <col min="14078" max="14078" width="5.28515625" style="360" customWidth="1"/>
    <col min="14079" max="14079" width="8" style="360" customWidth="1"/>
    <col min="14080" max="14080" width="5.85546875" style="360" customWidth="1"/>
    <col min="14081" max="14081" width="9.42578125" style="360" customWidth="1"/>
    <col min="14082" max="14082" width="11.28515625" style="360" customWidth="1"/>
    <col min="14083" max="14083" width="11" style="360" customWidth="1"/>
    <col min="14084" max="14084" width="13.140625" style="360" customWidth="1"/>
    <col min="14085" max="14085" width="11.7109375" style="360" customWidth="1"/>
    <col min="14086" max="14086" width="11.140625" style="360" customWidth="1"/>
    <col min="14087" max="14087" width="11.7109375" style="360" customWidth="1"/>
    <col min="14088" max="14333" width="9.140625" style="360"/>
    <col min="14334" max="14334" width="5.28515625" style="360" customWidth="1"/>
    <col min="14335" max="14335" width="8" style="360" customWidth="1"/>
    <col min="14336" max="14336" width="5.85546875" style="360" customWidth="1"/>
    <col min="14337" max="14337" width="9.42578125" style="360" customWidth="1"/>
    <col min="14338" max="14338" width="11.28515625" style="360" customWidth="1"/>
    <col min="14339" max="14339" width="11" style="360" customWidth="1"/>
    <col min="14340" max="14340" width="13.140625" style="360" customWidth="1"/>
    <col min="14341" max="14341" width="11.7109375" style="360" customWidth="1"/>
    <col min="14342" max="14342" width="11.140625" style="360" customWidth="1"/>
    <col min="14343" max="14343" width="11.7109375" style="360" customWidth="1"/>
    <col min="14344" max="14589" width="9.140625" style="360"/>
    <col min="14590" max="14590" width="5.28515625" style="360" customWidth="1"/>
    <col min="14591" max="14591" width="8" style="360" customWidth="1"/>
    <col min="14592" max="14592" width="5.85546875" style="360" customWidth="1"/>
    <col min="14593" max="14593" width="9.42578125" style="360" customWidth="1"/>
    <col min="14594" max="14594" width="11.28515625" style="360" customWidth="1"/>
    <col min="14595" max="14595" width="11" style="360" customWidth="1"/>
    <col min="14596" max="14596" width="13.140625" style="360" customWidth="1"/>
    <col min="14597" max="14597" width="11.7109375" style="360" customWidth="1"/>
    <col min="14598" max="14598" width="11.140625" style="360" customWidth="1"/>
    <col min="14599" max="14599" width="11.7109375" style="360" customWidth="1"/>
    <col min="14600" max="14845" width="9.140625" style="360"/>
    <col min="14846" max="14846" width="5.28515625" style="360" customWidth="1"/>
    <col min="14847" max="14847" width="8" style="360" customWidth="1"/>
    <col min="14848" max="14848" width="5.85546875" style="360" customWidth="1"/>
    <col min="14849" max="14849" width="9.42578125" style="360" customWidth="1"/>
    <col min="14850" max="14850" width="11.28515625" style="360" customWidth="1"/>
    <col min="14851" max="14851" width="11" style="360" customWidth="1"/>
    <col min="14852" max="14852" width="13.140625" style="360" customWidth="1"/>
    <col min="14853" max="14853" width="11.7109375" style="360" customWidth="1"/>
    <col min="14854" max="14854" width="11.140625" style="360" customWidth="1"/>
    <col min="14855" max="14855" width="11.7109375" style="360" customWidth="1"/>
    <col min="14856" max="15101" width="9.140625" style="360"/>
    <col min="15102" max="15102" width="5.28515625" style="360" customWidth="1"/>
    <col min="15103" max="15103" width="8" style="360" customWidth="1"/>
    <col min="15104" max="15104" width="5.85546875" style="360" customWidth="1"/>
    <col min="15105" max="15105" width="9.42578125" style="360" customWidth="1"/>
    <col min="15106" max="15106" width="11.28515625" style="360" customWidth="1"/>
    <col min="15107" max="15107" width="11" style="360" customWidth="1"/>
    <col min="15108" max="15108" width="13.140625" style="360" customWidth="1"/>
    <col min="15109" max="15109" width="11.7109375" style="360" customWidth="1"/>
    <col min="15110" max="15110" width="11.140625" style="360" customWidth="1"/>
    <col min="15111" max="15111" width="11.7109375" style="360" customWidth="1"/>
    <col min="15112" max="15357" width="9.140625" style="360"/>
    <col min="15358" max="15358" width="5.28515625" style="360" customWidth="1"/>
    <col min="15359" max="15359" width="8" style="360" customWidth="1"/>
    <col min="15360" max="15360" width="5.85546875" style="360" customWidth="1"/>
    <col min="15361" max="15361" width="9.42578125" style="360" customWidth="1"/>
    <col min="15362" max="15362" width="11.28515625" style="360" customWidth="1"/>
    <col min="15363" max="15363" width="11" style="360" customWidth="1"/>
    <col min="15364" max="15364" width="13.140625" style="360" customWidth="1"/>
    <col min="15365" max="15365" width="11.7109375" style="360" customWidth="1"/>
    <col min="15366" max="15366" width="11.140625" style="360" customWidth="1"/>
    <col min="15367" max="15367" width="11.7109375" style="360" customWidth="1"/>
    <col min="15368" max="15613" width="9.140625" style="360"/>
    <col min="15614" max="15614" width="5.28515625" style="360" customWidth="1"/>
    <col min="15615" max="15615" width="8" style="360" customWidth="1"/>
    <col min="15616" max="15616" width="5.85546875" style="360" customWidth="1"/>
    <col min="15617" max="15617" width="9.42578125" style="360" customWidth="1"/>
    <col min="15618" max="15618" width="11.28515625" style="360" customWidth="1"/>
    <col min="15619" max="15619" width="11" style="360" customWidth="1"/>
    <col min="15620" max="15620" width="13.140625" style="360" customWidth="1"/>
    <col min="15621" max="15621" width="11.7109375" style="360" customWidth="1"/>
    <col min="15622" max="15622" width="11.140625" style="360" customWidth="1"/>
    <col min="15623" max="15623" width="11.7109375" style="360" customWidth="1"/>
    <col min="15624" max="15869" width="9.140625" style="360"/>
    <col min="15870" max="15870" width="5.28515625" style="360" customWidth="1"/>
    <col min="15871" max="15871" width="8" style="360" customWidth="1"/>
    <col min="15872" max="15872" width="5.85546875" style="360" customWidth="1"/>
    <col min="15873" max="15873" width="9.42578125" style="360" customWidth="1"/>
    <col min="15874" max="15874" width="11.28515625" style="360" customWidth="1"/>
    <col min="15875" max="15875" width="11" style="360" customWidth="1"/>
    <col min="15876" max="15876" width="13.140625" style="360" customWidth="1"/>
    <col min="15877" max="15877" width="11.7109375" style="360" customWidth="1"/>
    <col min="15878" max="15878" width="11.140625" style="360" customWidth="1"/>
    <col min="15879" max="15879" width="11.7109375" style="360" customWidth="1"/>
    <col min="15880" max="16125" width="9.140625" style="360"/>
    <col min="16126" max="16126" width="5.28515625" style="360" customWidth="1"/>
    <col min="16127" max="16127" width="8" style="360" customWidth="1"/>
    <col min="16128" max="16128" width="5.85546875" style="360" customWidth="1"/>
    <col min="16129" max="16129" width="9.42578125" style="360" customWidth="1"/>
    <col min="16130" max="16130" width="11.28515625" style="360" customWidth="1"/>
    <col min="16131" max="16131" width="11" style="360" customWidth="1"/>
    <col min="16132" max="16132" width="13.140625" style="360" customWidth="1"/>
    <col min="16133" max="16133" width="11.7109375" style="360" customWidth="1"/>
    <col min="16134" max="16134" width="11.140625" style="360" customWidth="1"/>
    <col min="16135" max="16135" width="11.7109375" style="360" customWidth="1"/>
    <col min="16136" max="16384" width="9.140625" style="360"/>
  </cols>
  <sheetData>
    <row r="1" spans="1:72" ht="12.75" customHeight="1" x14ac:dyDescent="0.25">
      <c r="A1" s="325"/>
      <c r="F1" s="3" t="s">
        <v>528</v>
      </c>
    </row>
    <row r="2" spans="1:72" ht="12.75" customHeight="1" x14ac:dyDescent="0.25">
      <c r="F2" s="3" t="s">
        <v>449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450</v>
      </c>
    </row>
    <row r="5" spans="1:72" ht="12.75" customHeight="1" x14ac:dyDescent="0.25"/>
    <row r="6" spans="1:72" ht="13.5" customHeight="1" x14ac:dyDescent="0.25">
      <c r="A6" s="280" t="s">
        <v>324</v>
      </c>
      <c r="B6" s="280"/>
      <c r="C6" s="280"/>
      <c r="D6" s="280"/>
      <c r="E6" s="280"/>
      <c r="F6" s="280"/>
      <c r="G6" s="280"/>
      <c r="J6" s="1"/>
    </row>
    <row r="7" spans="1:72" ht="12.75" customHeight="1" x14ac:dyDescent="0.25">
      <c r="A7" s="280" t="s">
        <v>325</v>
      </c>
      <c r="B7" s="326"/>
      <c r="C7" s="326"/>
      <c r="D7" s="326"/>
      <c r="E7" s="326"/>
      <c r="F7" s="326"/>
      <c r="G7" s="326"/>
      <c r="J7" s="1"/>
    </row>
    <row r="8" spans="1:72" ht="9" customHeight="1" x14ac:dyDescent="0.25">
      <c r="A8" s="327"/>
      <c r="B8" s="328"/>
      <c r="C8" s="328"/>
      <c r="D8" s="328"/>
      <c r="E8" s="328"/>
      <c r="F8" s="328"/>
      <c r="G8" s="328"/>
      <c r="J8" s="1"/>
    </row>
    <row r="9" spans="1:72" ht="11.25" customHeight="1" x14ac:dyDescent="0.25">
      <c r="G9" s="329" t="s">
        <v>2</v>
      </c>
    </row>
    <row r="10" spans="1:72" s="333" customFormat="1" ht="36.75" customHeight="1" x14ac:dyDescent="0.2">
      <c r="A10" s="330" t="s">
        <v>176</v>
      </c>
      <c r="B10" s="330" t="s">
        <v>180</v>
      </c>
      <c r="C10" s="330" t="s">
        <v>326</v>
      </c>
      <c r="D10" s="330" t="s">
        <v>178</v>
      </c>
      <c r="E10" s="331" t="s">
        <v>6</v>
      </c>
      <c r="F10" s="331" t="s">
        <v>327</v>
      </c>
      <c r="G10" s="331" t="s">
        <v>328</v>
      </c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</row>
    <row r="11" spans="1:72" s="336" customFormat="1" ht="10.5" customHeight="1" x14ac:dyDescent="0.2">
      <c r="A11" s="334">
        <v>1</v>
      </c>
      <c r="B11" s="334">
        <v>2</v>
      </c>
      <c r="C11" s="334">
        <v>3</v>
      </c>
      <c r="D11" s="334">
        <v>4</v>
      </c>
      <c r="E11" s="334">
        <v>5</v>
      </c>
      <c r="F11" s="334">
        <v>6</v>
      </c>
      <c r="G11" s="334">
        <v>7</v>
      </c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</row>
    <row r="12" spans="1:72" s="600" customFormat="1" ht="15.75" customHeight="1" x14ac:dyDescent="0.2">
      <c r="A12" s="337"/>
      <c r="B12" s="338"/>
      <c r="C12" s="339"/>
      <c r="D12" s="339"/>
      <c r="E12" s="340" t="s">
        <v>24</v>
      </c>
      <c r="F12" s="341">
        <f>6300+1461+2140+3935+683+1698</f>
        <v>16217</v>
      </c>
      <c r="G12" s="342" t="s">
        <v>329</v>
      </c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599"/>
      <c r="AA12" s="599"/>
      <c r="AB12" s="599"/>
      <c r="AC12" s="599"/>
      <c r="AD12" s="599"/>
      <c r="AE12" s="599"/>
      <c r="AF12" s="599"/>
      <c r="AG12" s="599"/>
      <c r="AH12" s="599"/>
      <c r="AI12" s="599"/>
      <c r="AJ12" s="599"/>
      <c r="AK12" s="599"/>
      <c r="AL12" s="599"/>
      <c r="AM12" s="599"/>
      <c r="AN12" s="599"/>
      <c r="AO12" s="599"/>
      <c r="AP12" s="599"/>
      <c r="AQ12" s="599"/>
      <c r="AR12" s="599"/>
      <c r="AS12" s="599"/>
      <c r="AT12" s="599"/>
      <c r="AU12" s="599"/>
      <c r="AV12" s="599"/>
      <c r="AW12" s="599"/>
      <c r="AX12" s="599"/>
      <c r="AY12" s="599"/>
      <c r="AZ12" s="599"/>
      <c r="BA12" s="599"/>
      <c r="BB12" s="599"/>
      <c r="BC12" s="599"/>
      <c r="BD12" s="599"/>
      <c r="BE12" s="599"/>
      <c r="BF12" s="599"/>
      <c r="BG12" s="599"/>
      <c r="BH12" s="599"/>
      <c r="BI12" s="599"/>
      <c r="BJ12" s="599"/>
      <c r="BK12" s="599"/>
      <c r="BL12" s="599"/>
      <c r="BM12" s="599"/>
      <c r="BN12" s="599"/>
      <c r="BO12" s="599"/>
      <c r="BP12" s="599"/>
      <c r="BQ12" s="599"/>
      <c r="BR12" s="599"/>
      <c r="BS12" s="599"/>
      <c r="BT12" s="599"/>
    </row>
    <row r="13" spans="1:72" s="600" customFormat="1" ht="24" x14ac:dyDescent="0.2">
      <c r="A13" s="343" t="s">
        <v>305</v>
      </c>
      <c r="B13" s="344" t="s">
        <v>330</v>
      </c>
      <c r="C13" s="339" t="s">
        <v>124</v>
      </c>
      <c r="D13" s="339" t="s">
        <v>331</v>
      </c>
      <c r="E13" s="345" t="s">
        <v>329</v>
      </c>
      <c r="F13" s="346" t="s">
        <v>329</v>
      </c>
      <c r="G13" s="347">
        <f>SUM(G15)</f>
        <v>16217</v>
      </c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599"/>
      <c r="AM13" s="599"/>
      <c r="AN13" s="599"/>
      <c r="AO13" s="599"/>
      <c r="AP13" s="599"/>
      <c r="AQ13" s="599"/>
      <c r="AR13" s="599"/>
      <c r="AS13" s="599"/>
      <c r="AT13" s="599"/>
      <c r="AU13" s="599"/>
      <c r="AV13" s="599"/>
      <c r="AW13" s="599"/>
      <c r="AX13" s="599"/>
      <c r="AY13" s="599"/>
      <c r="AZ13" s="599"/>
      <c r="BA13" s="599"/>
      <c r="BB13" s="599"/>
      <c r="BC13" s="599"/>
      <c r="BD13" s="599"/>
      <c r="BE13" s="599"/>
      <c r="BF13" s="599"/>
      <c r="BG13" s="599"/>
      <c r="BH13" s="599"/>
      <c r="BI13" s="599"/>
      <c r="BJ13" s="599"/>
      <c r="BK13" s="599"/>
      <c r="BL13" s="599"/>
      <c r="BM13" s="599"/>
      <c r="BN13" s="599"/>
      <c r="BO13" s="599"/>
      <c r="BP13" s="599"/>
      <c r="BQ13" s="599"/>
      <c r="BR13" s="599"/>
      <c r="BS13" s="599"/>
      <c r="BT13" s="599"/>
    </row>
    <row r="14" spans="1:72" s="600" customFormat="1" ht="9" customHeight="1" x14ac:dyDescent="0.2">
      <c r="A14" s="337"/>
      <c r="B14" s="348"/>
      <c r="C14" s="601"/>
      <c r="D14" s="601"/>
      <c r="E14" s="601"/>
      <c r="F14" s="602"/>
      <c r="G14" s="603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599"/>
      <c r="AK14" s="599"/>
      <c r="AL14" s="599"/>
      <c r="AM14" s="599"/>
      <c r="AN14" s="599"/>
      <c r="AO14" s="599"/>
      <c r="AP14" s="599"/>
      <c r="AQ14" s="599"/>
      <c r="AR14" s="599"/>
      <c r="AS14" s="599"/>
      <c r="AT14" s="599"/>
      <c r="AU14" s="599"/>
      <c r="AV14" s="599"/>
      <c r="AW14" s="599"/>
      <c r="AX14" s="599"/>
      <c r="AY14" s="599"/>
      <c r="AZ14" s="599"/>
      <c r="BA14" s="599"/>
      <c r="BB14" s="599"/>
      <c r="BC14" s="599"/>
      <c r="BD14" s="599"/>
      <c r="BE14" s="599"/>
      <c r="BF14" s="599"/>
      <c r="BG14" s="599"/>
      <c r="BH14" s="599"/>
      <c r="BI14" s="599"/>
      <c r="BJ14" s="599"/>
      <c r="BK14" s="599"/>
      <c r="BL14" s="599"/>
      <c r="BM14" s="599"/>
      <c r="BN14" s="599"/>
      <c r="BO14" s="599"/>
      <c r="BP14" s="599"/>
      <c r="BQ14" s="599"/>
      <c r="BR14" s="599"/>
      <c r="BS14" s="599"/>
      <c r="BT14" s="599"/>
    </row>
    <row r="15" spans="1:72" s="600" customFormat="1" ht="15.75" customHeight="1" x14ac:dyDescent="0.2">
      <c r="A15" s="604"/>
      <c r="B15" s="605" t="s">
        <v>332</v>
      </c>
      <c r="C15" s="601"/>
      <c r="D15" s="601"/>
      <c r="E15" s="601"/>
      <c r="F15" s="602"/>
      <c r="G15" s="603">
        <f>SUM(G16:G16)</f>
        <v>16217</v>
      </c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599"/>
      <c r="AK15" s="599"/>
      <c r="AL15" s="599"/>
      <c r="AM15" s="599"/>
      <c r="AN15" s="599"/>
      <c r="AO15" s="599"/>
      <c r="AP15" s="599"/>
      <c r="AQ15" s="599"/>
      <c r="AR15" s="599"/>
      <c r="AS15" s="599"/>
      <c r="AT15" s="599"/>
      <c r="AU15" s="599"/>
      <c r="AV15" s="599"/>
      <c r="AW15" s="599"/>
      <c r="AX15" s="599"/>
      <c r="AY15" s="599"/>
      <c r="AZ15" s="599"/>
      <c r="BA15" s="599"/>
      <c r="BB15" s="599"/>
      <c r="BC15" s="599"/>
      <c r="BD15" s="599"/>
      <c r="BE15" s="599"/>
      <c r="BF15" s="599"/>
      <c r="BG15" s="599"/>
      <c r="BH15" s="599"/>
      <c r="BI15" s="599"/>
      <c r="BJ15" s="599"/>
      <c r="BK15" s="599"/>
      <c r="BL15" s="599"/>
      <c r="BM15" s="599"/>
      <c r="BN15" s="599"/>
      <c r="BO15" s="599"/>
      <c r="BP15" s="599"/>
      <c r="BQ15" s="599"/>
      <c r="BR15" s="599"/>
      <c r="BS15" s="599"/>
      <c r="BT15" s="599"/>
    </row>
    <row r="16" spans="1:72" s="600" customFormat="1" ht="15.75" customHeight="1" x14ac:dyDescent="0.2">
      <c r="A16" s="604"/>
      <c r="B16" s="605"/>
      <c r="C16" s="601"/>
      <c r="D16" s="601"/>
      <c r="E16" s="339" t="s">
        <v>333</v>
      </c>
      <c r="F16" s="349" t="s">
        <v>329</v>
      </c>
      <c r="G16" s="350">
        <f>6300+1461+2140+3935+683+1698</f>
        <v>16217</v>
      </c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599"/>
      <c r="AK16" s="599"/>
      <c r="AL16" s="599"/>
      <c r="AM16" s="599"/>
      <c r="AN16" s="599"/>
      <c r="AO16" s="599"/>
      <c r="AP16" s="599"/>
      <c r="AQ16" s="599"/>
      <c r="AR16" s="599"/>
      <c r="AS16" s="599"/>
      <c r="AT16" s="599"/>
      <c r="AU16" s="599"/>
      <c r="AV16" s="599"/>
      <c r="AW16" s="599"/>
      <c r="AX16" s="599"/>
      <c r="AY16" s="599"/>
      <c r="AZ16" s="599"/>
      <c r="BA16" s="599"/>
      <c r="BB16" s="599"/>
      <c r="BC16" s="599"/>
      <c r="BD16" s="599"/>
      <c r="BE16" s="599"/>
      <c r="BF16" s="599"/>
      <c r="BG16" s="599"/>
      <c r="BH16" s="599"/>
      <c r="BI16" s="599"/>
      <c r="BJ16" s="599"/>
      <c r="BK16" s="599"/>
      <c r="BL16" s="599"/>
      <c r="BM16" s="599"/>
      <c r="BN16" s="599"/>
      <c r="BO16" s="599"/>
      <c r="BP16" s="599"/>
      <c r="BQ16" s="599"/>
      <c r="BR16" s="599"/>
      <c r="BS16" s="599"/>
      <c r="BT16" s="599"/>
    </row>
    <row r="17" spans="1:72" s="600" customFormat="1" ht="15.75" customHeight="1" x14ac:dyDescent="0.2">
      <c r="A17" s="351"/>
      <c r="B17" s="352"/>
      <c r="C17" s="353"/>
      <c r="D17" s="340"/>
      <c r="E17" s="340"/>
      <c r="F17" s="342"/>
      <c r="G17" s="354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A17" s="599"/>
      <c r="AB17" s="599"/>
      <c r="AC17" s="599"/>
      <c r="AD17" s="599"/>
      <c r="AE17" s="599"/>
      <c r="AF17" s="599"/>
      <c r="AG17" s="599"/>
      <c r="AH17" s="599"/>
      <c r="AI17" s="599"/>
      <c r="AJ17" s="599"/>
      <c r="AK17" s="599"/>
      <c r="AL17" s="599"/>
      <c r="AM17" s="599"/>
      <c r="AN17" s="599"/>
      <c r="AO17" s="599"/>
      <c r="AP17" s="599"/>
      <c r="AQ17" s="599"/>
      <c r="AR17" s="599"/>
      <c r="AS17" s="599"/>
      <c r="AT17" s="599"/>
      <c r="AU17" s="599"/>
      <c r="AV17" s="599"/>
      <c r="AW17" s="599"/>
      <c r="AX17" s="599"/>
      <c r="AY17" s="599"/>
      <c r="AZ17" s="599"/>
      <c r="BA17" s="599"/>
      <c r="BB17" s="599"/>
      <c r="BC17" s="599"/>
      <c r="BD17" s="599"/>
      <c r="BE17" s="599"/>
      <c r="BF17" s="599"/>
      <c r="BG17" s="599"/>
      <c r="BH17" s="599"/>
      <c r="BI17" s="599"/>
      <c r="BJ17" s="599"/>
      <c r="BK17" s="599"/>
      <c r="BL17" s="599"/>
      <c r="BM17" s="599"/>
      <c r="BN17" s="599"/>
      <c r="BO17" s="599"/>
      <c r="BP17" s="599"/>
      <c r="BQ17" s="599"/>
      <c r="BR17" s="599"/>
      <c r="BS17" s="599"/>
      <c r="BT17" s="599"/>
    </row>
    <row r="18" spans="1:72" s="600" customFormat="1" ht="15.75" customHeight="1" x14ac:dyDescent="0.2">
      <c r="A18" s="337"/>
      <c r="B18" s="338"/>
      <c r="C18" s="339"/>
      <c r="D18" s="339"/>
      <c r="E18" s="340" t="s">
        <v>24</v>
      </c>
      <c r="F18" s="341">
        <f>12806+18072+15851+15093+22120+19181+37648+19309</f>
        <v>160080</v>
      </c>
      <c r="G18" s="342" t="s">
        <v>329</v>
      </c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599"/>
      <c r="AJ18" s="599"/>
      <c r="AK18" s="599"/>
      <c r="AL18" s="599"/>
      <c r="AM18" s="599"/>
      <c r="AN18" s="599"/>
      <c r="AO18" s="599"/>
      <c r="AP18" s="599"/>
      <c r="AQ18" s="599"/>
      <c r="AR18" s="599"/>
      <c r="AS18" s="599"/>
      <c r="AT18" s="599"/>
      <c r="AU18" s="599"/>
      <c r="AV18" s="599"/>
      <c r="AW18" s="599"/>
      <c r="AX18" s="599"/>
      <c r="AY18" s="599"/>
      <c r="AZ18" s="599"/>
      <c r="BA18" s="599"/>
      <c r="BB18" s="599"/>
      <c r="BC18" s="599"/>
      <c r="BD18" s="599"/>
      <c r="BE18" s="599"/>
      <c r="BF18" s="599"/>
      <c r="BG18" s="599"/>
      <c r="BH18" s="599"/>
      <c r="BI18" s="599"/>
      <c r="BJ18" s="599"/>
      <c r="BK18" s="599"/>
      <c r="BL18" s="599"/>
      <c r="BM18" s="599"/>
      <c r="BN18" s="599"/>
      <c r="BO18" s="599"/>
      <c r="BP18" s="599"/>
      <c r="BQ18" s="599"/>
      <c r="BR18" s="599"/>
      <c r="BS18" s="599"/>
      <c r="BT18" s="599"/>
    </row>
    <row r="19" spans="1:72" s="600" customFormat="1" ht="20.25" customHeight="1" x14ac:dyDescent="0.2">
      <c r="A19" s="343" t="s">
        <v>306</v>
      </c>
      <c r="B19" s="355" t="s">
        <v>334</v>
      </c>
      <c r="C19" s="339" t="s">
        <v>335</v>
      </c>
      <c r="D19" s="339" t="s">
        <v>336</v>
      </c>
      <c r="E19" s="345" t="s">
        <v>329</v>
      </c>
      <c r="F19" s="346" t="s">
        <v>329</v>
      </c>
      <c r="G19" s="347">
        <f>SUM(G21)</f>
        <v>160080</v>
      </c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  <c r="AM19" s="599"/>
      <c r="AN19" s="599"/>
      <c r="AO19" s="599"/>
      <c r="AP19" s="599"/>
      <c r="AQ19" s="599"/>
      <c r="AR19" s="599"/>
      <c r="AS19" s="599"/>
      <c r="AT19" s="599"/>
      <c r="AU19" s="599"/>
      <c r="AV19" s="599"/>
      <c r="AW19" s="599"/>
      <c r="AX19" s="599"/>
      <c r="AY19" s="599"/>
      <c r="AZ19" s="599"/>
      <c r="BA19" s="599"/>
      <c r="BB19" s="599"/>
      <c r="BC19" s="599"/>
      <c r="BD19" s="599"/>
      <c r="BE19" s="599"/>
      <c r="BF19" s="599"/>
      <c r="BG19" s="599"/>
      <c r="BH19" s="599"/>
      <c r="BI19" s="599"/>
      <c r="BJ19" s="599"/>
      <c r="BK19" s="599"/>
      <c r="BL19" s="599"/>
      <c r="BM19" s="599"/>
      <c r="BN19" s="599"/>
      <c r="BO19" s="599"/>
      <c r="BP19" s="599"/>
      <c r="BQ19" s="599"/>
      <c r="BR19" s="599"/>
      <c r="BS19" s="599"/>
      <c r="BT19" s="599"/>
    </row>
    <row r="20" spans="1:72" s="600" customFormat="1" ht="10.5" customHeight="1" x14ac:dyDescent="0.2">
      <c r="A20" s="337"/>
      <c r="B20" s="348"/>
      <c r="C20" s="601"/>
      <c r="D20" s="601"/>
      <c r="E20" s="601"/>
      <c r="F20" s="602"/>
      <c r="G20" s="603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599"/>
      <c r="AJ20" s="599"/>
      <c r="AK20" s="599"/>
      <c r="AL20" s="599"/>
      <c r="AM20" s="599"/>
      <c r="AN20" s="599"/>
      <c r="AO20" s="599"/>
      <c r="AP20" s="599"/>
      <c r="AQ20" s="599"/>
      <c r="AR20" s="599"/>
      <c r="AS20" s="599"/>
      <c r="AT20" s="599"/>
      <c r="AU20" s="599"/>
      <c r="AV20" s="599"/>
      <c r="AW20" s="599"/>
      <c r="AX20" s="599"/>
      <c r="AY20" s="599"/>
      <c r="AZ20" s="599"/>
      <c r="BA20" s="599"/>
      <c r="BB20" s="599"/>
      <c r="BC20" s="599"/>
      <c r="BD20" s="599"/>
      <c r="BE20" s="599"/>
      <c r="BF20" s="599"/>
      <c r="BG20" s="599"/>
      <c r="BH20" s="599"/>
      <c r="BI20" s="599"/>
      <c r="BJ20" s="599"/>
      <c r="BK20" s="599"/>
      <c r="BL20" s="599"/>
      <c r="BM20" s="599"/>
      <c r="BN20" s="599"/>
      <c r="BO20" s="599"/>
      <c r="BP20" s="599"/>
      <c r="BQ20" s="599"/>
      <c r="BR20" s="599"/>
      <c r="BS20" s="599"/>
      <c r="BT20" s="599"/>
    </row>
    <row r="21" spans="1:72" s="600" customFormat="1" ht="15.75" customHeight="1" x14ac:dyDescent="0.2">
      <c r="A21" s="604"/>
      <c r="B21" s="605" t="s">
        <v>332</v>
      </c>
      <c r="C21" s="601"/>
      <c r="D21" s="601"/>
      <c r="E21" s="601"/>
      <c r="F21" s="602"/>
      <c r="G21" s="603">
        <f>SUM(G22:G24)</f>
        <v>160080</v>
      </c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599"/>
      <c r="AC21" s="599"/>
      <c r="AD21" s="599"/>
      <c r="AE21" s="599"/>
      <c r="AF21" s="599"/>
      <c r="AG21" s="599"/>
      <c r="AH21" s="599"/>
      <c r="AI21" s="599"/>
      <c r="AJ21" s="599"/>
      <c r="AK21" s="599"/>
      <c r="AL21" s="599"/>
      <c r="AM21" s="599"/>
      <c r="AN21" s="599"/>
      <c r="AO21" s="599"/>
      <c r="AP21" s="599"/>
      <c r="AQ21" s="599"/>
      <c r="AR21" s="599"/>
      <c r="AS21" s="599"/>
      <c r="AT21" s="599"/>
      <c r="AU21" s="599"/>
      <c r="AV21" s="599"/>
      <c r="AW21" s="599"/>
      <c r="AX21" s="599"/>
      <c r="AY21" s="599"/>
      <c r="AZ21" s="599"/>
      <c r="BA21" s="599"/>
      <c r="BB21" s="599"/>
      <c r="BC21" s="599"/>
      <c r="BD21" s="599"/>
      <c r="BE21" s="599"/>
      <c r="BF21" s="599"/>
      <c r="BG21" s="599"/>
      <c r="BH21" s="599"/>
      <c r="BI21" s="599"/>
      <c r="BJ21" s="599"/>
      <c r="BK21" s="599"/>
      <c r="BL21" s="599"/>
      <c r="BM21" s="599"/>
      <c r="BN21" s="599"/>
      <c r="BO21" s="599"/>
      <c r="BP21" s="599"/>
      <c r="BQ21" s="599"/>
      <c r="BR21" s="599"/>
      <c r="BS21" s="599"/>
      <c r="BT21" s="599"/>
    </row>
    <row r="22" spans="1:72" s="600" customFormat="1" ht="15.75" customHeight="1" x14ac:dyDescent="0.2">
      <c r="A22" s="337"/>
      <c r="B22" s="338"/>
      <c r="C22" s="339"/>
      <c r="D22" s="339"/>
      <c r="E22" s="339" t="s">
        <v>333</v>
      </c>
      <c r="F22" s="349" t="s">
        <v>329</v>
      </c>
      <c r="G22" s="350">
        <f>12439+17903+15395+14738+21702+18455+36830+19037</f>
        <v>156499</v>
      </c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599"/>
      <c r="AB22" s="599"/>
      <c r="AC22" s="599"/>
      <c r="AD22" s="599"/>
      <c r="AE22" s="599"/>
      <c r="AF22" s="599"/>
      <c r="AG22" s="599"/>
      <c r="AH22" s="599"/>
      <c r="AI22" s="599"/>
      <c r="AJ22" s="599"/>
      <c r="AK22" s="599"/>
      <c r="AL22" s="599"/>
      <c r="AM22" s="599"/>
      <c r="AN22" s="599"/>
      <c r="AO22" s="599"/>
      <c r="AP22" s="599"/>
      <c r="AQ22" s="599"/>
      <c r="AR22" s="599"/>
      <c r="AS22" s="599"/>
      <c r="AT22" s="599"/>
      <c r="AU22" s="599"/>
      <c r="AV22" s="599"/>
      <c r="AW22" s="599"/>
      <c r="AX22" s="599"/>
      <c r="AY22" s="599"/>
      <c r="AZ22" s="599"/>
      <c r="BA22" s="599"/>
      <c r="BB22" s="599"/>
      <c r="BC22" s="599"/>
      <c r="BD22" s="599"/>
      <c r="BE22" s="599"/>
      <c r="BF22" s="599"/>
      <c r="BG22" s="599"/>
      <c r="BH22" s="599"/>
      <c r="BI22" s="599"/>
      <c r="BJ22" s="599"/>
      <c r="BK22" s="599"/>
      <c r="BL22" s="599"/>
      <c r="BM22" s="599"/>
      <c r="BN22" s="599"/>
      <c r="BO22" s="599"/>
      <c r="BP22" s="599"/>
      <c r="BQ22" s="599"/>
      <c r="BR22" s="599"/>
      <c r="BS22" s="599"/>
      <c r="BT22" s="599"/>
    </row>
    <row r="23" spans="1:72" s="600" customFormat="1" ht="15.75" customHeight="1" x14ac:dyDescent="0.2">
      <c r="A23" s="337"/>
      <c r="B23" s="338"/>
      <c r="C23" s="339"/>
      <c r="D23" s="339"/>
      <c r="E23" s="339" t="s">
        <v>337</v>
      </c>
      <c r="F23" s="349" t="s">
        <v>329</v>
      </c>
      <c r="G23" s="350">
        <f>306+141+380+296+348+606+682+227</f>
        <v>2986</v>
      </c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599"/>
      <c r="W23" s="599"/>
      <c r="X23" s="599"/>
      <c r="Y23" s="599"/>
      <c r="Z23" s="599"/>
      <c r="AA23" s="599"/>
      <c r="AB23" s="599"/>
      <c r="AC23" s="599"/>
      <c r="AD23" s="599"/>
      <c r="AE23" s="599"/>
      <c r="AF23" s="599"/>
      <c r="AG23" s="599"/>
      <c r="AH23" s="599"/>
      <c r="AI23" s="599"/>
      <c r="AJ23" s="599"/>
      <c r="AK23" s="599"/>
      <c r="AL23" s="599"/>
      <c r="AM23" s="599"/>
      <c r="AN23" s="599"/>
      <c r="AO23" s="599"/>
      <c r="AP23" s="599"/>
      <c r="AQ23" s="599"/>
      <c r="AR23" s="599"/>
      <c r="AS23" s="599"/>
      <c r="AT23" s="599"/>
      <c r="AU23" s="599"/>
      <c r="AV23" s="599"/>
      <c r="AW23" s="599"/>
      <c r="AX23" s="599"/>
      <c r="AY23" s="599"/>
      <c r="AZ23" s="599"/>
      <c r="BA23" s="599"/>
      <c r="BB23" s="599"/>
      <c r="BC23" s="599"/>
      <c r="BD23" s="599"/>
      <c r="BE23" s="599"/>
      <c r="BF23" s="599"/>
      <c r="BG23" s="599"/>
      <c r="BH23" s="599"/>
      <c r="BI23" s="599"/>
      <c r="BJ23" s="599"/>
      <c r="BK23" s="599"/>
      <c r="BL23" s="599"/>
      <c r="BM23" s="599"/>
      <c r="BN23" s="599"/>
      <c r="BO23" s="599"/>
      <c r="BP23" s="599"/>
      <c r="BQ23" s="599"/>
      <c r="BR23" s="599"/>
      <c r="BS23" s="599"/>
      <c r="BT23" s="599"/>
    </row>
    <row r="24" spans="1:72" s="600" customFormat="1" ht="15.75" customHeight="1" x14ac:dyDescent="0.2">
      <c r="A24" s="337"/>
      <c r="B24" s="338"/>
      <c r="C24" s="356"/>
      <c r="D24" s="339"/>
      <c r="E24" s="339" t="s">
        <v>338</v>
      </c>
      <c r="F24" s="349" t="s">
        <v>329</v>
      </c>
      <c r="G24" s="350">
        <f>61+28+76+59+70+120+136+45</f>
        <v>595</v>
      </c>
      <c r="H24" s="599"/>
      <c r="I24" s="599"/>
      <c r="J24" s="599"/>
      <c r="K24" s="599"/>
      <c r="L24" s="599"/>
      <c r="M24" s="599"/>
      <c r="N24" s="599"/>
      <c r="O24" s="599"/>
      <c r="P24" s="599"/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599"/>
      <c r="AB24" s="599"/>
      <c r="AC24" s="599"/>
      <c r="AD24" s="599"/>
      <c r="AE24" s="599"/>
      <c r="AF24" s="599"/>
      <c r="AG24" s="599"/>
      <c r="AH24" s="599"/>
      <c r="AI24" s="599"/>
      <c r="AJ24" s="599"/>
      <c r="AK24" s="599"/>
      <c r="AL24" s="599"/>
      <c r="AM24" s="599"/>
      <c r="AN24" s="599"/>
      <c r="AO24" s="599"/>
      <c r="AP24" s="599"/>
      <c r="AQ24" s="599"/>
      <c r="AR24" s="599"/>
      <c r="AS24" s="599"/>
      <c r="AT24" s="599"/>
      <c r="AU24" s="599"/>
      <c r="AV24" s="599"/>
      <c r="AW24" s="599"/>
      <c r="AX24" s="599"/>
      <c r="AY24" s="599"/>
      <c r="AZ24" s="599"/>
      <c r="BA24" s="599"/>
      <c r="BB24" s="599"/>
      <c r="BC24" s="599"/>
      <c r="BD24" s="599"/>
      <c r="BE24" s="599"/>
      <c r="BF24" s="599"/>
      <c r="BG24" s="599"/>
      <c r="BH24" s="599"/>
      <c r="BI24" s="599"/>
      <c r="BJ24" s="599"/>
      <c r="BK24" s="599"/>
      <c r="BL24" s="599"/>
      <c r="BM24" s="599"/>
      <c r="BN24" s="599"/>
      <c r="BO24" s="599"/>
      <c r="BP24" s="599"/>
      <c r="BQ24" s="599"/>
      <c r="BR24" s="599"/>
      <c r="BS24" s="599"/>
      <c r="BT24" s="599"/>
    </row>
    <row r="25" spans="1:72" s="600" customFormat="1" ht="15.75" customHeight="1" x14ac:dyDescent="0.2">
      <c r="A25" s="351"/>
      <c r="B25" s="352"/>
      <c r="C25" s="353"/>
      <c r="D25" s="340"/>
      <c r="E25" s="340"/>
      <c r="F25" s="342"/>
      <c r="G25" s="354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99"/>
      <c r="S25" s="599"/>
      <c r="T25" s="599"/>
      <c r="U25" s="599"/>
      <c r="V25" s="599"/>
      <c r="W25" s="599"/>
      <c r="X25" s="599"/>
      <c r="Y25" s="599"/>
      <c r="Z25" s="599"/>
      <c r="AA25" s="599"/>
      <c r="AB25" s="599"/>
      <c r="AC25" s="599"/>
      <c r="AD25" s="599"/>
      <c r="AE25" s="599"/>
      <c r="AF25" s="599"/>
      <c r="AG25" s="599"/>
      <c r="AH25" s="599"/>
      <c r="AI25" s="599"/>
      <c r="AJ25" s="599"/>
      <c r="AK25" s="599"/>
      <c r="AL25" s="599"/>
      <c r="AM25" s="599"/>
      <c r="AN25" s="599"/>
      <c r="AO25" s="599"/>
      <c r="AP25" s="599"/>
      <c r="AQ25" s="599"/>
      <c r="AR25" s="599"/>
      <c r="AS25" s="599"/>
      <c r="AT25" s="599"/>
      <c r="AU25" s="599"/>
      <c r="AV25" s="599"/>
      <c r="AW25" s="599"/>
      <c r="AX25" s="599"/>
      <c r="AY25" s="599"/>
      <c r="AZ25" s="599"/>
      <c r="BA25" s="599"/>
      <c r="BB25" s="599"/>
      <c r="BC25" s="599"/>
      <c r="BD25" s="599"/>
      <c r="BE25" s="599"/>
      <c r="BF25" s="599"/>
      <c r="BG25" s="599"/>
      <c r="BH25" s="599"/>
      <c r="BI25" s="599"/>
      <c r="BJ25" s="599"/>
      <c r="BK25" s="599"/>
      <c r="BL25" s="599"/>
      <c r="BM25" s="599"/>
      <c r="BN25" s="599"/>
      <c r="BO25" s="599"/>
      <c r="BP25" s="599"/>
      <c r="BQ25" s="599"/>
      <c r="BR25" s="599"/>
      <c r="BS25" s="599"/>
      <c r="BT25" s="599"/>
    </row>
    <row r="26" spans="1:72" s="600" customFormat="1" ht="15.75" customHeight="1" x14ac:dyDescent="0.2">
      <c r="A26" s="337"/>
      <c r="B26" s="338"/>
      <c r="C26" s="339"/>
      <c r="D26" s="339"/>
      <c r="E26" s="340" t="s">
        <v>24</v>
      </c>
      <c r="F26" s="341">
        <f>7956+3060+2142+1530+4896+612+2754+3978</f>
        <v>26928</v>
      </c>
      <c r="G26" s="342" t="s">
        <v>329</v>
      </c>
      <c r="H26" s="599"/>
      <c r="I26" s="599"/>
      <c r="J26" s="599"/>
      <c r="K26" s="599"/>
      <c r="L26" s="599"/>
      <c r="M26" s="599"/>
      <c r="N26" s="599"/>
      <c r="O26" s="599"/>
      <c r="P26" s="599"/>
      <c r="Q26" s="599"/>
      <c r="R26" s="599"/>
      <c r="S26" s="599"/>
      <c r="T26" s="599"/>
      <c r="U26" s="599"/>
      <c r="V26" s="599"/>
      <c r="W26" s="599"/>
      <c r="X26" s="599"/>
      <c r="Y26" s="599"/>
      <c r="Z26" s="599"/>
      <c r="AA26" s="599"/>
      <c r="AB26" s="599"/>
      <c r="AC26" s="599"/>
      <c r="AD26" s="599"/>
      <c r="AE26" s="599"/>
      <c r="AF26" s="599"/>
      <c r="AG26" s="599"/>
      <c r="AH26" s="599"/>
      <c r="AI26" s="599"/>
      <c r="AJ26" s="599"/>
      <c r="AK26" s="599"/>
      <c r="AL26" s="599"/>
      <c r="AM26" s="599"/>
      <c r="AN26" s="599"/>
      <c r="AO26" s="599"/>
      <c r="AP26" s="599"/>
      <c r="AQ26" s="599"/>
      <c r="AR26" s="599"/>
      <c r="AS26" s="599"/>
      <c r="AT26" s="599"/>
      <c r="AU26" s="599"/>
      <c r="AV26" s="599"/>
      <c r="AW26" s="599"/>
      <c r="AX26" s="599"/>
      <c r="AY26" s="599"/>
      <c r="AZ26" s="599"/>
      <c r="BA26" s="599"/>
      <c r="BB26" s="599"/>
      <c r="BC26" s="599"/>
      <c r="BD26" s="599"/>
      <c r="BE26" s="599"/>
      <c r="BF26" s="599"/>
      <c r="BG26" s="599"/>
      <c r="BH26" s="599"/>
      <c r="BI26" s="599"/>
      <c r="BJ26" s="599"/>
      <c r="BK26" s="599"/>
      <c r="BL26" s="599"/>
      <c r="BM26" s="599"/>
      <c r="BN26" s="599"/>
      <c r="BO26" s="599"/>
      <c r="BP26" s="599"/>
      <c r="BQ26" s="599"/>
      <c r="BR26" s="599"/>
      <c r="BS26" s="599"/>
      <c r="BT26" s="599"/>
    </row>
    <row r="27" spans="1:72" s="600" customFormat="1" ht="24" x14ac:dyDescent="0.2">
      <c r="A27" s="343" t="s">
        <v>307</v>
      </c>
      <c r="B27" s="344" t="s">
        <v>339</v>
      </c>
      <c r="C27" s="339" t="s">
        <v>340</v>
      </c>
      <c r="D27" s="339" t="s">
        <v>341</v>
      </c>
      <c r="E27" s="345" t="s">
        <v>329</v>
      </c>
      <c r="F27" s="346" t="s">
        <v>329</v>
      </c>
      <c r="G27" s="347">
        <f>SUM(G29)</f>
        <v>26928</v>
      </c>
      <c r="H27" s="599"/>
      <c r="I27" s="599"/>
      <c r="J27" s="599"/>
      <c r="K27" s="599"/>
      <c r="L27" s="599"/>
      <c r="M27" s="599"/>
      <c r="N27" s="599"/>
      <c r="O27" s="599"/>
      <c r="P27" s="599"/>
      <c r="Q27" s="599"/>
      <c r="R27" s="599"/>
      <c r="S27" s="599"/>
      <c r="T27" s="599"/>
      <c r="U27" s="599"/>
      <c r="V27" s="599"/>
      <c r="W27" s="599"/>
      <c r="X27" s="599"/>
      <c r="Y27" s="599"/>
      <c r="Z27" s="599"/>
      <c r="AA27" s="599"/>
      <c r="AB27" s="599"/>
      <c r="AC27" s="599"/>
      <c r="AD27" s="599"/>
      <c r="AE27" s="599"/>
      <c r="AF27" s="599"/>
      <c r="AG27" s="599"/>
      <c r="AH27" s="599"/>
      <c r="AI27" s="599"/>
      <c r="AJ27" s="599"/>
      <c r="AK27" s="599"/>
      <c r="AL27" s="599"/>
      <c r="AM27" s="599"/>
      <c r="AN27" s="599"/>
      <c r="AO27" s="599"/>
      <c r="AP27" s="599"/>
      <c r="AQ27" s="599"/>
      <c r="AR27" s="599"/>
      <c r="AS27" s="599"/>
      <c r="AT27" s="599"/>
      <c r="AU27" s="599"/>
      <c r="AV27" s="599"/>
      <c r="AW27" s="599"/>
      <c r="AX27" s="599"/>
      <c r="AY27" s="599"/>
      <c r="AZ27" s="599"/>
      <c r="BA27" s="599"/>
      <c r="BB27" s="599"/>
      <c r="BC27" s="599"/>
      <c r="BD27" s="599"/>
      <c r="BE27" s="599"/>
      <c r="BF27" s="599"/>
      <c r="BG27" s="599"/>
      <c r="BH27" s="599"/>
      <c r="BI27" s="599"/>
      <c r="BJ27" s="599"/>
      <c r="BK27" s="599"/>
      <c r="BL27" s="599"/>
      <c r="BM27" s="599"/>
      <c r="BN27" s="599"/>
      <c r="BO27" s="599"/>
      <c r="BP27" s="599"/>
      <c r="BQ27" s="599"/>
      <c r="BR27" s="599"/>
      <c r="BS27" s="599"/>
      <c r="BT27" s="599"/>
    </row>
    <row r="28" spans="1:72" s="600" customFormat="1" ht="10.5" customHeight="1" x14ac:dyDescent="0.2">
      <c r="A28" s="337"/>
      <c r="B28" s="348"/>
      <c r="C28" s="601"/>
      <c r="D28" s="601"/>
      <c r="E28" s="601"/>
      <c r="F28" s="602"/>
      <c r="G28" s="603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599"/>
      <c r="AJ28" s="599"/>
      <c r="AK28" s="599"/>
      <c r="AL28" s="599"/>
      <c r="AM28" s="599"/>
      <c r="AN28" s="599"/>
      <c r="AO28" s="599"/>
      <c r="AP28" s="599"/>
      <c r="AQ28" s="599"/>
      <c r="AR28" s="599"/>
      <c r="AS28" s="599"/>
      <c r="AT28" s="599"/>
      <c r="AU28" s="599"/>
      <c r="AV28" s="599"/>
      <c r="AW28" s="599"/>
      <c r="AX28" s="599"/>
      <c r="AY28" s="599"/>
      <c r="AZ28" s="599"/>
      <c r="BA28" s="599"/>
      <c r="BB28" s="599"/>
      <c r="BC28" s="599"/>
      <c r="BD28" s="599"/>
      <c r="BE28" s="599"/>
      <c r="BF28" s="599"/>
      <c r="BG28" s="599"/>
      <c r="BH28" s="599"/>
      <c r="BI28" s="599"/>
      <c r="BJ28" s="599"/>
      <c r="BK28" s="599"/>
      <c r="BL28" s="599"/>
      <c r="BM28" s="599"/>
      <c r="BN28" s="599"/>
      <c r="BO28" s="599"/>
      <c r="BP28" s="599"/>
      <c r="BQ28" s="599"/>
      <c r="BR28" s="599"/>
      <c r="BS28" s="599"/>
      <c r="BT28" s="599"/>
    </row>
    <row r="29" spans="1:72" s="600" customFormat="1" ht="15.75" customHeight="1" x14ac:dyDescent="0.2">
      <c r="A29" s="604"/>
      <c r="B29" s="605" t="s">
        <v>332</v>
      </c>
      <c r="C29" s="601"/>
      <c r="D29" s="601"/>
      <c r="E29" s="601"/>
      <c r="F29" s="602"/>
      <c r="G29" s="603">
        <f>SUM(G30:G32)</f>
        <v>26928</v>
      </c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599"/>
      <c r="AG29" s="599"/>
      <c r="AH29" s="599"/>
      <c r="AI29" s="599"/>
      <c r="AJ29" s="599"/>
      <c r="AK29" s="599"/>
      <c r="AL29" s="599"/>
      <c r="AM29" s="599"/>
      <c r="AN29" s="599"/>
      <c r="AO29" s="599"/>
      <c r="AP29" s="599"/>
      <c r="AQ29" s="599"/>
      <c r="AR29" s="599"/>
      <c r="AS29" s="599"/>
      <c r="AT29" s="599"/>
      <c r="AU29" s="599"/>
      <c r="AV29" s="599"/>
      <c r="AW29" s="599"/>
      <c r="AX29" s="599"/>
      <c r="AY29" s="599"/>
      <c r="AZ29" s="599"/>
      <c r="BA29" s="599"/>
      <c r="BB29" s="599"/>
      <c r="BC29" s="599"/>
      <c r="BD29" s="599"/>
      <c r="BE29" s="599"/>
      <c r="BF29" s="599"/>
      <c r="BG29" s="599"/>
      <c r="BH29" s="599"/>
      <c r="BI29" s="599"/>
      <c r="BJ29" s="599"/>
      <c r="BK29" s="599"/>
      <c r="BL29" s="599"/>
      <c r="BM29" s="599"/>
      <c r="BN29" s="599"/>
      <c r="BO29" s="599"/>
      <c r="BP29" s="599"/>
      <c r="BQ29" s="599"/>
      <c r="BR29" s="599"/>
      <c r="BS29" s="599"/>
      <c r="BT29" s="599"/>
    </row>
    <row r="30" spans="1:72" s="600" customFormat="1" ht="15.75" customHeight="1" x14ac:dyDescent="0.2">
      <c r="A30" s="337"/>
      <c r="B30" s="338"/>
      <c r="C30" s="339"/>
      <c r="D30" s="339"/>
      <c r="E30" s="339" t="s">
        <v>333</v>
      </c>
      <c r="F30" s="349" t="s">
        <v>329</v>
      </c>
      <c r="G30" s="350">
        <f>7800+3000+2100+1500+4800+600+2700+3900</f>
        <v>26400</v>
      </c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599"/>
      <c r="AG30" s="599"/>
      <c r="AH30" s="599"/>
      <c r="AI30" s="599"/>
      <c r="AJ30" s="599"/>
      <c r="AK30" s="599"/>
      <c r="AL30" s="599"/>
      <c r="AM30" s="599"/>
      <c r="AN30" s="599"/>
      <c r="AO30" s="599"/>
      <c r="AP30" s="599"/>
      <c r="AQ30" s="599"/>
      <c r="AR30" s="599"/>
      <c r="AS30" s="599"/>
      <c r="AT30" s="599"/>
      <c r="AU30" s="599"/>
      <c r="AV30" s="599"/>
      <c r="AW30" s="599"/>
      <c r="AX30" s="599"/>
      <c r="AY30" s="599"/>
      <c r="AZ30" s="599"/>
      <c r="BA30" s="599"/>
      <c r="BB30" s="599"/>
      <c r="BC30" s="599"/>
      <c r="BD30" s="599"/>
      <c r="BE30" s="599"/>
      <c r="BF30" s="599"/>
      <c r="BG30" s="599"/>
      <c r="BH30" s="599"/>
      <c r="BI30" s="599"/>
      <c r="BJ30" s="599"/>
      <c r="BK30" s="599"/>
      <c r="BL30" s="599"/>
      <c r="BM30" s="599"/>
      <c r="BN30" s="599"/>
      <c r="BO30" s="599"/>
      <c r="BP30" s="599"/>
      <c r="BQ30" s="599"/>
      <c r="BR30" s="599"/>
      <c r="BS30" s="599"/>
      <c r="BT30" s="599"/>
    </row>
    <row r="31" spans="1:72" s="600" customFormat="1" ht="15.75" customHeight="1" x14ac:dyDescent="0.2">
      <c r="A31" s="337"/>
      <c r="B31" s="338"/>
      <c r="C31" s="339"/>
      <c r="D31" s="339"/>
      <c r="E31" s="339" t="s">
        <v>337</v>
      </c>
      <c r="F31" s="349" t="s">
        <v>329</v>
      </c>
      <c r="G31" s="350">
        <f>130+50+35+25+80+10+45+65</f>
        <v>440</v>
      </c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599"/>
      <c r="AT31" s="599"/>
      <c r="AU31" s="599"/>
      <c r="AV31" s="599"/>
      <c r="AW31" s="599"/>
      <c r="AX31" s="599"/>
      <c r="AY31" s="599"/>
      <c r="AZ31" s="599"/>
      <c r="BA31" s="599"/>
      <c r="BB31" s="599"/>
      <c r="BC31" s="599"/>
      <c r="BD31" s="599"/>
      <c r="BE31" s="599"/>
      <c r="BF31" s="599"/>
      <c r="BG31" s="599"/>
      <c r="BH31" s="599"/>
      <c r="BI31" s="599"/>
      <c r="BJ31" s="599"/>
      <c r="BK31" s="599"/>
      <c r="BL31" s="599"/>
      <c r="BM31" s="599"/>
      <c r="BN31" s="599"/>
      <c r="BO31" s="599"/>
      <c r="BP31" s="599"/>
      <c r="BQ31" s="599"/>
      <c r="BR31" s="599"/>
      <c r="BS31" s="599"/>
      <c r="BT31" s="599"/>
    </row>
    <row r="32" spans="1:72" s="600" customFormat="1" ht="15.75" customHeight="1" x14ac:dyDescent="0.2">
      <c r="A32" s="337"/>
      <c r="B32" s="338"/>
      <c r="C32" s="339"/>
      <c r="D32" s="339"/>
      <c r="E32" s="339" t="s">
        <v>338</v>
      </c>
      <c r="F32" s="349" t="s">
        <v>329</v>
      </c>
      <c r="G32" s="350">
        <f>26+10+7+5+16+2+9+13</f>
        <v>88</v>
      </c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599"/>
      <c r="AJ32" s="599"/>
      <c r="AK32" s="599"/>
      <c r="AL32" s="599"/>
      <c r="AM32" s="599"/>
      <c r="AN32" s="599"/>
      <c r="AO32" s="599"/>
      <c r="AP32" s="599"/>
      <c r="AQ32" s="599"/>
      <c r="AR32" s="599"/>
      <c r="AS32" s="599"/>
      <c r="AT32" s="599"/>
      <c r="AU32" s="599"/>
      <c r="AV32" s="599"/>
      <c r="AW32" s="599"/>
      <c r="AX32" s="599"/>
      <c r="AY32" s="599"/>
      <c r="AZ32" s="599"/>
      <c r="BA32" s="599"/>
      <c r="BB32" s="599"/>
      <c r="BC32" s="599"/>
      <c r="BD32" s="599"/>
      <c r="BE32" s="599"/>
      <c r="BF32" s="599"/>
      <c r="BG32" s="599"/>
      <c r="BH32" s="599"/>
      <c r="BI32" s="599"/>
      <c r="BJ32" s="599"/>
      <c r="BK32" s="599"/>
      <c r="BL32" s="599"/>
      <c r="BM32" s="599"/>
      <c r="BN32" s="599"/>
      <c r="BO32" s="599"/>
      <c r="BP32" s="599"/>
      <c r="BQ32" s="599"/>
      <c r="BR32" s="599"/>
      <c r="BS32" s="599"/>
      <c r="BT32" s="599"/>
    </row>
    <row r="33" spans="1:72" s="600" customFormat="1" ht="15.75" customHeight="1" x14ac:dyDescent="0.2">
      <c r="A33" s="351"/>
      <c r="B33" s="352"/>
      <c r="C33" s="353"/>
      <c r="D33" s="340"/>
      <c r="E33" s="340"/>
      <c r="F33" s="342"/>
      <c r="G33" s="354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599"/>
      <c r="AJ33" s="599"/>
      <c r="AK33" s="599"/>
      <c r="AL33" s="599"/>
      <c r="AM33" s="599"/>
      <c r="AN33" s="599"/>
      <c r="AO33" s="599"/>
      <c r="AP33" s="599"/>
      <c r="AQ33" s="599"/>
      <c r="AR33" s="599"/>
      <c r="AS33" s="599"/>
      <c r="AT33" s="599"/>
      <c r="AU33" s="599"/>
      <c r="AV33" s="599"/>
      <c r="AW33" s="599"/>
      <c r="AX33" s="599"/>
      <c r="AY33" s="599"/>
      <c r="AZ33" s="599"/>
      <c r="BA33" s="599"/>
      <c r="BB33" s="599"/>
      <c r="BC33" s="599"/>
      <c r="BD33" s="599"/>
      <c r="BE33" s="599"/>
      <c r="BF33" s="599"/>
      <c r="BG33" s="599"/>
      <c r="BH33" s="599"/>
      <c r="BI33" s="599"/>
      <c r="BJ33" s="599"/>
      <c r="BK33" s="599"/>
      <c r="BL33" s="599"/>
      <c r="BM33" s="599"/>
      <c r="BN33" s="599"/>
      <c r="BO33" s="599"/>
      <c r="BP33" s="599"/>
      <c r="BQ33" s="599"/>
      <c r="BR33" s="599"/>
      <c r="BS33" s="599"/>
      <c r="BT33" s="599"/>
    </row>
    <row r="34" spans="1:72" s="600" customFormat="1" ht="15.75" customHeight="1" x14ac:dyDescent="0.2">
      <c r="A34" s="337"/>
      <c r="B34" s="338"/>
      <c r="C34" s="339"/>
      <c r="D34" s="339"/>
      <c r="E34" s="340" t="s">
        <v>24</v>
      </c>
      <c r="F34" s="341">
        <f>416+47920+42840+40544+37760+448+38960+256+20720+256+30320+256+9240</f>
        <v>269936</v>
      </c>
      <c r="G34" s="342" t="s">
        <v>329</v>
      </c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599"/>
      <c r="AJ34" s="599"/>
      <c r="AK34" s="599"/>
      <c r="AL34" s="599"/>
      <c r="AM34" s="599"/>
      <c r="AN34" s="599"/>
      <c r="AO34" s="599"/>
      <c r="AP34" s="599"/>
      <c r="AQ34" s="599"/>
      <c r="AR34" s="599"/>
      <c r="AS34" s="599"/>
      <c r="AT34" s="599"/>
      <c r="AU34" s="599"/>
      <c r="AV34" s="599"/>
      <c r="AW34" s="599"/>
      <c r="AX34" s="599"/>
      <c r="AY34" s="599"/>
      <c r="AZ34" s="599"/>
      <c r="BA34" s="599"/>
      <c r="BB34" s="599"/>
      <c r="BC34" s="599"/>
      <c r="BD34" s="599"/>
      <c r="BE34" s="599"/>
      <c r="BF34" s="599"/>
      <c r="BG34" s="599"/>
      <c r="BH34" s="599"/>
      <c r="BI34" s="599"/>
      <c r="BJ34" s="599"/>
      <c r="BK34" s="599"/>
      <c r="BL34" s="599"/>
      <c r="BM34" s="599"/>
      <c r="BN34" s="599"/>
      <c r="BO34" s="599"/>
      <c r="BP34" s="599"/>
      <c r="BQ34" s="599"/>
      <c r="BR34" s="599"/>
      <c r="BS34" s="599"/>
      <c r="BT34" s="599"/>
    </row>
    <row r="35" spans="1:72" s="600" customFormat="1" ht="25.5" customHeight="1" x14ac:dyDescent="0.2">
      <c r="A35" s="343" t="s">
        <v>308</v>
      </c>
      <c r="B35" s="344" t="s">
        <v>342</v>
      </c>
      <c r="C35" s="339" t="s">
        <v>343</v>
      </c>
      <c r="D35" s="339" t="s">
        <v>344</v>
      </c>
      <c r="E35" s="345" t="s">
        <v>329</v>
      </c>
      <c r="F35" s="346" t="s">
        <v>329</v>
      </c>
      <c r="G35" s="347">
        <f>SUM(G37)</f>
        <v>269936</v>
      </c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599"/>
      <c r="AG35" s="599"/>
      <c r="AH35" s="599"/>
      <c r="AI35" s="599"/>
      <c r="AJ35" s="599"/>
      <c r="AK35" s="599"/>
      <c r="AL35" s="599"/>
      <c r="AM35" s="599"/>
      <c r="AN35" s="599"/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</row>
    <row r="36" spans="1:72" s="600" customFormat="1" ht="10.5" customHeight="1" x14ac:dyDescent="0.2">
      <c r="A36" s="337"/>
      <c r="B36" s="348"/>
      <c r="C36" s="601"/>
      <c r="D36" s="601"/>
      <c r="E36" s="601"/>
      <c r="F36" s="602"/>
      <c r="G36" s="603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599"/>
      <c r="AG36" s="599"/>
      <c r="AH36" s="599"/>
      <c r="AI36" s="599"/>
      <c r="AJ36" s="599"/>
      <c r="AK36" s="599"/>
      <c r="AL36" s="599"/>
      <c r="AM36" s="599"/>
      <c r="AN36" s="599"/>
      <c r="AO36" s="599"/>
      <c r="AP36" s="599"/>
      <c r="AQ36" s="599"/>
      <c r="AR36" s="599"/>
      <c r="AS36" s="599"/>
      <c r="AT36" s="599"/>
      <c r="AU36" s="599"/>
      <c r="AV36" s="599"/>
      <c r="AW36" s="599"/>
      <c r="AX36" s="599"/>
      <c r="AY36" s="599"/>
      <c r="AZ36" s="599"/>
      <c r="BA36" s="599"/>
      <c r="BB36" s="599"/>
      <c r="BC36" s="599"/>
      <c r="BD36" s="599"/>
      <c r="BE36" s="599"/>
      <c r="BF36" s="599"/>
      <c r="BG36" s="599"/>
      <c r="BH36" s="599"/>
      <c r="BI36" s="599"/>
      <c r="BJ36" s="599"/>
      <c r="BK36" s="599"/>
      <c r="BL36" s="599"/>
      <c r="BM36" s="599"/>
      <c r="BN36" s="599"/>
      <c r="BO36" s="599"/>
      <c r="BP36" s="599"/>
      <c r="BQ36" s="599"/>
      <c r="BR36" s="599"/>
      <c r="BS36" s="599"/>
      <c r="BT36" s="599"/>
    </row>
    <row r="37" spans="1:72" s="600" customFormat="1" ht="15.75" customHeight="1" x14ac:dyDescent="0.2">
      <c r="A37" s="604"/>
      <c r="B37" s="605" t="s">
        <v>332</v>
      </c>
      <c r="C37" s="601"/>
      <c r="D37" s="601"/>
      <c r="E37" s="601"/>
      <c r="F37" s="602"/>
      <c r="G37" s="603">
        <f>SUM(G38:G40)</f>
        <v>269936</v>
      </c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599"/>
      <c r="AB37" s="599"/>
      <c r="AC37" s="599"/>
      <c r="AD37" s="599"/>
      <c r="AE37" s="599"/>
      <c r="AF37" s="599"/>
      <c r="AG37" s="599"/>
      <c r="AH37" s="599"/>
      <c r="AI37" s="599"/>
      <c r="AJ37" s="599"/>
      <c r="AK37" s="599"/>
      <c r="AL37" s="599"/>
      <c r="AM37" s="599"/>
      <c r="AN37" s="599"/>
      <c r="AO37" s="599"/>
      <c r="AP37" s="599"/>
      <c r="AQ37" s="599"/>
      <c r="AR37" s="599"/>
      <c r="AS37" s="599"/>
      <c r="AT37" s="599"/>
      <c r="AU37" s="599"/>
      <c r="AV37" s="599"/>
      <c r="AW37" s="599"/>
      <c r="AX37" s="599"/>
      <c r="AY37" s="599"/>
      <c r="AZ37" s="599"/>
      <c r="BA37" s="599"/>
      <c r="BB37" s="599"/>
      <c r="BC37" s="599"/>
      <c r="BD37" s="599"/>
      <c r="BE37" s="599"/>
      <c r="BF37" s="599"/>
      <c r="BG37" s="599"/>
      <c r="BH37" s="599"/>
      <c r="BI37" s="599"/>
      <c r="BJ37" s="599"/>
      <c r="BK37" s="599"/>
      <c r="BL37" s="599"/>
      <c r="BM37" s="599"/>
      <c r="BN37" s="599"/>
      <c r="BO37" s="599"/>
      <c r="BP37" s="599"/>
      <c r="BQ37" s="599"/>
      <c r="BR37" s="599"/>
      <c r="BS37" s="599"/>
      <c r="BT37" s="599"/>
    </row>
    <row r="38" spans="1:72" s="600" customFormat="1" ht="15.75" customHeight="1" x14ac:dyDescent="0.2">
      <c r="A38" s="337"/>
      <c r="B38" s="338"/>
      <c r="C38" s="339"/>
      <c r="D38" s="339"/>
      <c r="E38" s="339" t="s">
        <v>345</v>
      </c>
      <c r="F38" s="349" t="s">
        <v>329</v>
      </c>
      <c r="G38" s="350">
        <f>47920+42840+40000+37760+38960+51040+9240</f>
        <v>267760</v>
      </c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599"/>
      <c r="AJ38" s="599"/>
      <c r="AK38" s="599"/>
      <c r="AL38" s="599"/>
      <c r="AM38" s="599"/>
      <c r="AN38" s="599"/>
      <c r="AO38" s="599"/>
      <c r="AP38" s="599"/>
      <c r="AQ38" s="599"/>
      <c r="AR38" s="599"/>
      <c r="AS38" s="599"/>
      <c r="AT38" s="599"/>
      <c r="AU38" s="599"/>
      <c r="AV38" s="599"/>
      <c r="AW38" s="599"/>
      <c r="AX38" s="599"/>
      <c r="AY38" s="599"/>
      <c r="AZ38" s="599"/>
      <c r="BA38" s="599"/>
      <c r="BB38" s="599"/>
      <c r="BC38" s="599"/>
      <c r="BD38" s="599"/>
      <c r="BE38" s="599"/>
      <c r="BF38" s="599"/>
      <c r="BG38" s="599"/>
      <c r="BH38" s="599"/>
      <c r="BI38" s="599"/>
      <c r="BJ38" s="599"/>
      <c r="BK38" s="599"/>
      <c r="BL38" s="599"/>
      <c r="BM38" s="599"/>
      <c r="BN38" s="599"/>
      <c r="BO38" s="599"/>
      <c r="BP38" s="599"/>
      <c r="BQ38" s="599"/>
      <c r="BR38" s="599"/>
      <c r="BS38" s="599"/>
      <c r="BT38" s="599"/>
    </row>
    <row r="39" spans="1:72" s="600" customFormat="1" ht="15.75" customHeight="1" x14ac:dyDescent="0.2">
      <c r="A39" s="337"/>
      <c r="B39" s="338"/>
      <c r="C39" s="356"/>
      <c r="D39" s="339"/>
      <c r="E39" s="339" t="s">
        <v>337</v>
      </c>
      <c r="F39" s="349" t="s">
        <v>329</v>
      </c>
      <c r="G39" s="350">
        <f>347+453+374+213+213+213</f>
        <v>1813</v>
      </c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599"/>
      <c r="AJ39" s="599"/>
      <c r="AK39" s="599"/>
      <c r="AL39" s="599"/>
      <c r="AM39" s="599"/>
      <c r="AN39" s="599"/>
      <c r="AO39" s="599"/>
      <c r="AP39" s="599"/>
      <c r="AQ39" s="599"/>
      <c r="AR39" s="599"/>
      <c r="AS39" s="599"/>
      <c r="AT39" s="599"/>
      <c r="AU39" s="599"/>
      <c r="AV39" s="599"/>
      <c r="AW39" s="599"/>
      <c r="AX39" s="599"/>
      <c r="AY39" s="599"/>
      <c r="AZ39" s="599"/>
      <c r="BA39" s="599"/>
      <c r="BB39" s="599"/>
      <c r="BC39" s="599"/>
      <c r="BD39" s="599"/>
      <c r="BE39" s="599"/>
      <c r="BF39" s="599"/>
      <c r="BG39" s="599"/>
      <c r="BH39" s="599"/>
      <c r="BI39" s="599"/>
      <c r="BJ39" s="599"/>
      <c r="BK39" s="599"/>
      <c r="BL39" s="599"/>
      <c r="BM39" s="599"/>
      <c r="BN39" s="599"/>
      <c r="BO39" s="599"/>
      <c r="BP39" s="599"/>
      <c r="BQ39" s="599"/>
      <c r="BR39" s="599"/>
      <c r="BS39" s="599"/>
      <c r="BT39" s="599"/>
    </row>
    <row r="40" spans="1:72" s="600" customFormat="1" ht="15.75" customHeight="1" x14ac:dyDescent="0.2">
      <c r="A40" s="337"/>
      <c r="B40" s="338"/>
      <c r="C40" s="356"/>
      <c r="D40" s="339"/>
      <c r="E40" s="339" t="s">
        <v>338</v>
      </c>
      <c r="F40" s="349" t="s">
        <v>329</v>
      </c>
      <c r="G40" s="350">
        <f>69+91+74+43+43+43</f>
        <v>363</v>
      </c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599"/>
      <c r="AJ40" s="599"/>
      <c r="AK40" s="599"/>
      <c r="AL40" s="599"/>
      <c r="AM40" s="599"/>
      <c r="AN40" s="599"/>
      <c r="AO40" s="599"/>
      <c r="AP40" s="599"/>
      <c r="AQ40" s="599"/>
      <c r="AR40" s="599"/>
      <c r="AS40" s="599"/>
      <c r="AT40" s="599"/>
      <c r="AU40" s="599"/>
      <c r="AV40" s="599"/>
      <c r="AW40" s="599"/>
      <c r="AX40" s="599"/>
      <c r="AY40" s="599"/>
      <c r="AZ40" s="599"/>
      <c r="BA40" s="599"/>
      <c r="BB40" s="599"/>
      <c r="BC40" s="599"/>
      <c r="BD40" s="599"/>
      <c r="BE40" s="599"/>
      <c r="BF40" s="599"/>
      <c r="BG40" s="599"/>
      <c r="BH40" s="599"/>
      <c r="BI40" s="599"/>
      <c r="BJ40" s="599"/>
      <c r="BK40" s="599"/>
      <c r="BL40" s="599"/>
      <c r="BM40" s="599"/>
      <c r="BN40" s="599"/>
      <c r="BO40" s="599"/>
      <c r="BP40" s="599"/>
      <c r="BQ40" s="599"/>
      <c r="BR40" s="599"/>
      <c r="BS40" s="599"/>
      <c r="BT40" s="599"/>
    </row>
    <row r="41" spans="1:72" s="600" customFormat="1" ht="15.75" customHeight="1" x14ac:dyDescent="0.2">
      <c r="A41" s="351"/>
      <c r="B41" s="352"/>
      <c r="C41" s="353"/>
      <c r="D41" s="340"/>
      <c r="E41" s="340"/>
      <c r="F41" s="342"/>
      <c r="G41" s="354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599"/>
      <c r="AJ41" s="599"/>
      <c r="AK41" s="599"/>
      <c r="AL41" s="599"/>
      <c r="AM41" s="599"/>
      <c r="AN41" s="599"/>
      <c r="AO41" s="599"/>
      <c r="AP41" s="599"/>
      <c r="AQ41" s="599"/>
      <c r="AR41" s="599"/>
      <c r="AS41" s="599"/>
      <c r="AT41" s="599"/>
      <c r="AU41" s="599"/>
      <c r="AV41" s="599"/>
      <c r="AW41" s="599"/>
      <c r="AX41" s="599"/>
      <c r="AY41" s="599"/>
      <c r="AZ41" s="599"/>
      <c r="BA41" s="599"/>
      <c r="BB41" s="599"/>
      <c r="BC41" s="599"/>
      <c r="BD41" s="599"/>
      <c r="BE41" s="599"/>
      <c r="BF41" s="599"/>
      <c r="BG41" s="599"/>
      <c r="BH41" s="599"/>
      <c r="BI41" s="599"/>
      <c r="BJ41" s="599"/>
      <c r="BK41" s="599"/>
      <c r="BL41" s="599"/>
      <c r="BM41" s="599"/>
      <c r="BN41" s="599"/>
      <c r="BO41" s="599"/>
      <c r="BP41" s="599"/>
      <c r="BQ41" s="599"/>
      <c r="BR41" s="599"/>
      <c r="BS41" s="599"/>
      <c r="BT41" s="599"/>
    </row>
    <row r="42" spans="1:72" s="600" customFormat="1" ht="15.75" customHeight="1" x14ac:dyDescent="0.2">
      <c r="A42" s="337"/>
      <c r="B42" s="338"/>
      <c r="C42" s="339"/>
      <c r="D42" s="339"/>
      <c r="E42" s="340" t="s">
        <v>24</v>
      </c>
      <c r="F42" s="341">
        <f>237460+241690+210970+202330+184210+181840+167080+138000</f>
        <v>1563580</v>
      </c>
      <c r="G42" s="342" t="s">
        <v>329</v>
      </c>
      <c r="H42" s="599"/>
      <c r="I42" s="599"/>
      <c r="J42" s="599"/>
      <c r="K42" s="599"/>
      <c r="L42" s="599"/>
      <c r="M42" s="599"/>
      <c r="N42" s="599"/>
      <c r="O42" s="599"/>
      <c r="P42" s="599"/>
      <c r="Q42" s="599"/>
      <c r="R42" s="599"/>
      <c r="S42" s="599"/>
      <c r="T42" s="599"/>
      <c r="U42" s="599"/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599"/>
      <c r="AG42" s="599"/>
      <c r="AH42" s="599"/>
      <c r="AI42" s="599"/>
      <c r="AJ42" s="599"/>
      <c r="AK42" s="599"/>
      <c r="AL42" s="599"/>
      <c r="AM42" s="599"/>
      <c r="AN42" s="599"/>
      <c r="AO42" s="599"/>
      <c r="AP42" s="599"/>
      <c r="AQ42" s="599"/>
      <c r="AR42" s="599"/>
      <c r="AS42" s="599"/>
      <c r="AT42" s="599"/>
      <c r="AU42" s="599"/>
      <c r="AV42" s="599"/>
      <c r="AW42" s="599"/>
      <c r="AX42" s="599"/>
      <c r="AY42" s="599"/>
      <c r="AZ42" s="599"/>
      <c r="BA42" s="599"/>
      <c r="BB42" s="599"/>
      <c r="BC42" s="599"/>
      <c r="BD42" s="599"/>
      <c r="BE42" s="599"/>
      <c r="BF42" s="599"/>
      <c r="BG42" s="599"/>
      <c r="BH42" s="599"/>
      <c r="BI42" s="599"/>
      <c r="BJ42" s="599"/>
      <c r="BK42" s="599"/>
      <c r="BL42" s="599"/>
      <c r="BM42" s="599"/>
      <c r="BN42" s="599"/>
      <c r="BO42" s="599"/>
      <c r="BP42" s="599"/>
      <c r="BQ42" s="599"/>
      <c r="BR42" s="599"/>
      <c r="BS42" s="599"/>
      <c r="BT42" s="599"/>
    </row>
    <row r="43" spans="1:72" s="600" customFormat="1" ht="23.25" customHeight="1" x14ac:dyDescent="0.2">
      <c r="A43" s="343" t="s">
        <v>309</v>
      </c>
      <c r="B43" s="344" t="s">
        <v>346</v>
      </c>
      <c r="C43" s="339" t="s">
        <v>343</v>
      </c>
      <c r="D43" s="339" t="s">
        <v>344</v>
      </c>
      <c r="E43" s="345" t="s">
        <v>329</v>
      </c>
      <c r="F43" s="346" t="s">
        <v>329</v>
      </c>
      <c r="G43" s="347">
        <f>SUM(G45,G48)</f>
        <v>1563580</v>
      </c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</row>
    <row r="44" spans="1:72" s="600" customFormat="1" ht="9.75" customHeight="1" x14ac:dyDescent="0.2">
      <c r="A44" s="337"/>
      <c r="B44" s="348"/>
      <c r="C44" s="601"/>
      <c r="D44" s="601"/>
      <c r="E44" s="601"/>
      <c r="F44" s="602"/>
      <c r="G44" s="603"/>
      <c r="H44" s="599"/>
      <c r="I44" s="599"/>
      <c r="J44" s="599"/>
      <c r="K44" s="599"/>
      <c r="L44" s="599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599"/>
      <c r="Z44" s="599"/>
      <c r="AA44" s="599"/>
      <c r="AB44" s="599"/>
      <c r="AC44" s="599"/>
      <c r="AD44" s="599"/>
      <c r="AE44" s="599"/>
      <c r="AF44" s="599"/>
      <c r="AG44" s="599"/>
      <c r="AH44" s="599"/>
      <c r="AI44" s="599"/>
      <c r="AJ44" s="599"/>
      <c r="AK44" s="599"/>
      <c r="AL44" s="599"/>
      <c r="AM44" s="599"/>
      <c r="AN44" s="599"/>
      <c r="AO44" s="599"/>
      <c r="AP44" s="599"/>
      <c r="AQ44" s="599"/>
      <c r="AR44" s="599"/>
      <c r="AS44" s="599"/>
      <c r="AT44" s="599"/>
      <c r="AU44" s="599"/>
      <c r="AV44" s="599"/>
      <c r="AW44" s="599"/>
      <c r="AX44" s="599"/>
      <c r="AY44" s="599"/>
      <c r="AZ44" s="599"/>
      <c r="BA44" s="599"/>
      <c r="BB44" s="599"/>
      <c r="BC44" s="599"/>
      <c r="BD44" s="599"/>
      <c r="BE44" s="599"/>
      <c r="BF44" s="599"/>
      <c r="BG44" s="599"/>
      <c r="BH44" s="599"/>
      <c r="BI44" s="599"/>
      <c r="BJ44" s="599"/>
      <c r="BK44" s="599"/>
      <c r="BL44" s="599"/>
      <c r="BM44" s="599"/>
      <c r="BN44" s="599"/>
      <c r="BO44" s="599"/>
      <c r="BP44" s="599"/>
      <c r="BQ44" s="599"/>
      <c r="BR44" s="599"/>
      <c r="BS44" s="599"/>
      <c r="BT44" s="599"/>
    </row>
    <row r="45" spans="1:72" s="600" customFormat="1" ht="25.5" customHeight="1" x14ac:dyDescent="0.2">
      <c r="A45" s="604"/>
      <c r="B45" s="606" t="s">
        <v>347</v>
      </c>
      <c r="C45" s="601"/>
      <c r="D45" s="601"/>
      <c r="E45" s="601"/>
      <c r="F45" s="602"/>
      <c r="G45" s="603">
        <f>SUM(G46:G46)</f>
        <v>1183903.97</v>
      </c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</row>
    <row r="46" spans="1:72" s="600" customFormat="1" ht="15.75" customHeight="1" x14ac:dyDescent="0.2">
      <c r="A46" s="337"/>
      <c r="B46" s="338"/>
      <c r="C46" s="339"/>
      <c r="D46" s="339"/>
      <c r="E46" s="339" t="s">
        <v>348</v>
      </c>
      <c r="F46" s="349" t="s">
        <v>329</v>
      </c>
      <c r="G46" s="350">
        <f>237460-62017.72+241690+210970-72469.91-59334.2+202330+184210-65376.08+181840-50582.89+167080-46032.2+138000-23863.03</f>
        <v>1183903.97</v>
      </c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599"/>
      <c r="Y46" s="599"/>
      <c r="Z46" s="599"/>
      <c r="AA46" s="599"/>
      <c r="AB46" s="599"/>
      <c r="AC46" s="599"/>
      <c r="AD46" s="599"/>
      <c r="AE46" s="599"/>
      <c r="AF46" s="599"/>
      <c r="AG46" s="599"/>
      <c r="AH46" s="599"/>
      <c r="AI46" s="599"/>
      <c r="AJ46" s="599"/>
      <c r="AK46" s="599"/>
      <c r="AL46" s="599"/>
      <c r="AM46" s="599"/>
      <c r="AN46" s="599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599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  <c r="BS46" s="599"/>
      <c r="BT46" s="599"/>
    </row>
    <row r="47" spans="1:72" s="600" customFormat="1" ht="15.75" customHeight="1" x14ac:dyDescent="0.2">
      <c r="A47" s="351"/>
      <c r="B47" s="352"/>
      <c r="C47" s="353"/>
      <c r="D47" s="340"/>
      <c r="E47" s="340"/>
      <c r="F47" s="342"/>
      <c r="G47" s="354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599"/>
      <c r="AH47" s="599"/>
      <c r="AI47" s="599"/>
      <c r="AJ47" s="599"/>
      <c r="AK47" s="599"/>
      <c r="AL47" s="599"/>
      <c r="AM47" s="599"/>
      <c r="AN47" s="599"/>
      <c r="AO47" s="599"/>
      <c r="AP47" s="599"/>
      <c r="AQ47" s="599"/>
      <c r="AR47" s="599"/>
      <c r="AS47" s="599"/>
      <c r="AT47" s="599"/>
      <c r="AU47" s="599"/>
      <c r="AV47" s="599"/>
      <c r="AW47" s="599"/>
      <c r="AX47" s="599"/>
      <c r="AY47" s="599"/>
      <c r="AZ47" s="599"/>
      <c r="BA47" s="599"/>
      <c r="BB47" s="599"/>
      <c r="BC47" s="599"/>
      <c r="BD47" s="599"/>
      <c r="BE47" s="599"/>
      <c r="BF47" s="599"/>
      <c r="BG47" s="599"/>
      <c r="BH47" s="599"/>
      <c r="BI47" s="599"/>
      <c r="BJ47" s="599"/>
      <c r="BK47" s="599"/>
      <c r="BL47" s="599"/>
      <c r="BM47" s="599"/>
      <c r="BN47" s="599"/>
      <c r="BO47" s="599"/>
      <c r="BP47" s="599"/>
      <c r="BQ47" s="599"/>
      <c r="BR47" s="599"/>
      <c r="BS47" s="599"/>
      <c r="BT47" s="599"/>
    </row>
    <row r="48" spans="1:72" s="600" customFormat="1" ht="20.25" customHeight="1" x14ac:dyDescent="0.2">
      <c r="A48" s="337"/>
      <c r="B48" s="605" t="s">
        <v>349</v>
      </c>
      <c r="C48" s="601"/>
      <c r="D48" s="601"/>
      <c r="E48" s="601"/>
      <c r="F48" s="602"/>
      <c r="G48" s="603">
        <f>SUM(G49:G50)</f>
        <v>379676.03</v>
      </c>
      <c r="H48" s="599"/>
      <c r="I48" s="599"/>
      <c r="J48" s="599"/>
      <c r="K48" s="599"/>
      <c r="L48" s="599"/>
      <c r="M48" s="599"/>
      <c r="N48" s="599"/>
      <c r="O48" s="599"/>
      <c r="P48" s="599"/>
      <c r="Q48" s="599"/>
      <c r="R48" s="599"/>
      <c r="S48" s="599"/>
      <c r="T48" s="599"/>
      <c r="U48" s="599"/>
      <c r="V48" s="599"/>
      <c r="W48" s="599"/>
      <c r="X48" s="599"/>
      <c r="Y48" s="599"/>
      <c r="Z48" s="599"/>
      <c r="AA48" s="599"/>
      <c r="AB48" s="599"/>
      <c r="AC48" s="599"/>
      <c r="AD48" s="599"/>
      <c r="AE48" s="599"/>
      <c r="AF48" s="599"/>
      <c r="AG48" s="599"/>
      <c r="AH48" s="599"/>
      <c r="AI48" s="599"/>
      <c r="AJ48" s="599"/>
      <c r="AK48" s="599"/>
      <c r="AL48" s="599"/>
      <c r="AM48" s="599"/>
      <c r="AN48" s="599"/>
      <c r="AO48" s="599"/>
      <c r="AP48" s="599"/>
      <c r="AQ48" s="599"/>
      <c r="AR48" s="599"/>
      <c r="AS48" s="599"/>
      <c r="AT48" s="599"/>
      <c r="AU48" s="599"/>
      <c r="AV48" s="599"/>
      <c r="AW48" s="599"/>
      <c r="AX48" s="599"/>
      <c r="AY48" s="599"/>
      <c r="AZ48" s="599"/>
      <c r="BA48" s="599"/>
      <c r="BB48" s="599"/>
      <c r="BC48" s="599"/>
      <c r="BD48" s="599"/>
      <c r="BE48" s="599"/>
      <c r="BF48" s="599"/>
      <c r="BG48" s="599"/>
      <c r="BH48" s="599"/>
      <c r="BI48" s="599"/>
      <c r="BJ48" s="599"/>
      <c r="BK48" s="599"/>
      <c r="BL48" s="599"/>
      <c r="BM48" s="599"/>
      <c r="BN48" s="599"/>
      <c r="BO48" s="599"/>
      <c r="BP48" s="599"/>
      <c r="BQ48" s="599"/>
      <c r="BR48" s="599"/>
      <c r="BS48" s="599"/>
      <c r="BT48" s="599"/>
    </row>
    <row r="49" spans="1:72" s="600" customFormat="1" ht="15.75" customHeight="1" x14ac:dyDescent="0.2">
      <c r="A49" s="337"/>
      <c r="B49" s="338"/>
      <c r="C49" s="356"/>
      <c r="D49" s="339"/>
      <c r="E49" s="339" t="s">
        <v>348</v>
      </c>
      <c r="F49" s="349" t="s">
        <v>329</v>
      </c>
      <c r="G49" s="350">
        <f>3103.38+3649.49+2630.32+4196.5+2825.95+2543.24+3283.75</f>
        <v>22232.629999999997</v>
      </c>
      <c r="H49" s="599"/>
      <c r="I49" s="599"/>
      <c r="J49" s="599"/>
      <c r="K49" s="599"/>
      <c r="L49" s="599"/>
      <c r="M49" s="599"/>
      <c r="N49" s="599"/>
      <c r="O49" s="599"/>
      <c r="P49" s="599"/>
      <c r="Q49" s="599"/>
      <c r="R49" s="599"/>
      <c r="S49" s="599"/>
      <c r="T49" s="599"/>
      <c r="U49" s="599"/>
      <c r="V49" s="599"/>
      <c r="W49" s="599"/>
      <c r="X49" s="599"/>
      <c r="Y49" s="599"/>
      <c r="Z49" s="599"/>
      <c r="AA49" s="599"/>
      <c r="AB49" s="599"/>
      <c r="AC49" s="599"/>
      <c r="AD49" s="599"/>
      <c r="AE49" s="599"/>
      <c r="AF49" s="599"/>
      <c r="AG49" s="599"/>
      <c r="AH49" s="599"/>
      <c r="AI49" s="599"/>
      <c r="AJ49" s="599"/>
      <c r="AK49" s="599"/>
      <c r="AL49" s="599"/>
      <c r="AM49" s="599"/>
      <c r="AN49" s="599"/>
      <c r="AO49" s="599"/>
      <c r="AP49" s="599"/>
      <c r="AQ49" s="599"/>
      <c r="AR49" s="599"/>
      <c r="AS49" s="599"/>
      <c r="AT49" s="599"/>
      <c r="AU49" s="599"/>
      <c r="AV49" s="599"/>
      <c r="AW49" s="599"/>
      <c r="AX49" s="599"/>
      <c r="AY49" s="599"/>
      <c r="AZ49" s="599"/>
      <c r="BA49" s="599"/>
      <c r="BB49" s="599"/>
      <c r="BC49" s="599"/>
      <c r="BD49" s="599"/>
      <c r="BE49" s="599"/>
      <c r="BF49" s="599"/>
      <c r="BG49" s="599"/>
      <c r="BH49" s="599"/>
      <c r="BI49" s="599"/>
      <c r="BJ49" s="599"/>
      <c r="BK49" s="599"/>
      <c r="BL49" s="599"/>
      <c r="BM49" s="599"/>
      <c r="BN49" s="599"/>
      <c r="BO49" s="599"/>
      <c r="BP49" s="599"/>
      <c r="BQ49" s="599"/>
      <c r="BR49" s="599"/>
      <c r="BS49" s="599"/>
      <c r="BT49" s="599"/>
    </row>
    <row r="50" spans="1:72" s="600" customFormat="1" ht="15.75" customHeight="1" x14ac:dyDescent="0.2">
      <c r="A50" s="337"/>
      <c r="B50" s="338"/>
      <c r="C50" s="356"/>
      <c r="D50" s="339"/>
      <c r="E50" s="339" t="s">
        <v>350</v>
      </c>
      <c r="F50" s="349" t="s">
        <v>329</v>
      </c>
      <c r="G50" s="350">
        <f>58914.34+68820.42+56703.88+61179.58+47756.94+43488.96+20579.28</f>
        <v>357443.4</v>
      </c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599"/>
      <c r="Y50" s="599"/>
      <c r="Z50" s="599"/>
      <c r="AA50" s="599"/>
      <c r="AB50" s="599"/>
      <c r="AC50" s="599"/>
      <c r="AD50" s="599"/>
      <c r="AE50" s="599"/>
      <c r="AF50" s="599"/>
      <c r="AG50" s="599"/>
      <c r="AH50" s="599"/>
      <c r="AI50" s="599"/>
      <c r="AJ50" s="599"/>
      <c r="AK50" s="599"/>
      <c r="AL50" s="599"/>
      <c r="AM50" s="599"/>
      <c r="AN50" s="599"/>
      <c r="AO50" s="599"/>
      <c r="AP50" s="599"/>
      <c r="AQ50" s="599"/>
      <c r="AR50" s="599"/>
      <c r="AS50" s="599"/>
      <c r="AT50" s="599"/>
      <c r="AU50" s="599"/>
      <c r="AV50" s="599"/>
      <c r="AW50" s="599"/>
      <c r="AX50" s="599"/>
      <c r="AY50" s="599"/>
      <c r="AZ50" s="599"/>
      <c r="BA50" s="599"/>
      <c r="BB50" s="599"/>
      <c r="BC50" s="599"/>
      <c r="BD50" s="599"/>
      <c r="BE50" s="599"/>
      <c r="BF50" s="599"/>
      <c r="BG50" s="599"/>
      <c r="BH50" s="599"/>
      <c r="BI50" s="599"/>
      <c r="BJ50" s="599"/>
      <c r="BK50" s="599"/>
      <c r="BL50" s="599"/>
      <c r="BM50" s="599"/>
      <c r="BN50" s="599"/>
      <c r="BO50" s="599"/>
      <c r="BP50" s="599"/>
      <c r="BQ50" s="599"/>
      <c r="BR50" s="599"/>
      <c r="BS50" s="599"/>
      <c r="BT50" s="599"/>
    </row>
    <row r="51" spans="1:72" s="600" customFormat="1" ht="15.75" customHeight="1" x14ac:dyDescent="0.2">
      <c r="A51" s="351"/>
      <c r="B51" s="352"/>
      <c r="C51" s="353"/>
      <c r="D51" s="340"/>
      <c r="E51" s="340"/>
      <c r="F51" s="342"/>
      <c r="G51" s="354"/>
      <c r="H51" s="599"/>
      <c r="I51" s="599"/>
      <c r="J51" s="599"/>
      <c r="K51" s="599"/>
      <c r="L51" s="599"/>
      <c r="M51" s="599"/>
      <c r="N51" s="599"/>
      <c r="O51" s="599"/>
      <c r="P51" s="599"/>
      <c r="Q51" s="599"/>
      <c r="R51" s="599"/>
      <c r="S51" s="599"/>
      <c r="T51" s="599"/>
      <c r="U51" s="599"/>
      <c r="V51" s="599"/>
      <c r="W51" s="599"/>
      <c r="X51" s="599"/>
      <c r="Y51" s="599"/>
      <c r="Z51" s="599"/>
      <c r="AA51" s="599"/>
      <c r="AB51" s="599"/>
      <c r="AC51" s="599"/>
      <c r="AD51" s="599"/>
      <c r="AE51" s="599"/>
      <c r="AF51" s="599"/>
      <c r="AG51" s="599"/>
      <c r="AH51" s="599"/>
      <c r="AI51" s="599"/>
      <c r="AJ51" s="599"/>
      <c r="AK51" s="599"/>
      <c r="AL51" s="599"/>
      <c r="AM51" s="599"/>
      <c r="AN51" s="599"/>
      <c r="AO51" s="599"/>
      <c r="AP51" s="599"/>
      <c r="AQ51" s="599"/>
      <c r="AR51" s="599"/>
      <c r="AS51" s="599"/>
      <c r="AT51" s="599"/>
      <c r="AU51" s="599"/>
      <c r="AV51" s="599"/>
      <c r="AW51" s="599"/>
      <c r="AX51" s="599"/>
      <c r="AY51" s="599"/>
      <c r="AZ51" s="599"/>
      <c r="BA51" s="599"/>
      <c r="BB51" s="599"/>
      <c r="BC51" s="599"/>
      <c r="BD51" s="599"/>
      <c r="BE51" s="599"/>
      <c r="BF51" s="599"/>
      <c r="BG51" s="599"/>
      <c r="BH51" s="599"/>
      <c r="BI51" s="599"/>
      <c r="BJ51" s="599"/>
      <c r="BK51" s="599"/>
      <c r="BL51" s="599"/>
      <c r="BM51" s="599"/>
      <c r="BN51" s="599"/>
      <c r="BO51" s="599"/>
      <c r="BP51" s="599"/>
      <c r="BQ51" s="599"/>
      <c r="BR51" s="599"/>
      <c r="BS51" s="599"/>
      <c r="BT51" s="599"/>
    </row>
    <row r="52" spans="1:72" s="600" customFormat="1" ht="15.75" customHeight="1" x14ac:dyDescent="0.2">
      <c r="A52" s="337"/>
      <c r="B52" s="338"/>
      <c r="C52" s="339"/>
      <c r="D52" s="339"/>
      <c r="E52" s="340" t="s">
        <v>24</v>
      </c>
      <c r="F52" s="341">
        <f>200+200+400</f>
        <v>800</v>
      </c>
      <c r="G52" s="342" t="s">
        <v>329</v>
      </c>
      <c r="H52" s="599"/>
      <c r="I52" s="599"/>
      <c r="J52" s="599"/>
      <c r="K52" s="599"/>
      <c r="L52" s="599"/>
      <c r="M52" s="599"/>
      <c r="N52" s="599"/>
      <c r="O52" s="599"/>
      <c r="P52" s="599"/>
      <c r="Q52" s="599"/>
      <c r="R52" s="599"/>
      <c r="S52" s="599"/>
      <c r="T52" s="599"/>
      <c r="U52" s="599"/>
      <c r="V52" s="599"/>
      <c r="W52" s="599"/>
      <c r="X52" s="599"/>
      <c r="Y52" s="599"/>
      <c r="Z52" s="599"/>
      <c r="AA52" s="599"/>
      <c r="AB52" s="599"/>
      <c r="AC52" s="599"/>
      <c r="AD52" s="599"/>
      <c r="AE52" s="599"/>
      <c r="AF52" s="599"/>
      <c r="AG52" s="599"/>
      <c r="AH52" s="599"/>
      <c r="AI52" s="599"/>
      <c r="AJ52" s="599"/>
      <c r="AK52" s="599"/>
      <c r="AL52" s="599"/>
      <c r="AM52" s="599"/>
      <c r="AN52" s="599"/>
      <c r="AO52" s="599"/>
      <c r="AP52" s="599"/>
      <c r="AQ52" s="599"/>
      <c r="AR52" s="599"/>
      <c r="AS52" s="599"/>
      <c r="AT52" s="599"/>
      <c r="AU52" s="599"/>
      <c r="AV52" s="599"/>
      <c r="AW52" s="599"/>
      <c r="AX52" s="599"/>
      <c r="AY52" s="599"/>
      <c r="AZ52" s="599"/>
      <c r="BA52" s="599"/>
      <c r="BB52" s="599"/>
      <c r="BC52" s="599"/>
      <c r="BD52" s="599"/>
      <c r="BE52" s="599"/>
      <c r="BF52" s="599"/>
      <c r="BG52" s="599"/>
      <c r="BH52" s="599"/>
      <c r="BI52" s="599"/>
      <c r="BJ52" s="599"/>
      <c r="BK52" s="599"/>
      <c r="BL52" s="599"/>
      <c r="BM52" s="599"/>
      <c r="BN52" s="599"/>
      <c r="BO52" s="599"/>
      <c r="BP52" s="599"/>
      <c r="BQ52" s="599"/>
      <c r="BR52" s="599"/>
      <c r="BS52" s="599"/>
      <c r="BT52" s="599"/>
    </row>
    <row r="53" spans="1:72" s="600" customFormat="1" ht="51" customHeight="1" x14ac:dyDescent="0.2">
      <c r="A53" s="343" t="s">
        <v>310</v>
      </c>
      <c r="B53" s="344" t="s">
        <v>351</v>
      </c>
      <c r="C53" s="339" t="s">
        <v>340</v>
      </c>
      <c r="D53" s="339" t="s">
        <v>352</v>
      </c>
      <c r="E53" s="345" t="s">
        <v>329</v>
      </c>
      <c r="F53" s="346" t="s">
        <v>329</v>
      </c>
      <c r="G53" s="347">
        <f>SUM(G55)</f>
        <v>800</v>
      </c>
      <c r="H53" s="599"/>
      <c r="I53" s="599"/>
      <c r="J53" s="599"/>
      <c r="K53" s="599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599"/>
      <c r="Y53" s="599"/>
      <c r="Z53" s="599"/>
      <c r="AA53" s="599"/>
      <c r="AB53" s="599"/>
      <c r="AC53" s="599"/>
      <c r="AD53" s="599"/>
      <c r="AE53" s="599"/>
      <c r="AF53" s="599"/>
      <c r="AG53" s="599"/>
      <c r="AH53" s="599"/>
      <c r="AI53" s="599"/>
      <c r="AJ53" s="599"/>
      <c r="AK53" s="599"/>
      <c r="AL53" s="599"/>
      <c r="AM53" s="599"/>
      <c r="AN53" s="599"/>
      <c r="AO53" s="599"/>
      <c r="AP53" s="599"/>
      <c r="AQ53" s="599"/>
      <c r="AR53" s="599"/>
      <c r="AS53" s="599"/>
      <c r="AT53" s="599"/>
      <c r="AU53" s="599"/>
      <c r="AV53" s="599"/>
      <c r="AW53" s="599"/>
      <c r="AX53" s="599"/>
      <c r="AY53" s="599"/>
      <c r="AZ53" s="599"/>
      <c r="BA53" s="599"/>
      <c r="BB53" s="599"/>
      <c r="BC53" s="599"/>
      <c r="BD53" s="599"/>
      <c r="BE53" s="599"/>
      <c r="BF53" s="599"/>
      <c r="BG53" s="599"/>
      <c r="BH53" s="599"/>
      <c r="BI53" s="599"/>
      <c r="BJ53" s="599"/>
      <c r="BK53" s="599"/>
      <c r="BL53" s="599"/>
      <c r="BM53" s="599"/>
      <c r="BN53" s="599"/>
      <c r="BO53" s="599"/>
      <c r="BP53" s="599"/>
      <c r="BQ53" s="599"/>
      <c r="BR53" s="599"/>
      <c r="BS53" s="599"/>
      <c r="BT53" s="599"/>
    </row>
    <row r="54" spans="1:72" s="600" customFormat="1" ht="15.75" customHeight="1" x14ac:dyDescent="0.2">
      <c r="A54" s="337"/>
      <c r="B54" s="338"/>
      <c r="C54" s="356"/>
      <c r="D54" s="339"/>
      <c r="E54" s="339"/>
      <c r="F54" s="349"/>
      <c r="G54" s="350"/>
      <c r="H54" s="599"/>
      <c r="I54" s="599"/>
      <c r="J54" s="599"/>
      <c r="K54" s="599"/>
      <c r="L54" s="599"/>
      <c r="M54" s="599"/>
      <c r="N54" s="599"/>
      <c r="O54" s="599"/>
      <c r="P54" s="599"/>
      <c r="Q54" s="599"/>
      <c r="R54" s="599"/>
      <c r="S54" s="599"/>
      <c r="T54" s="599"/>
      <c r="U54" s="599"/>
      <c r="V54" s="599"/>
      <c r="W54" s="599"/>
      <c r="X54" s="599"/>
      <c r="Y54" s="599"/>
      <c r="Z54" s="599"/>
      <c r="AA54" s="599"/>
      <c r="AB54" s="599"/>
      <c r="AC54" s="599"/>
      <c r="AD54" s="599"/>
      <c r="AE54" s="599"/>
      <c r="AF54" s="599"/>
      <c r="AG54" s="599"/>
      <c r="AH54" s="599"/>
      <c r="AI54" s="599"/>
      <c r="AJ54" s="599"/>
      <c r="AK54" s="599"/>
      <c r="AL54" s="599"/>
      <c r="AM54" s="599"/>
      <c r="AN54" s="599"/>
      <c r="AO54" s="599"/>
      <c r="AP54" s="599"/>
      <c r="AQ54" s="599"/>
      <c r="AR54" s="599"/>
      <c r="AS54" s="599"/>
      <c r="AT54" s="599"/>
      <c r="AU54" s="599"/>
      <c r="AV54" s="599"/>
      <c r="AW54" s="599"/>
      <c r="AX54" s="599"/>
      <c r="AY54" s="599"/>
      <c r="AZ54" s="599"/>
      <c r="BA54" s="599"/>
      <c r="BB54" s="599"/>
      <c r="BC54" s="599"/>
      <c r="BD54" s="599"/>
      <c r="BE54" s="599"/>
      <c r="BF54" s="599"/>
      <c r="BG54" s="599"/>
      <c r="BH54" s="599"/>
      <c r="BI54" s="599"/>
      <c r="BJ54" s="599"/>
      <c r="BK54" s="599"/>
      <c r="BL54" s="599"/>
      <c r="BM54" s="599"/>
      <c r="BN54" s="599"/>
      <c r="BO54" s="599"/>
      <c r="BP54" s="599"/>
      <c r="BQ54" s="599"/>
      <c r="BR54" s="599"/>
      <c r="BS54" s="599"/>
      <c r="BT54" s="599"/>
    </row>
    <row r="55" spans="1:72" s="600" customFormat="1" ht="24" customHeight="1" x14ac:dyDescent="0.2">
      <c r="A55" s="337"/>
      <c r="B55" s="606" t="s">
        <v>353</v>
      </c>
      <c r="C55" s="601"/>
      <c r="D55" s="601"/>
      <c r="E55" s="601"/>
      <c r="F55" s="602"/>
      <c r="G55" s="603">
        <f>SUM(G56:G58)</f>
        <v>800</v>
      </c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599"/>
      <c r="AC55" s="599"/>
      <c r="AD55" s="599"/>
      <c r="AE55" s="599"/>
      <c r="AF55" s="599"/>
      <c r="AG55" s="599"/>
      <c r="AH55" s="599"/>
      <c r="AI55" s="599"/>
      <c r="AJ55" s="599"/>
      <c r="AK55" s="599"/>
      <c r="AL55" s="599"/>
      <c r="AM55" s="599"/>
      <c r="AN55" s="599"/>
      <c r="AO55" s="599"/>
      <c r="AP55" s="599"/>
      <c r="AQ55" s="599"/>
      <c r="AR55" s="599"/>
      <c r="AS55" s="599"/>
      <c r="AT55" s="599"/>
      <c r="AU55" s="599"/>
      <c r="AV55" s="599"/>
      <c r="AW55" s="599"/>
      <c r="AX55" s="599"/>
      <c r="AY55" s="599"/>
      <c r="AZ55" s="599"/>
      <c r="BA55" s="599"/>
      <c r="BB55" s="599"/>
      <c r="BC55" s="599"/>
      <c r="BD55" s="599"/>
      <c r="BE55" s="599"/>
      <c r="BF55" s="599"/>
      <c r="BG55" s="599"/>
      <c r="BH55" s="599"/>
      <c r="BI55" s="599"/>
      <c r="BJ55" s="599"/>
      <c r="BK55" s="599"/>
      <c r="BL55" s="599"/>
      <c r="BM55" s="599"/>
      <c r="BN55" s="599"/>
      <c r="BO55" s="599"/>
      <c r="BP55" s="599"/>
      <c r="BQ55" s="599"/>
      <c r="BR55" s="599"/>
      <c r="BS55" s="599"/>
      <c r="BT55" s="599"/>
    </row>
    <row r="56" spans="1:72" s="600" customFormat="1" ht="15.75" customHeight="1" x14ac:dyDescent="0.2">
      <c r="A56" s="337"/>
      <c r="B56" s="338"/>
      <c r="C56" s="356"/>
      <c r="D56" s="339"/>
      <c r="E56" s="339" t="s">
        <v>348</v>
      </c>
      <c r="F56" s="349" t="s">
        <v>329</v>
      </c>
      <c r="G56" s="350">
        <f>110+100+175</f>
        <v>385</v>
      </c>
      <c r="H56" s="599"/>
      <c r="I56" s="599"/>
      <c r="J56" s="599"/>
      <c r="K56" s="599"/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599"/>
      <c r="Y56" s="599"/>
      <c r="Z56" s="599"/>
      <c r="AA56" s="599"/>
      <c r="AB56" s="599"/>
      <c r="AC56" s="599"/>
      <c r="AD56" s="599"/>
      <c r="AE56" s="599"/>
      <c r="AF56" s="599"/>
      <c r="AG56" s="599"/>
      <c r="AH56" s="599"/>
      <c r="AI56" s="599"/>
      <c r="AJ56" s="599"/>
      <c r="AK56" s="599"/>
      <c r="AL56" s="599"/>
      <c r="AM56" s="599"/>
      <c r="AN56" s="599"/>
      <c r="AO56" s="599"/>
      <c r="AP56" s="599"/>
      <c r="AQ56" s="599"/>
      <c r="AR56" s="599"/>
      <c r="AS56" s="599"/>
      <c r="AT56" s="599"/>
      <c r="AU56" s="599"/>
      <c r="AV56" s="599"/>
      <c r="AW56" s="599"/>
      <c r="AX56" s="599"/>
      <c r="AY56" s="599"/>
      <c r="AZ56" s="599"/>
      <c r="BA56" s="599"/>
      <c r="BB56" s="599"/>
      <c r="BC56" s="599"/>
      <c r="BD56" s="599"/>
      <c r="BE56" s="599"/>
      <c r="BF56" s="599"/>
      <c r="BG56" s="599"/>
      <c r="BH56" s="599"/>
      <c r="BI56" s="599"/>
      <c r="BJ56" s="599"/>
      <c r="BK56" s="599"/>
      <c r="BL56" s="599"/>
      <c r="BM56" s="599"/>
      <c r="BN56" s="599"/>
      <c r="BO56" s="599"/>
      <c r="BP56" s="599"/>
      <c r="BQ56" s="599"/>
      <c r="BR56" s="599"/>
      <c r="BS56" s="599"/>
      <c r="BT56" s="599"/>
    </row>
    <row r="57" spans="1:72" s="600" customFormat="1" ht="15.75" customHeight="1" x14ac:dyDescent="0.2">
      <c r="A57" s="337"/>
      <c r="B57" s="338"/>
      <c r="C57" s="356"/>
      <c r="D57" s="339"/>
      <c r="E57" s="339" t="s">
        <v>337</v>
      </c>
      <c r="F57" s="349" t="s">
        <v>329</v>
      </c>
      <c r="G57" s="350">
        <f>80+60+140</f>
        <v>280</v>
      </c>
      <c r="H57" s="599"/>
      <c r="I57" s="599"/>
      <c r="J57" s="599"/>
      <c r="K57" s="599"/>
      <c r="L57" s="599"/>
      <c r="M57" s="599"/>
      <c r="N57" s="599"/>
      <c r="O57" s="599"/>
      <c r="P57" s="599"/>
      <c r="Q57" s="599"/>
      <c r="R57" s="599"/>
      <c r="S57" s="599"/>
      <c r="T57" s="599"/>
      <c r="U57" s="599"/>
      <c r="V57" s="599"/>
      <c r="W57" s="599"/>
      <c r="X57" s="599"/>
      <c r="Y57" s="599"/>
      <c r="Z57" s="599"/>
      <c r="AA57" s="599"/>
      <c r="AB57" s="599"/>
      <c r="AC57" s="599"/>
      <c r="AD57" s="599"/>
      <c r="AE57" s="599"/>
      <c r="AF57" s="599"/>
      <c r="AG57" s="599"/>
      <c r="AH57" s="599"/>
      <c r="AI57" s="599"/>
      <c r="AJ57" s="599"/>
      <c r="AK57" s="599"/>
      <c r="AL57" s="599"/>
      <c r="AM57" s="599"/>
      <c r="AN57" s="599"/>
      <c r="AO57" s="599"/>
      <c r="AP57" s="599"/>
      <c r="AQ57" s="599"/>
      <c r="AR57" s="599"/>
      <c r="AS57" s="599"/>
      <c r="AT57" s="599"/>
      <c r="AU57" s="599"/>
      <c r="AV57" s="599"/>
      <c r="AW57" s="599"/>
      <c r="AX57" s="599"/>
      <c r="AY57" s="599"/>
      <c r="AZ57" s="599"/>
      <c r="BA57" s="599"/>
      <c r="BB57" s="599"/>
      <c r="BC57" s="599"/>
      <c r="BD57" s="599"/>
      <c r="BE57" s="599"/>
      <c r="BF57" s="599"/>
      <c r="BG57" s="599"/>
      <c r="BH57" s="599"/>
      <c r="BI57" s="599"/>
      <c r="BJ57" s="599"/>
      <c r="BK57" s="599"/>
      <c r="BL57" s="599"/>
      <c r="BM57" s="599"/>
      <c r="BN57" s="599"/>
      <c r="BO57" s="599"/>
      <c r="BP57" s="599"/>
      <c r="BQ57" s="599"/>
      <c r="BR57" s="599"/>
      <c r="BS57" s="599"/>
      <c r="BT57" s="599"/>
    </row>
    <row r="58" spans="1:72" s="600" customFormat="1" ht="15.75" customHeight="1" x14ac:dyDescent="0.2">
      <c r="A58" s="337"/>
      <c r="B58" s="338"/>
      <c r="C58" s="356"/>
      <c r="D58" s="339"/>
      <c r="E58" s="339" t="s">
        <v>338</v>
      </c>
      <c r="F58" s="349" t="s">
        <v>329</v>
      </c>
      <c r="G58" s="350">
        <f>10+40+85</f>
        <v>135</v>
      </c>
      <c r="H58" s="599"/>
      <c r="I58" s="599"/>
      <c r="J58" s="599"/>
      <c r="K58" s="599"/>
      <c r="L58" s="599"/>
      <c r="M58" s="599"/>
      <c r="N58" s="599"/>
      <c r="O58" s="599"/>
      <c r="P58" s="599"/>
      <c r="Q58" s="599"/>
      <c r="R58" s="599"/>
      <c r="S58" s="599"/>
      <c r="T58" s="599"/>
      <c r="U58" s="599"/>
      <c r="V58" s="599"/>
      <c r="W58" s="599"/>
      <c r="X58" s="599"/>
      <c r="Y58" s="599"/>
      <c r="Z58" s="599"/>
      <c r="AA58" s="599"/>
      <c r="AB58" s="599"/>
      <c r="AC58" s="599"/>
      <c r="AD58" s="599"/>
      <c r="AE58" s="599"/>
      <c r="AF58" s="599"/>
      <c r="AG58" s="599"/>
      <c r="AH58" s="599"/>
      <c r="AI58" s="599"/>
      <c r="AJ58" s="599"/>
      <c r="AK58" s="599"/>
      <c r="AL58" s="599"/>
      <c r="AM58" s="599"/>
      <c r="AN58" s="599"/>
      <c r="AO58" s="599"/>
      <c r="AP58" s="599"/>
      <c r="AQ58" s="599"/>
      <c r="AR58" s="599"/>
      <c r="AS58" s="599"/>
      <c r="AT58" s="599"/>
      <c r="AU58" s="599"/>
      <c r="AV58" s="599"/>
      <c r="AW58" s="599"/>
      <c r="AX58" s="599"/>
      <c r="AY58" s="599"/>
      <c r="AZ58" s="599"/>
      <c r="BA58" s="599"/>
      <c r="BB58" s="599"/>
      <c r="BC58" s="599"/>
      <c r="BD58" s="599"/>
      <c r="BE58" s="599"/>
      <c r="BF58" s="599"/>
      <c r="BG58" s="599"/>
      <c r="BH58" s="599"/>
      <c r="BI58" s="599"/>
      <c r="BJ58" s="599"/>
      <c r="BK58" s="599"/>
      <c r="BL58" s="599"/>
      <c r="BM58" s="599"/>
      <c r="BN58" s="599"/>
      <c r="BO58" s="599"/>
      <c r="BP58" s="599"/>
      <c r="BQ58" s="599"/>
      <c r="BR58" s="599"/>
      <c r="BS58" s="599"/>
      <c r="BT58" s="599"/>
    </row>
    <row r="59" spans="1:72" s="600" customFormat="1" ht="15.75" customHeight="1" x14ac:dyDescent="0.2">
      <c r="A59" s="351"/>
      <c r="B59" s="352"/>
      <c r="C59" s="353"/>
      <c r="D59" s="340"/>
      <c r="E59" s="340"/>
      <c r="F59" s="342"/>
      <c r="G59" s="354"/>
      <c r="H59" s="599"/>
      <c r="I59" s="599"/>
      <c r="J59" s="599"/>
      <c r="K59" s="599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599"/>
      <c r="AK59" s="599"/>
      <c r="AL59" s="599"/>
      <c r="AM59" s="599"/>
      <c r="AN59" s="599"/>
      <c r="AO59" s="599"/>
      <c r="AP59" s="599"/>
      <c r="AQ59" s="599"/>
      <c r="AR59" s="599"/>
      <c r="AS59" s="599"/>
      <c r="AT59" s="599"/>
      <c r="AU59" s="599"/>
      <c r="AV59" s="599"/>
      <c r="AW59" s="599"/>
      <c r="AX59" s="599"/>
      <c r="AY59" s="599"/>
      <c r="AZ59" s="599"/>
      <c r="BA59" s="599"/>
      <c r="BB59" s="599"/>
      <c r="BC59" s="599"/>
      <c r="BD59" s="599"/>
      <c r="BE59" s="599"/>
      <c r="BF59" s="599"/>
      <c r="BG59" s="599"/>
      <c r="BH59" s="599"/>
      <c r="BI59" s="599"/>
      <c r="BJ59" s="599"/>
      <c r="BK59" s="599"/>
      <c r="BL59" s="599"/>
      <c r="BM59" s="599"/>
      <c r="BN59" s="599"/>
      <c r="BO59" s="599"/>
      <c r="BP59" s="599"/>
      <c r="BQ59" s="599"/>
      <c r="BR59" s="599"/>
      <c r="BS59" s="599"/>
      <c r="BT59" s="599"/>
    </row>
    <row r="60" spans="1:72" s="600" customFormat="1" ht="15.75" customHeight="1" x14ac:dyDescent="0.2">
      <c r="A60" s="337"/>
      <c r="B60" s="338"/>
      <c r="C60" s="339"/>
      <c r="D60" s="339"/>
      <c r="E60" s="340" t="s">
        <v>24</v>
      </c>
      <c r="F60" s="341">
        <f>795+795+594+694+694+695+553+623</f>
        <v>5443</v>
      </c>
      <c r="G60" s="342" t="s">
        <v>329</v>
      </c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599"/>
      <c r="AJ60" s="599"/>
      <c r="AK60" s="599"/>
      <c r="AL60" s="599"/>
      <c r="AM60" s="599"/>
      <c r="AN60" s="599"/>
      <c r="AO60" s="599"/>
      <c r="AP60" s="599"/>
      <c r="AQ60" s="599"/>
      <c r="AR60" s="599"/>
      <c r="AS60" s="599"/>
      <c r="AT60" s="599"/>
      <c r="AU60" s="599"/>
      <c r="AV60" s="599"/>
      <c r="AW60" s="599"/>
      <c r="AX60" s="599"/>
      <c r="AY60" s="599"/>
      <c r="AZ60" s="599"/>
      <c r="BA60" s="599"/>
      <c r="BB60" s="599"/>
      <c r="BC60" s="599"/>
      <c r="BD60" s="599"/>
      <c r="BE60" s="599"/>
      <c r="BF60" s="599"/>
      <c r="BG60" s="599"/>
      <c r="BH60" s="599"/>
      <c r="BI60" s="599"/>
      <c r="BJ60" s="599"/>
      <c r="BK60" s="599"/>
      <c r="BL60" s="599"/>
      <c r="BM60" s="599"/>
      <c r="BN60" s="599"/>
      <c r="BO60" s="599"/>
      <c r="BP60" s="599"/>
      <c r="BQ60" s="599"/>
      <c r="BR60" s="599"/>
      <c r="BS60" s="599"/>
      <c r="BT60" s="599"/>
    </row>
    <row r="61" spans="1:72" s="600" customFormat="1" ht="15.75" customHeight="1" x14ac:dyDescent="0.2">
      <c r="A61" s="343" t="s">
        <v>312</v>
      </c>
      <c r="B61" s="355" t="s">
        <v>354</v>
      </c>
      <c r="C61" s="339" t="s">
        <v>124</v>
      </c>
      <c r="D61" s="339" t="s">
        <v>355</v>
      </c>
      <c r="E61" s="345" t="s">
        <v>329</v>
      </c>
      <c r="F61" s="346" t="s">
        <v>329</v>
      </c>
      <c r="G61" s="347">
        <f>SUM(G63)</f>
        <v>5443</v>
      </c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599"/>
      <c r="AJ61" s="599"/>
      <c r="AK61" s="599"/>
      <c r="AL61" s="599"/>
      <c r="AM61" s="599"/>
      <c r="AN61" s="599"/>
      <c r="AO61" s="599"/>
      <c r="AP61" s="599"/>
      <c r="AQ61" s="599"/>
      <c r="AR61" s="599"/>
      <c r="AS61" s="599"/>
      <c r="AT61" s="599"/>
      <c r="AU61" s="599"/>
      <c r="AV61" s="599"/>
      <c r="AW61" s="599"/>
      <c r="AX61" s="599"/>
      <c r="AY61" s="599"/>
      <c r="AZ61" s="599"/>
      <c r="BA61" s="599"/>
      <c r="BB61" s="599"/>
      <c r="BC61" s="599"/>
      <c r="BD61" s="599"/>
      <c r="BE61" s="599"/>
      <c r="BF61" s="599"/>
      <c r="BG61" s="599"/>
      <c r="BH61" s="599"/>
      <c r="BI61" s="599"/>
      <c r="BJ61" s="599"/>
      <c r="BK61" s="599"/>
      <c r="BL61" s="599"/>
      <c r="BM61" s="599"/>
      <c r="BN61" s="599"/>
      <c r="BO61" s="599"/>
      <c r="BP61" s="599"/>
      <c r="BQ61" s="599"/>
      <c r="BR61" s="599"/>
      <c r="BS61" s="599"/>
      <c r="BT61" s="599"/>
    </row>
    <row r="62" spans="1:72" s="600" customFormat="1" ht="15.75" customHeight="1" x14ac:dyDescent="0.2">
      <c r="A62" s="337"/>
      <c r="B62" s="348"/>
      <c r="C62" s="601"/>
      <c r="D62" s="601"/>
      <c r="E62" s="601"/>
      <c r="F62" s="602"/>
      <c r="G62" s="603"/>
      <c r="H62" s="599"/>
      <c r="I62" s="599"/>
      <c r="J62" s="599"/>
      <c r="K62" s="599"/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599"/>
      <c r="W62" s="599"/>
      <c r="X62" s="599"/>
      <c r="Y62" s="599"/>
      <c r="Z62" s="599"/>
      <c r="AA62" s="599"/>
      <c r="AB62" s="599"/>
      <c r="AC62" s="599"/>
      <c r="AD62" s="599"/>
      <c r="AE62" s="599"/>
      <c r="AF62" s="599"/>
      <c r="AG62" s="599"/>
      <c r="AH62" s="599"/>
      <c r="AI62" s="599"/>
      <c r="AJ62" s="599"/>
      <c r="AK62" s="599"/>
      <c r="AL62" s="599"/>
      <c r="AM62" s="599"/>
      <c r="AN62" s="599"/>
      <c r="AO62" s="599"/>
      <c r="AP62" s="599"/>
      <c r="AQ62" s="599"/>
      <c r="AR62" s="599"/>
      <c r="AS62" s="599"/>
      <c r="AT62" s="599"/>
      <c r="AU62" s="599"/>
      <c r="AV62" s="599"/>
      <c r="AW62" s="599"/>
      <c r="AX62" s="599"/>
      <c r="AY62" s="599"/>
      <c r="AZ62" s="599"/>
      <c r="BA62" s="599"/>
      <c r="BB62" s="599"/>
      <c r="BC62" s="599"/>
      <c r="BD62" s="599"/>
      <c r="BE62" s="599"/>
      <c r="BF62" s="599"/>
      <c r="BG62" s="599"/>
      <c r="BH62" s="599"/>
      <c r="BI62" s="599"/>
      <c r="BJ62" s="599"/>
      <c r="BK62" s="599"/>
      <c r="BL62" s="599"/>
      <c r="BM62" s="599"/>
      <c r="BN62" s="599"/>
      <c r="BO62" s="599"/>
      <c r="BP62" s="599"/>
      <c r="BQ62" s="599"/>
      <c r="BR62" s="599"/>
      <c r="BS62" s="599"/>
      <c r="BT62" s="599"/>
    </row>
    <row r="63" spans="1:72" s="600" customFormat="1" ht="15.75" customHeight="1" x14ac:dyDescent="0.2">
      <c r="A63" s="604"/>
      <c r="B63" s="605" t="s">
        <v>123</v>
      </c>
      <c r="C63" s="601"/>
      <c r="D63" s="601"/>
      <c r="E63" s="601"/>
      <c r="F63" s="602"/>
      <c r="G63" s="603">
        <f>SUM(G64:G64)</f>
        <v>5443</v>
      </c>
      <c r="H63" s="599"/>
      <c r="I63" s="599"/>
      <c r="J63" s="599"/>
      <c r="K63" s="599"/>
      <c r="L63" s="599"/>
      <c r="M63" s="599"/>
      <c r="N63" s="599"/>
      <c r="O63" s="599"/>
      <c r="P63" s="599"/>
      <c r="Q63" s="599"/>
      <c r="R63" s="599"/>
      <c r="S63" s="599"/>
      <c r="T63" s="599"/>
      <c r="U63" s="599"/>
      <c r="V63" s="599"/>
      <c r="W63" s="599"/>
      <c r="X63" s="599"/>
      <c r="Y63" s="599"/>
      <c r="Z63" s="599"/>
      <c r="AA63" s="599"/>
      <c r="AB63" s="599"/>
      <c r="AC63" s="599"/>
      <c r="AD63" s="599"/>
      <c r="AE63" s="599"/>
      <c r="AF63" s="599"/>
      <c r="AG63" s="599"/>
      <c r="AH63" s="599"/>
      <c r="AI63" s="599"/>
      <c r="AJ63" s="599"/>
      <c r="AK63" s="599"/>
      <c r="AL63" s="599"/>
      <c r="AM63" s="599"/>
      <c r="AN63" s="599"/>
      <c r="AO63" s="599"/>
      <c r="AP63" s="599"/>
      <c r="AQ63" s="599"/>
      <c r="AR63" s="599"/>
      <c r="AS63" s="599"/>
      <c r="AT63" s="599"/>
      <c r="AU63" s="599"/>
      <c r="AV63" s="599"/>
      <c r="AW63" s="599"/>
      <c r="AX63" s="599"/>
      <c r="AY63" s="599"/>
      <c r="AZ63" s="599"/>
      <c r="BA63" s="599"/>
      <c r="BB63" s="599"/>
      <c r="BC63" s="599"/>
      <c r="BD63" s="599"/>
      <c r="BE63" s="599"/>
      <c r="BF63" s="599"/>
      <c r="BG63" s="599"/>
      <c r="BH63" s="599"/>
      <c r="BI63" s="599"/>
      <c r="BJ63" s="599"/>
      <c r="BK63" s="599"/>
      <c r="BL63" s="599"/>
      <c r="BM63" s="599"/>
      <c r="BN63" s="599"/>
      <c r="BO63" s="599"/>
      <c r="BP63" s="599"/>
      <c r="BQ63" s="599"/>
      <c r="BR63" s="599"/>
      <c r="BS63" s="599"/>
      <c r="BT63" s="599"/>
    </row>
    <row r="64" spans="1:72" s="600" customFormat="1" ht="15.75" customHeight="1" x14ac:dyDescent="0.2">
      <c r="A64" s="337"/>
      <c r="B64" s="338"/>
      <c r="C64" s="356"/>
      <c r="D64" s="339"/>
      <c r="E64" s="339" t="s">
        <v>333</v>
      </c>
      <c r="F64" s="349" t="s">
        <v>329</v>
      </c>
      <c r="G64" s="350">
        <f>795+795+594+694+694+695+553+623</f>
        <v>5443</v>
      </c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599"/>
      <c r="AI64" s="599"/>
      <c r="AJ64" s="599"/>
      <c r="AK64" s="599"/>
      <c r="AL64" s="599"/>
      <c r="AM64" s="599"/>
      <c r="AN64" s="599"/>
      <c r="AO64" s="599"/>
      <c r="AP64" s="599"/>
      <c r="AQ64" s="599"/>
      <c r="AR64" s="599"/>
      <c r="AS64" s="599"/>
      <c r="AT64" s="599"/>
      <c r="AU64" s="599"/>
      <c r="AV64" s="599"/>
      <c r="AW64" s="599"/>
      <c r="AX64" s="599"/>
      <c r="AY64" s="599"/>
      <c r="AZ64" s="599"/>
      <c r="BA64" s="599"/>
      <c r="BB64" s="599"/>
      <c r="BC64" s="599"/>
      <c r="BD64" s="599"/>
      <c r="BE64" s="599"/>
      <c r="BF64" s="599"/>
      <c r="BG64" s="599"/>
      <c r="BH64" s="599"/>
      <c r="BI64" s="599"/>
      <c r="BJ64" s="599"/>
      <c r="BK64" s="599"/>
      <c r="BL64" s="599"/>
      <c r="BM64" s="599"/>
      <c r="BN64" s="599"/>
      <c r="BO64" s="599"/>
      <c r="BP64" s="599"/>
      <c r="BQ64" s="599"/>
      <c r="BR64" s="599"/>
      <c r="BS64" s="599"/>
      <c r="BT64" s="599"/>
    </row>
    <row r="65" spans="1:72" s="600" customFormat="1" ht="15.75" customHeight="1" x14ac:dyDescent="0.2">
      <c r="A65" s="351"/>
      <c r="B65" s="352"/>
      <c r="C65" s="353"/>
      <c r="D65" s="340"/>
      <c r="E65" s="340"/>
      <c r="F65" s="342"/>
      <c r="G65" s="354"/>
      <c r="H65" s="599"/>
      <c r="I65" s="599"/>
      <c r="J65" s="599"/>
      <c r="K65" s="599"/>
      <c r="L65" s="599"/>
      <c r="M65" s="599"/>
      <c r="N65" s="599"/>
      <c r="O65" s="599"/>
      <c r="P65" s="599"/>
      <c r="Q65" s="599"/>
      <c r="R65" s="599"/>
      <c r="S65" s="599"/>
      <c r="T65" s="599"/>
      <c r="U65" s="599"/>
      <c r="V65" s="599"/>
      <c r="W65" s="599"/>
      <c r="X65" s="599"/>
      <c r="Y65" s="599"/>
      <c r="Z65" s="599"/>
      <c r="AA65" s="599"/>
      <c r="AB65" s="599"/>
      <c r="AC65" s="599"/>
      <c r="AD65" s="599"/>
      <c r="AE65" s="599"/>
      <c r="AF65" s="599"/>
      <c r="AG65" s="599"/>
      <c r="AH65" s="599"/>
      <c r="AI65" s="599"/>
      <c r="AJ65" s="599"/>
      <c r="AK65" s="599"/>
      <c r="AL65" s="599"/>
      <c r="AM65" s="599"/>
      <c r="AN65" s="599"/>
      <c r="AO65" s="599"/>
      <c r="AP65" s="599"/>
      <c r="AQ65" s="599"/>
      <c r="AR65" s="599"/>
      <c r="AS65" s="599"/>
      <c r="AT65" s="599"/>
      <c r="AU65" s="599"/>
      <c r="AV65" s="599"/>
      <c r="AW65" s="599"/>
      <c r="AX65" s="599"/>
      <c r="AY65" s="599"/>
      <c r="AZ65" s="599"/>
      <c r="BA65" s="599"/>
      <c r="BB65" s="599"/>
      <c r="BC65" s="599"/>
      <c r="BD65" s="599"/>
      <c r="BE65" s="599"/>
      <c r="BF65" s="599"/>
      <c r="BG65" s="599"/>
      <c r="BH65" s="599"/>
      <c r="BI65" s="599"/>
      <c r="BJ65" s="599"/>
      <c r="BK65" s="599"/>
      <c r="BL65" s="599"/>
      <c r="BM65" s="599"/>
      <c r="BN65" s="599"/>
      <c r="BO65" s="599"/>
      <c r="BP65" s="599"/>
      <c r="BQ65" s="599"/>
      <c r="BR65" s="599"/>
      <c r="BS65" s="599"/>
      <c r="BT65" s="599"/>
    </row>
    <row r="66" spans="1:72" s="600" customFormat="1" ht="15.75" customHeight="1" x14ac:dyDescent="0.2">
      <c r="A66" s="337"/>
      <c r="B66" s="338"/>
      <c r="C66" s="339"/>
      <c r="D66" s="339"/>
      <c r="E66" s="340" t="s">
        <v>24</v>
      </c>
      <c r="F66" s="341">
        <f>452.4+422.24+400.77+197.21+259.95+172.55+154.38+78.44+61.63+97.11+49.3+285.34+84.42+24.65+84.66</f>
        <v>2825.0500000000006</v>
      </c>
      <c r="G66" s="342" t="s">
        <v>329</v>
      </c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599"/>
      <c r="X66" s="599"/>
      <c r="Y66" s="599"/>
      <c r="Z66" s="599"/>
      <c r="AA66" s="599"/>
      <c r="AB66" s="599"/>
      <c r="AC66" s="599"/>
      <c r="AD66" s="599"/>
      <c r="AE66" s="599"/>
      <c r="AF66" s="599"/>
      <c r="AG66" s="599"/>
      <c r="AH66" s="599"/>
      <c r="AI66" s="599"/>
      <c r="AJ66" s="599"/>
      <c r="AK66" s="599"/>
      <c r="AL66" s="599"/>
      <c r="AM66" s="599"/>
      <c r="AN66" s="599"/>
      <c r="AO66" s="599"/>
      <c r="AP66" s="599"/>
      <c r="AQ66" s="599"/>
      <c r="AR66" s="599"/>
      <c r="AS66" s="599"/>
      <c r="AT66" s="599"/>
      <c r="AU66" s="599"/>
      <c r="AV66" s="599"/>
      <c r="AW66" s="599"/>
      <c r="AX66" s="599"/>
      <c r="AY66" s="599"/>
      <c r="AZ66" s="599"/>
      <c r="BA66" s="599"/>
      <c r="BB66" s="599"/>
      <c r="BC66" s="599"/>
      <c r="BD66" s="599"/>
      <c r="BE66" s="599"/>
      <c r="BF66" s="599"/>
      <c r="BG66" s="599"/>
      <c r="BH66" s="599"/>
      <c r="BI66" s="599"/>
      <c r="BJ66" s="599"/>
      <c r="BK66" s="599"/>
      <c r="BL66" s="599"/>
      <c r="BM66" s="599"/>
      <c r="BN66" s="599"/>
      <c r="BO66" s="599"/>
      <c r="BP66" s="599"/>
      <c r="BQ66" s="599"/>
      <c r="BR66" s="599"/>
      <c r="BS66" s="599"/>
      <c r="BT66" s="599"/>
    </row>
    <row r="67" spans="1:72" s="600" customFormat="1" ht="60.75" customHeight="1" x14ac:dyDescent="0.2">
      <c r="A67" s="343" t="s">
        <v>313</v>
      </c>
      <c r="B67" s="355" t="s">
        <v>356</v>
      </c>
      <c r="C67" s="339" t="s">
        <v>357</v>
      </c>
      <c r="D67" s="339" t="s">
        <v>358</v>
      </c>
      <c r="E67" s="345" t="s">
        <v>329</v>
      </c>
      <c r="F67" s="346" t="s">
        <v>329</v>
      </c>
      <c r="G67" s="347">
        <f>SUM(G69)</f>
        <v>1950.4100000000003</v>
      </c>
      <c r="H67" s="599"/>
      <c r="I67" s="607"/>
      <c r="J67" s="599"/>
      <c r="K67" s="599"/>
      <c r="L67" s="599"/>
      <c r="M67" s="599"/>
      <c r="N67" s="599"/>
      <c r="O67" s="599"/>
      <c r="P67" s="599"/>
      <c r="Q67" s="599"/>
      <c r="R67" s="599"/>
      <c r="S67" s="599"/>
      <c r="T67" s="599"/>
      <c r="U67" s="599"/>
      <c r="V67" s="599"/>
      <c r="W67" s="599"/>
      <c r="X67" s="599"/>
      <c r="Y67" s="599"/>
      <c r="Z67" s="599"/>
      <c r="AA67" s="599"/>
      <c r="AB67" s="599"/>
      <c r="AC67" s="599"/>
      <c r="AD67" s="599"/>
      <c r="AE67" s="599"/>
      <c r="AF67" s="599"/>
      <c r="AG67" s="599"/>
      <c r="AH67" s="599"/>
      <c r="AI67" s="599"/>
      <c r="AJ67" s="599"/>
      <c r="AK67" s="599"/>
      <c r="AL67" s="599"/>
      <c r="AM67" s="599"/>
      <c r="AN67" s="599"/>
      <c r="AO67" s="599"/>
      <c r="AP67" s="599"/>
      <c r="AQ67" s="599"/>
      <c r="AR67" s="599"/>
      <c r="AS67" s="599"/>
      <c r="AT67" s="599"/>
      <c r="AU67" s="599"/>
      <c r="AV67" s="599"/>
      <c r="AW67" s="599"/>
      <c r="AX67" s="599"/>
      <c r="AY67" s="599"/>
      <c r="AZ67" s="599"/>
      <c r="BA67" s="599"/>
      <c r="BB67" s="599"/>
      <c r="BC67" s="599"/>
      <c r="BD67" s="599"/>
      <c r="BE67" s="599"/>
      <c r="BF67" s="599"/>
      <c r="BG67" s="599"/>
      <c r="BH67" s="599"/>
      <c r="BI67" s="599"/>
      <c r="BJ67" s="599"/>
      <c r="BK67" s="599"/>
      <c r="BL67" s="599"/>
      <c r="BM67" s="599"/>
      <c r="BN67" s="599"/>
      <c r="BO67" s="599"/>
      <c r="BP67" s="599"/>
      <c r="BQ67" s="599"/>
      <c r="BR67" s="599"/>
      <c r="BS67" s="599"/>
      <c r="BT67" s="599"/>
    </row>
    <row r="68" spans="1:72" s="600" customFormat="1" ht="15.75" customHeight="1" x14ac:dyDescent="0.2">
      <c r="A68" s="337"/>
      <c r="B68" s="348"/>
      <c r="C68" s="601"/>
      <c r="D68" s="601"/>
      <c r="E68" s="601"/>
      <c r="F68" s="602"/>
      <c r="G68" s="603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  <c r="AC68" s="599"/>
      <c r="AD68" s="599"/>
      <c r="AE68" s="599"/>
      <c r="AF68" s="599"/>
      <c r="AG68" s="599"/>
      <c r="AH68" s="599"/>
      <c r="AI68" s="599"/>
      <c r="AJ68" s="599"/>
      <c r="AK68" s="599"/>
      <c r="AL68" s="599"/>
      <c r="AM68" s="599"/>
      <c r="AN68" s="599"/>
      <c r="AO68" s="599"/>
      <c r="AP68" s="599"/>
      <c r="AQ68" s="599"/>
      <c r="AR68" s="599"/>
      <c r="AS68" s="599"/>
      <c r="AT68" s="599"/>
      <c r="AU68" s="599"/>
      <c r="AV68" s="599"/>
      <c r="AW68" s="599"/>
      <c r="AX68" s="599"/>
      <c r="AY68" s="599"/>
      <c r="AZ68" s="599"/>
      <c r="BA68" s="599"/>
      <c r="BB68" s="599"/>
      <c r="BC68" s="599"/>
      <c r="BD68" s="599"/>
      <c r="BE68" s="599"/>
      <c r="BF68" s="599"/>
      <c r="BG68" s="599"/>
      <c r="BH68" s="599"/>
      <c r="BI68" s="599"/>
      <c r="BJ68" s="599"/>
      <c r="BK68" s="599"/>
      <c r="BL68" s="599"/>
      <c r="BM68" s="599"/>
      <c r="BN68" s="599"/>
      <c r="BO68" s="599"/>
      <c r="BP68" s="599"/>
      <c r="BQ68" s="599"/>
      <c r="BR68" s="599"/>
      <c r="BS68" s="599"/>
      <c r="BT68" s="599"/>
    </row>
    <row r="69" spans="1:72" s="600" customFormat="1" ht="15.75" customHeight="1" x14ac:dyDescent="0.2">
      <c r="A69" s="604"/>
      <c r="B69" s="605" t="s">
        <v>359</v>
      </c>
      <c r="C69" s="601"/>
      <c r="D69" s="601"/>
      <c r="E69" s="601"/>
      <c r="F69" s="602"/>
      <c r="G69" s="603">
        <f>SUM(G70:G71)</f>
        <v>1950.4100000000003</v>
      </c>
      <c r="H69" s="599"/>
      <c r="I69" s="599"/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T69" s="599"/>
      <c r="U69" s="599"/>
      <c r="V69" s="599"/>
      <c r="W69" s="599"/>
      <c r="X69" s="599"/>
      <c r="Y69" s="599"/>
      <c r="Z69" s="599"/>
      <c r="AA69" s="599"/>
      <c r="AB69" s="599"/>
      <c r="AC69" s="599"/>
      <c r="AD69" s="599"/>
      <c r="AE69" s="599"/>
      <c r="AF69" s="599"/>
      <c r="AG69" s="599"/>
      <c r="AH69" s="599"/>
      <c r="AI69" s="599"/>
      <c r="AJ69" s="599"/>
      <c r="AK69" s="599"/>
      <c r="AL69" s="599"/>
      <c r="AM69" s="599"/>
      <c r="AN69" s="599"/>
      <c r="AO69" s="599"/>
      <c r="AP69" s="599"/>
      <c r="AQ69" s="599"/>
      <c r="AR69" s="599"/>
      <c r="AS69" s="599"/>
      <c r="AT69" s="599"/>
      <c r="AU69" s="599"/>
      <c r="AV69" s="599"/>
      <c r="AW69" s="599"/>
      <c r="AX69" s="599"/>
      <c r="AY69" s="599"/>
      <c r="AZ69" s="599"/>
      <c r="BA69" s="599"/>
      <c r="BB69" s="599"/>
      <c r="BC69" s="599"/>
      <c r="BD69" s="599"/>
      <c r="BE69" s="599"/>
      <c r="BF69" s="599"/>
      <c r="BG69" s="599"/>
      <c r="BH69" s="599"/>
      <c r="BI69" s="599"/>
      <c r="BJ69" s="599"/>
      <c r="BK69" s="599"/>
      <c r="BL69" s="599"/>
      <c r="BM69" s="599"/>
      <c r="BN69" s="599"/>
      <c r="BO69" s="599"/>
      <c r="BP69" s="599"/>
      <c r="BQ69" s="599"/>
      <c r="BR69" s="599"/>
      <c r="BS69" s="599"/>
      <c r="BT69" s="599"/>
    </row>
    <row r="70" spans="1:72" s="600" customFormat="1" ht="15.75" customHeight="1" x14ac:dyDescent="0.2">
      <c r="A70" s="604"/>
      <c r="B70" s="605"/>
      <c r="C70" s="608"/>
      <c r="D70" s="601"/>
      <c r="E70" s="339" t="s">
        <v>337</v>
      </c>
      <c r="F70" s="349" t="s">
        <v>329</v>
      </c>
      <c r="G70" s="350">
        <f>334.98+164.84+129.04+361.5+117.07+122.37+400.43</f>
        <v>1630.2300000000002</v>
      </c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599"/>
      <c r="AK70" s="599"/>
      <c r="AL70" s="599"/>
      <c r="AM70" s="599"/>
      <c r="AN70" s="599"/>
      <c r="AO70" s="599"/>
      <c r="AP70" s="599"/>
      <c r="AQ70" s="599"/>
      <c r="AR70" s="599"/>
      <c r="AS70" s="599"/>
      <c r="AT70" s="599"/>
      <c r="AU70" s="599"/>
      <c r="AV70" s="599"/>
      <c r="AW70" s="599"/>
      <c r="AX70" s="599"/>
      <c r="AY70" s="599"/>
      <c r="AZ70" s="599"/>
      <c r="BA70" s="599"/>
      <c r="BB70" s="599"/>
      <c r="BC70" s="599"/>
      <c r="BD70" s="599"/>
      <c r="BE70" s="599"/>
      <c r="BF70" s="599"/>
      <c r="BG70" s="599"/>
      <c r="BH70" s="599"/>
      <c r="BI70" s="599"/>
      <c r="BJ70" s="599"/>
      <c r="BK70" s="599"/>
      <c r="BL70" s="599"/>
      <c r="BM70" s="599"/>
      <c r="BN70" s="599"/>
      <c r="BO70" s="599"/>
      <c r="BP70" s="599"/>
      <c r="BQ70" s="599"/>
      <c r="BR70" s="599"/>
      <c r="BS70" s="599"/>
      <c r="BT70" s="599"/>
    </row>
    <row r="71" spans="1:72" s="600" customFormat="1" ht="15.75" customHeight="1" x14ac:dyDescent="0.2">
      <c r="A71" s="604"/>
      <c r="B71" s="605"/>
      <c r="C71" s="608"/>
      <c r="D71" s="601"/>
      <c r="E71" s="339" t="s">
        <v>338</v>
      </c>
      <c r="F71" s="349" t="s">
        <v>329</v>
      </c>
      <c r="G71" s="350">
        <f>65.79+32.37+25.34+71+23+24.04+78.64</f>
        <v>320.18</v>
      </c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599"/>
      <c r="AK71" s="599"/>
      <c r="AL71" s="599"/>
      <c r="AM71" s="599"/>
      <c r="AN71" s="599"/>
      <c r="AO71" s="599"/>
      <c r="AP71" s="599"/>
      <c r="AQ71" s="599"/>
      <c r="AR71" s="599"/>
      <c r="AS71" s="599"/>
      <c r="AT71" s="599"/>
      <c r="AU71" s="599"/>
      <c r="AV71" s="599"/>
      <c r="AW71" s="599"/>
      <c r="AX71" s="599"/>
      <c r="AY71" s="599"/>
      <c r="AZ71" s="599"/>
      <c r="BA71" s="599"/>
      <c r="BB71" s="599"/>
      <c r="BC71" s="599"/>
      <c r="BD71" s="599"/>
      <c r="BE71" s="599"/>
      <c r="BF71" s="599"/>
      <c r="BG71" s="599"/>
      <c r="BH71" s="599"/>
      <c r="BI71" s="599"/>
      <c r="BJ71" s="599"/>
      <c r="BK71" s="599"/>
      <c r="BL71" s="599"/>
      <c r="BM71" s="599"/>
      <c r="BN71" s="599"/>
      <c r="BO71" s="599"/>
      <c r="BP71" s="599"/>
      <c r="BQ71" s="599"/>
      <c r="BR71" s="599"/>
      <c r="BS71" s="599"/>
      <c r="BT71" s="599"/>
    </row>
    <row r="72" spans="1:72" s="600" customFormat="1" ht="15.75" customHeight="1" x14ac:dyDescent="0.2">
      <c r="A72" s="609"/>
      <c r="B72" s="610"/>
      <c r="C72" s="611"/>
      <c r="D72" s="612"/>
      <c r="E72" s="612"/>
      <c r="F72" s="613"/>
      <c r="G72" s="614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599"/>
      <c r="AK72" s="599"/>
      <c r="AL72" s="599"/>
      <c r="AM72" s="599"/>
      <c r="AN72" s="599"/>
      <c r="AO72" s="599"/>
      <c r="AP72" s="599"/>
      <c r="AQ72" s="599"/>
      <c r="AR72" s="599"/>
      <c r="AS72" s="599"/>
      <c r="AT72" s="599"/>
      <c r="AU72" s="599"/>
      <c r="AV72" s="599"/>
      <c r="AW72" s="599"/>
      <c r="AX72" s="599"/>
      <c r="AY72" s="599"/>
      <c r="AZ72" s="599"/>
      <c r="BA72" s="599"/>
      <c r="BB72" s="599"/>
      <c r="BC72" s="599"/>
      <c r="BD72" s="599"/>
      <c r="BE72" s="599"/>
      <c r="BF72" s="599"/>
      <c r="BG72" s="599"/>
      <c r="BH72" s="599"/>
      <c r="BI72" s="599"/>
      <c r="BJ72" s="599"/>
      <c r="BK72" s="599"/>
      <c r="BL72" s="599"/>
      <c r="BM72" s="599"/>
      <c r="BN72" s="599"/>
      <c r="BO72" s="599"/>
      <c r="BP72" s="599"/>
      <c r="BQ72" s="599"/>
      <c r="BR72" s="599"/>
      <c r="BS72" s="599"/>
      <c r="BT72" s="599"/>
    </row>
    <row r="73" spans="1:72" s="600" customFormat="1" ht="15.75" customHeight="1" x14ac:dyDescent="0.2">
      <c r="A73" s="337"/>
      <c r="B73" s="338"/>
      <c r="C73" s="339" t="s">
        <v>360</v>
      </c>
      <c r="D73" s="339" t="s">
        <v>21</v>
      </c>
      <c r="E73" s="340" t="s">
        <v>24</v>
      </c>
      <c r="F73" s="341">
        <f>190930+49631+274881+56959+220565+52228+242513+58646+236005+62821+240460+63735+232920+56430+233620+54905</f>
        <v>2327249</v>
      </c>
      <c r="G73" s="342" t="s">
        <v>329</v>
      </c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599"/>
      <c r="AK73" s="599"/>
      <c r="AL73" s="599"/>
      <c r="AM73" s="599"/>
      <c r="AN73" s="599"/>
      <c r="AO73" s="599"/>
      <c r="AP73" s="599"/>
      <c r="AQ73" s="599"/>
      <c r="AR73" s="599"/>
      <c r="AS73" s="599"/>
      <c r="AT73" s="599"/>
      <c r="AU73" s="599"/>
      <c r="AV73" s="599"/>
      <c r="AW73" s="599"/>
      <c r="AX73" s="599"/>
      <c r="AY73" s="599"/>
      <c r="AZ73" s="599"/>
      <c r="BA73" s="599"/>
      <c r="BB73" s="599"/>
      <c r="BC73" s="599"/>
      <c r="BD73" s="599"/>
      <c r="BE73" s="599"/>
      <c r="BF73" s="599"/>
      <c r="BG73" s="599"/>
      <c r="BH73" s="599"/>
      <c r="BI73" s="599"/>
      <c r="BJ73" s="599"/>
      <c r="BK73" s="599"/>
      <c r="BL73" s="599"/>
      <c r="BM73" s="599"/>
      <c r="BN73" s="599"/>
      <c r="BO73" s="599"/>
      <c r="BP73" s="599"/>
      <c r="BQ73" s="599"/>
      <c r="BR73" s="599"/>
      <c r="BS73" s="599"/>
      <c r="BT73" s="599"/>
    </row>
    <row r="74" spans="1:72" s="600" customFormat="1" ht="23.25" customHeight="1" x14ac:dyDescent="0.2">
      <c r="A74" s="343" t="s">
        <v>315</v>
      </c>
      <c r="B74" s="344" t="s">
        <v>361</v>
      </c>
      <c r="C74" s="339"/>
      <c r="D74" s="339"/>
      <c r="E74" s="345" t="s">
        <v>329</v>
      </c>
      <c r="F74" s="346" t="s">
        <v>329</v>
      </c>
      <c r="G74" s="347">
        <f>SUM(G76,G86,G91,G100,G109,G114,G123,G132,G141,G146,G155,G160,G169,G174)</f>
        <v>2481451.4500000002</v>
      </c>
      <c r="H74" s="599"/>
      <c r="I74" s="607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599"/>
      <c r="AK74" s="599"/>
      <c r="AL74" s="599"/>
      <c r="AM74" s="599"/>
      <c r="AN74" s="599"/>
      <c r="AO74" s="599"/>
      <c r="AP74" s="599"/>
      <c r="AQ74" s="599"/>
      <c r="AR74" s="599"/>
      <c r="AS74" s="599"/>
      <c r="AT74" s="599"/>
      <c r="AU74" s="599"/>
      <c r="AV74" s="599"/>
      <c r="AW74" s="599"/>
      <c r="AX74" s="599"/>
      <c r="AY74" s="599"/>
      <c r="AZ74" s="599"/>
      <c r="BA74" s="599"/>
      <c r="BB74" s="599"/>
      <c r="BC74" s="599"/>
      <c r="BD74" s="599"/>
      <c r="BE74" s="599"/>
      <c r="BF74" s="599"/>
      <c r="BG74" s="599"/>
      <c r="BH74" s="599"/>
      <c r="BI74" s="599"/>
      <c r="BJ74" s="599"/>
      <c r="BK74" s="599"/>
      <c r="BL74" s="599"/>
      <c r="BM74" s="599"/>
      <c r="BN74" s="599"/>
      <c r="BO74" s="599"/>
      <c r="BP74" s="599"/>
      <c r="BQ74" s="599"/>
      <c r="BR74" s="599"/>
      <c r="BS74" s="599"/>
      <c r="BT74" s="599"/>
    </row>
    <row r="75" spans="1:72" s="600" customFormat="1" ht="15.75" customHeight="1" x14ac:dyDescent="0.2">
      <c r="A75" s="337"/>
      <c r="B75" s="338"/>
      <c r="C75" s="356"/>
      <c r="D75" s="339"/>
      <c r="E75" s="339"/>
      <c r="F75" s="349"/>
      <c r="G75" s="350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599"/>
      <c r="AK75" s="599"/>
      <c r="AL75" s="599"/>
      <c r="AM75" s="599"/>
      <c r="AN75" s="599"/>
      <c r="AO75" s="599"/>
      <c r="AP75" s="599"/>
      <c r="AQ75" s="599"/>
      <c r="AR75" s="599"/>
      <c r="AS75" s="599"/>
      <c r="AT75" s="599"/>
      <c r="AU75" s="599"/>
      <c r="AV75" s="599"/>
      <c r="AW75" s="599"/>
      <c r="AX75" s="599"/>
      <c r="AY75" s="599"/>
      <c r="AZ75" s="599"/>
      <c r="BA75" s="599"/>
      <c r="BB75" s="599"/>
      <c r="BC75" s="599"/>
      <c r="BD75" s="599"/>
      <c r="BE75" s="599"/>
      <c r="BF75" s="599"/>
      <c r="BG75" s="599"/>
      <c r="BH75" s="599"/>
      <c r="BI75" s="599"/>
      <c r="BJ75" s="599"/>
      <c r="BK75" s="599"/>
      <c r="BL75" s="599"/>
      <c r="BM75" s="599"/>
      <c r="BN75" s="599"/>
      <c r="BO75" s="599"/>
      <c r="BP75" s="599"/>
      <c r="BQ75" s="599"/>
      <c r="BR75" s="599"/>
      <c r="BS75" s="599"/>
      <c r="BT75" s="599"/>
    </row>
    <row r="76" spans="1:72" s="600" customFormat="1" ht="15.75" customHeight="1" x14ac:dyDescent="0.2">
      <c r="A76" s="337"/>
      <c r="B76" s="605" t="s">
        <v>71</v>
      </c>
      <c r="C76" s="339" t="s">
        <v>362</v>
      </c>
      <c r="D76" s="339" t="s">
        <v>363</v>
      </c>
      <c r="E76" s="345" t="s">
        <v>329</v>
      </c>
      <c r="F76" s="346" t="s">
        <v>329</v>
      </c>
      <c r="G76" s="347">
        <f>SUM(G78)</f>
        <v>1547158.59</v>
      </c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599"/>
      <c r="AK76" s="599"/>
      <c r="AL76" s="599"/>
      <c r="AM76" s="599"/>
      <c r="AN76" s="599"/>
      <c r="AO76" s="599"/>
      <c r="AP76" s="599"/>
      <c r="AQ76" s="599"/>
      <c r="AR76" s="599"/>
      <c r="AS76" s="599"/>
      <c r="AT76" s="599"/>
      <c r="AU76" s="599"/>
      <c r="AV76" s="599"/>
      <c r="AW76" s="599"/>
      <c r="AX76" s="599"/>
      <c r="AY76" s="599"/>
      <c r="AZ76" s="599"/>
      <c r="BA76" s="599"/>
      <c r="BB76" s="599"/>
      <c r="BC76" s="599"/>
      <c r="BD76" s="599"/>
      <c r="BE76" s="599"/>
      <c r="BF76" s="599"/>
      <c r="BG76" s="599"/>
      <c r="BH76" s="599"/>
      <c r="BI76" s="599"/>
      <c r="BJ76" s="599"/>
      <c r="BK76" s="599"/>
      <c r="BL76" s="599"/>
      <c r="BM76" s="599"/>
      <c r="BN76" s="599"/>
      <c r="BO76" s="599"/>
      <c r="BP76" s="599"/>
      <c r="BQ76" s="599"/>
      <c r="BR76" s="599"/>
      <c r="BS76" s="599"/>
      <c r="BT76" s="599"/>
    </row>
    <row r="77" spans="1:72" s="600" customFormat="1" ht="15.75" customHeight="1" x14ac:dyDescent="0.2">
      <c r="A77" s="337"/>
      <c r="B77" s="338"/>
      <c r="C77" s="356"/>
      <c r="D77" s="339"/>
      <c r="E77" s="339"/>
      <c r="F77" s="349"/>
      <c r="G77" s="350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599"/>
      <c r="AK77" s="599"/>
      <c r="AL77" s="599"/>
      <c r="AM77" s="599"/>
      <c r="AN77" s="599"/>
      <c r="AO77" s="599"/>
      <c r="AP77" s="599"/>
      <c r="AQ77" s="599"/>
      <c r="AR77" s="599"/>
      <c r="AS77" s="599"/>
      <c r="AT77" s="599"/>
      <c r="AU77" s="599"/>
      <c r="AV77" s="599"/>
      <c r="AW77" s="599"/>
      <c r="AX77" s="599"/>
      <c r="AY77" s="599"/>
      <c r="AZ77" s="599"/>
      <c r="BA77" s="599"/>
      <c r="BB77" s="599"/>
      <c r="BC77" s="599"/>
      <c r="BD77" s="599"/>
      <c r="BE77" s="599"/>
      <c r="BF77" s="599"/>
      <c r="BG77" s="599"/>
      <c r="BH77" s="599"/>
      <c r="BI77" s="599"/>
      <c r="BJ77" s="599"/>
      <c r="BK77" s="599"/>
      <c r="BL77" s="599"/>
      <c r="BM77" s="599"/>
      <c r="BN77" s="599"/>
      <c r="BO77" s="599"/>
      <c r="BP77" s="599"/>
      <c r="BQ77" s="599"/>
      <c r="BR77" s="599"/>
      <c r="BS77" s="599"/>
      <c r="BT77" s="599"/>
    </row>
    <row r="78" spans="1:72" s="600" customFormat="1" ht="15.75" customHeight="1" x14ac:dyDescent="0.2">
      <c r="A78" s="337"/>
      <c r="B78" s="338"/>
      <c r="C78" s="356"/>
      <c r="D78" s="339"/>
      <c r="E78" s="601"/>
      <c r="F78" s="602"/>
      <c r="G78" s="603">
        <f>SUM(G79:G84)</f>
        <v>1547158.59</v>
      </c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599"/>
      <c r="AK78" s="599"/>
      <c r="AL78" s="599"/>
      <c r="AM78" s="599"/>
      <c r="AN78" s="599"/>
      <c r="AO78" s="599"/>
      <c r="AP78" s="599"/>
      <c r="AQ78" s="599"/>
      <c r="AR78" s="599"/>
      <c r="AS78" s="599"/>
      <c r="AT78" s="599"/>
      <c r="AU78" s="599"/>
      <c r="AV78" s="599"/>
      <c r="AW78" s="599"/>
      <c r="AX78" s="599"/>
      <c r="AY78" s="599"/>
      <c r="AZ78" s="599"/>
      <c r="BA78" s="599"/>
      <c r="BB78" s="599"/>
      <c r="BC78" s="599"/>
      <c r="BD78" s="599"/>
      <c r="BE78" s="599"/>
      <c r="BF78" s="599"/>
      <c r="BG78" s="599"/>
      <c r="BH78" s="599"/>
      <c r="BI78" s="599"/>
      <c r="BJ78" s="599"/>
      <c r="BK78" s="599"/>
      <c r="BL78" s="599"/>
      <c r="BM78" s="599"/>
      <c r="BN78" s="599"/>
      <c r="BO78" s="599"/>
      <c r="BP78" s="599"/>
      <c r="BQ78" s="599"/>
      <c r="BR78" s="599"/>
      <c r="BS78" s="599"/>
      <c r="BT78" s="599"/>
    </row>
    <row r="79" spans="1:72" s="600" customFormat="1" ht="15.75" customHeight="1" x14ac:dyDescent="0.2">
      <c r="A79" s="337"/>
      <c r="B79" s="338"/>
      <c r="C79" s="356"/>
      <c r="D79" s="339"/>
      <c r="E79" s="339" t="s">
        <v>86</v>
      </c>
      <c r="F79" s="349" t="s">
        <v>329</v>
      </c>
      <c r="G79" s="350">
        <f>117182.98+128847+162969+174526+362860+166130.29</f>
        <v>1112515.27</v>
      </c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599"/>
      <c r="AK79" s="599"/>
      <c r="AL79" s="599"/>
      <c r="AM79" s="599"/>
      <c r="AN79" s="599"/>
      <c r="AO79" s="599"/>
      <c r="AP79" s="599"/>
      <c r="AQ79" s="599"/>
      <c r="AR79" s="599"/>
      <c r="AS79" s="599"/>
      <c r="AT79" s="599"/>
      <c r="AU79" s="599"/>
      <c r="AV79" s="599"/>
      <c r="AW79" s="599"/>
      <c r="AX79" s="599"/>
      <c r="AY79" s="599"/>
      <c r="AZ79" s="599"/>
      <c r="BA79" s="599"/>
      <c r="BB79" s="599"/>
      <c r="BC79" s="599"/>
      <c r="BD79" s="599"/>
      <c r="BE79" s="599"/>
      <c r="BF79" s="599"/>
      <c r="BG79" s="599"/>
      <c r="BH79" s="599"/>
      <c r="BI79" s="599"/>
      <c r="BJ79" s="599"/>
      <c r="BK79" s="599"/>
      <c r="BL79" s="599"/>
      <c r="BM79" s="599"/>
      <c r="BN79" s="599"/>
      <c r="BO79" s="599"/>
      <c r="BP79" s="599"/>
      <c r="BQ79" s="599"/>
      <c r="BR79" s="599"/>
      <c r="BS79" s="599"/>
      <c r="BT79" s="599"/>
    </row>
    <row r="80" spans="1:72" s="600" customFormat="1" ht="15.75" customHeight="1" x14ac:dyDescent="0.2">
      <c r="A80" s="337"/>
      <c r="B80" s="338"/>
      <c r="C80" s="356"/>
      <c r="D80" s="339"/>
      <c r="E80" s="339" t="s">
        <v>348</v>
      </c>
      <c r="F80" s="349" t="s">
        <v>329</v>
      </c>
      <c r="G80" s="350">
        <f>14507-2971</f>
        <v>11536</v>
      </c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599"/>
      <c r="AK80" s="599"/>
      <c r="AL80" s="599"/>
      <c r="AM80" s="599"/>
      <c r="AN80" s="599"/>
      <c r="AO80" s="599"/>
      <c r="AP80" s="599"/>
      <c r="AQ80" s="599"/>
      <c r="AR80" s="599"/>
      <c r="AS80" s="599"/>
      <c r="AT80" s="599"/>
      <c r="AU80" s="599"/>
      <c r="AV80" s="599"/>
      <c r="AW80" s="599"/>
      <c r="AX80" s="599"/>
      <c r="AY80" s="599"/>
      <c r="AZ80" s="599"/>
      <c r="BA80" s="599"/>
      <c r="BB80" s="599"/>
      <c r="BC80" s="599"/>
      <c r="BD80" s="599"/>
      <c r="BE80" s="599"/>
      <c r="BF80" s="599"/>
      <c r="BG80" s="599"/>
      <c r="BH80" s="599"/>
      <c r="BI80" s="599"/>
      <c r="BJ80" s="599"/>
      <c r="BK80" s="599"/>
      <c r="BL80" s="599"/>
      <c r="BM80" s="599"/>
      <c r="BN80" s="599"/>
      <c r="BO80" s="599"/>
      <c r="BP80" s="599"/>
      <c r="BQ80" s="599"/>
      <c r="BR80" s="599"/>
      <c r="BS80" s="599"/>
      <c r="BT80" s="599"/>
    </row>
    <row r="81" spans="1:72" s="600" customFormat="1" ht="15.75" customHeight="1" x14ac:dyDescent="0.2">
      <c r="A81" s="337"/>
      <c r="B81" s="338"/>
      <c r="C81" s="356"/>
      <c r="D81" s="339"/>
      <c r="E81" s="339" t="s">
        <v>337</v>
      </c>
      <c r="F81" s="349" t="s">
        <v>329</v>
      </c>
      <c r="G81" s="350">
        <f>10800</f>
        <v>10800</v>
      </c>
      <c r="H81" s="599"/>
      <c r="I81" s="599"/>
      <c r="J81" s="599"/>
      <c r="K81" s="599"/>
      <c r="L81" s="599"/>
      <c r="M81" s="599"/>
      <c r="N81" s="599"/>
      <c r="O81" s="599"/>
      <c r="P81" s="599"/>
      <c r="Q81" s="599"/>
      <c r="R81" s="599"/>
      <c r="S81" s="599"/>
      <c r="T81" s="599"/>
      <c r="U81" s="599"/>
      <c r="V81" s="599"/>
      <c r="W81" s="599"/>
      <c r="X81" s="599"/>
      <c r="Y81" s="599"/>
      <c r="Z81" s="599"/>
      <c r="AA81" s="599"/>
      <c r="AB81" s="599"/>
      <c r="AC81" s="599"/>
      <c r="AD81" s="599"/>
      <c r="AE81" s="599"/>
      <c r="AF81" s="599"/>
      <c r="AG81" s="599"/>
      <c r="AH81" s="599"/>
      <c r="AI81" s="599"/>
      <c r="AJ81" s="599"/>
      <c r="AK81" s="599"/>
      <c r="AL81" s="599"/>
      <c r="AM81" s="599"/>
      <c r="AN81" s="599"/>
      <c r="AO81" s="599"/>
      <c r="AP81" s="599"/>
      <c r="AQ81" s="599"/>
      <c r="AR81" s="599"/>
      <c r="AS81" s="599"/>
      <c r="AT81" s="599"/>
      <c r="AU81" s="599"/>
      <c r="AV81" s="599"/>
      <c r="AW81" s="599"/>
      <c r="AX81" s="599"/>
      <c r="AY81" s="599"/>
      <c r="AZ81" s="599"/>
      <c r="BA81" s="599"/>
      <c r="BB81" s="599"/>
      <c r="BC81" s="599"/>
      <c r="BD81" s="599"/>
      <c r="BE81" s="599"/>
      <c r="BF81" s="599"/>
      <c r="BG81" s="599"/>
      <c r="BH81" s="599"/>
      <c r="BI81" s="599"/>
      <c r="BJ81" s="599"/>
      <c r="BK81" s="599"/>
      <c r="BL81" s="599"/>
      <c r="BM81" s="599"/>
      <c r="BN81" s="599"/>
      <c r="BO81" s="599"/>
      <c r="BP81" s="599"/>
      <c r="BQ81" s="599"/>
      <c r="BR81" s="599"/>
      <c r="BS81" s="599"/>
      <c r="BT81" s="599"/>
    </row>
    <row r="82" spans="1:72" s="600" customFormat="1" ht="15.75" customHeight="1" x14ac:dyDescent="0.2">
      <c r="A82" s="337"/>
      <c r="B82" s="338"/>
      <c r="C82" s="356"/>
      <c r="D82" s="339"/>
      <c r="E82" s="339" t="s">
        <v>364</v>
      </c>
      <c r="F82" s="349" t="s">
        <v>329</v>
      </c>
      <c r="G82" s="350">
        <f>148065+158540+131624-98198-142934+2783.77</f>
        <v>199880.77</v>
      </c>
      <c r="H82" s="599"/>
      <c r="I82" s="599"/>
      <c r="J82" s="599"/>
      <c r="K82" s="599"/>
      <c r="L82" s="599"/>
      <c r="M82" s="599"/>
      <c r="N82" s="599"/>
      <c r="O82" s="599"/>
      <c r="P82" s="599"/>
      <c r="Q82" s="599"/>
      <c r="R82" s="599"/>
      <c r="S82" s="599"/>
      <c r="T82" s="599"/>
      <c r="U82" s="599"/>
      <c r="V82" s="599"/>
      <c r="W82" s="599"/>
      <c r="X82" s="599"/>
      <c r="Y82" s="599"/>
      <c r="Z82" s="599"/>
      <c r="AA82" s="599"/>
      <c r="AB82" s="599"/>
      <c r="AC82" s="599"/>
      <c r="AD82" s="599"/>
      <c r="AE82" s="599"/>
      <c r="AF82" s="599"/>
      <c r="AG82" s="599"/>
      <c r="AH82" s="599"/>
      <c r="AI82" s="599"/>
      <c r="AJ82" s="599"/>
      <c r="AK82" s="599"/>
      <c r="AL82" s="599"/>
      <c r="AM82" s="599"/>
      <c r="AN82" s="599"/>
      <c r="AO82" s="599"/>
      <c r="AP82" s="599"/>
      <c r="AQ82" s="599"/>
      <c r="AR82" s="599"/>
      <c r="AS82" s="599"/>
      <c r="AT82" s="599"/>
      <c r="AU82" s="599"/>
      <c r="AV82" s="599"/>
      <c r="AW82" s="599"/>
      <c r="AX82" s="599"/>
      <c r="AY82" s="599"/>
      <c r="AZ82" s="599"/>
      <c r="BA82" s="599"/>
      <c r="BB82" s="599"/>
      <c r="BC82" s="599"/>
      <c r="BD82" s="599"/>
      <c r="BE82" s="599"/>
      <c r="BF82" s="599"/>
      <c r="BG82" s="599"/>
      <c r="BH82" s="599"/>
      <c r="BI82" s="599"/>
      <c r="BJ82" s="599"/>
      <c r="BK82" s="599"/>
      <c r="BL82" s="599"/>
      <c r="BM82" s="599"/>
      <c r="BN82" s="599"/>
      <c r="BO82" s="599"/>
      <c r="BP82" s="599"/>
      <c r="BQ82" s="599"/>
      <c r="BR82" s="599"/>
      <c r="BS82" s="599"/>
      <c r="BT82" s="599"/>
    </row>
    <row r="83" spans="1:72" s="600" customFormat="1" ht="15.75" customHeight="1" x14ac:dyDescent="0.2">
      <c r="A83" s="337"/>
      <c r="B83" s="338"/>
      <c r="C83" s="356"/>
      <c r="D83" s="339"/>
      <c r="E83" s="339" t="s">
        <v>338</v>
      </c>
      <c r="F83" s="349" t="s">
        <v>329</v>
      </c>
      <c r="G83" s="350">
        <f>36187.09+38748.72+34808.8-26465-41283+522.94</f>
        <v>42519.55</v>
      </c>
      <c r="H83" s="599"/>
      <c r="I83" s="599"/>
      <c r="J83" s="599"/>
      <c r="K83" s="599"/>
      <c r="L83" s="599"/>
      <c r="M83" s="599"/>
      <c r="N83" s="599"/>
      <c r="O83" s="599"/>
      <c r="P83" s="599"/>
      <c r="Q83" s="599"/>
      <c r="R83" s="599"/>
      <c r="S83" s="599"/>
      <c r="T83" s="599"/>
      <c r="U83" s="599"/>
      <c r="V83" s="599"/>
      <c r="W83" s="599"/>
      <c r="X83" s="599"/>
      <c r="Y83" s="599"/>
      <c r="Z83" s="599"/>
      <c r="AA83" s="599"/>
      <c r="AB83" s="599"/>
      <c r="AC83" s="599"/>
      <c r="AD83" s="599"/>
      <c r="AE83" s="599"/>
      <c r="AF83" s="599"/>
      <c r="AG83" s="599"/>
      <c r="AH83" s="599"/>
      <c r="AI83" s="599"/>
      <c r="AJ83" s="599"/>
      <c r="AK83" s="599"/>
      <c r="AL83" s="599"/>
      <c r="AM83" s="599"/>
      <c r="AN83" s="599"/>
      <c r="AO83" s="599"/>
      <c r="AP83" s="599"/>
      <c r="AQ83" s="599"/>
      <c r="AR83" s="599"/>
      <c r="AS83" s="599"/>
      <c r="AT83" s="599"/>
      <c r="AU83" s="599"/>
      <c r="AV83" s="599"/>
      <c r="AW83" s="599"/>
      <c r="AX83" s="599"/>
      <c r="AY83" s="599"/>
      <c r="AZ83" s="599"/>
      <c r="BA83" s="599"/>
      <c r="BB83" s="599"/>
      <c r="BC83" s="599"/>
      <c r="BD83" s="599"/>
      <c r="BE83" s="599"/>
      <c r="BF83" s="599"/>
      <c r="BG83" s="599"/>
      <c r="BH83" s="599"/>
      <c r="BI83" s="599"/>
      <c r="BJ83" s="599"/>
      <c r="BK83" s="599"/>
      <c r="BL83" s="599"/>
      <c r="BM83" s="599"/>
      <c r="BN83" s="599"/>
      <c r="BO83" s="599"/>
      <c r="BP83" s="599"/>
      <c r="BQ83" s="599"/>
      <c r="BR83" s="599"/>
      <c r="BS83" s="599"/>
      <c r="BT83" s="599"/>
    </row>
    <row r="84" spans="1:72" s="600" customFormat="1" ht="15.75" customHeight="1" x14ac:dyDescent="0.2">
      <c r="A84" s="337"/>
      <c r="B84" s="338"/>
      <c r="C84" s="356"/>
      <c r="D84" s="339"/>
      <c r="E84" s="339" t="s">
        <v>350</v>
      </c>
      <c r="F84" s="349" t="s">
        <v>329</v>
      </c>
      <c r="G84" s="350">
        <f>173137+3000-6230</f>
        <v>169907</v>
      </c>
      <c r="H84" s="599"/>
      <c r="I84" s="599"/>
      <c r="J84" s="599"/>
      <c r="K84" s="599"/>
      <c r="L84" s="599"/>
      <c r="M84" s="599"/>
      <c r="N84" s="599"/>
      <c r="O84" s="599"/>
      <c r="P84" s="599"/>
      <c r="Q84" s="599"/>
      <c r="R84" s="599"/>
      <c r="S84" s="599"/>
      <c r="T84" s="599"/>
      <c r="U84" s="599"/>
      <c r="V84" s="599"/>
      <c r="W84" s="599"/>
      <c r="X84" s="599"/>
      <c r="Y84" s="599"/>
      <c r="Z84" s="599"/>
      <c r="AA84" s="599"/>
      <c r="AB84" s="599"/>
      <c r="AC84" s="599"/>
      <c r="AD84" s="599"/>
      <c r="AE84" s="599"/>
      <c r="AF84" s="599"/>
      <c r="AG84" s="599"/>
      <c r="AH84" s="599"/>
      <c r="AI84" s="599"/>
      <c r="AJ84" s="599"/>
      <c r="AK84" s="599"/>
      <c r="AL84" s="599"/>
      <c r="AM84" s="599"/>
      <c r="AN84" s="599"/>
      <c r="AO84" s="599"/>
      <c r="AP84" s="599"/>
      <c r="AQ84" s="599"/>
      <c r="AR84" s="599"/>
      <c r="AS84" s="599"/>
      <c r="AT84" s="599"/>
      <c r="AU84" s="599"/>
      <c r="AV84" s="599"/>
      <c r="AW84" s="599"/>
      <c r="AX84" s="599"/>
      <c r="AY84" s="599"/>
      <c r="AZ84" s="599"/>
      <c r="BA84" s="599"/>
      <c r="BB84" s="599"/>
      <c r="BC84" s="599"/>
      <c r="BD84" s="599"/>
      <c r="BE84" s="599"/>
      <c r="BF84" s="599"/>
      <c r="BG84" s="599"/>
      <c r="BH84" s="599"/>
      <c r="BI84" s="599"/>
      <c r="BJ84" s="599"/>
      <c r="BK84" s="599"/>
      <c r="BL84" s="599"/>
      <c r="BM84" s="599"/>
      <c r="BN84" s="599"/>
      <c r="BO84" s="599"/>
      <c r="BP84" s="599"/>
      <c r="BQ84" s="599"/>
      <c r="BR84" s="599"/>
      <c r="BS84" s="599"/>
      <c r="BT84" s="599"/>
    </row>
    <row r="85" spans="1:72" s="600" customFormat="1" ht="12" customHeight="1" x14ac:dyDescent="0.2">
      <c r="A85" s="351"/>
      <c r="B85" s="352"/>
      <c r="C85" s="353"/>
      <c r="D85" s="340"/>
      <c r="E85" s="340"/>
      <c r="F85" s="342"/>
      <c r="G85" s="354"/>
      <c r="H85" s="599"/>
      <c r="I85" s="599"/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599"/>
      <c r="X85" s="599"/>
      <c r="Y85" s="599"/>
      <c r="Z85" s="599"/>
      <c r="AA85" s="599"/>
      <c r="AB85" s="599"/>
      <c r="AC85" s="599"/>
      <c r="AD85" s="599"/>
      <c r="AE85" s="599"/>
      <c r="AF85" s="599"/>
      <c r="AG85" s="599"/>
      <c r="AH85" s="599"/>
      <c r="AI85" s="599"/>
      <c r="AJ85" s="599"/>
      <c r="AK85" s="599"/>
      <c r="AL85" s="599"/>
      <c r="AM85" s="599"/>
      <c r="AN85" s="599"/>
      <c r="AO85" s="599"/>
      <c r="AP85" s="599"/>
      <c r="AQ85" s="599"/>
      <c r="AR85" s="599"/>
      <c r="AS85" s="599"/>
      <c r="AT85" s="599"/>
      <c r="AU85" s="599"/>
      <c r="AV85" s="599"/>
      <c r="AW85" s="599"/>
      <c r="AX85" s="599"/>
      <c r="AY85" s="599"/>
      <c r="AZ85" s="599"/>
      <c r="BA85" s="599"/>
      <c r="BB85" s="599"/>
      <c r="BC85" s="599"/>
      <c r="BD85" s="599"/>
      <c r="BE85" s="599"/>
      <c r="BF85" s="599"/>
      <c r="BG85" s="599"/>
      <c r="BH85" s="599"/>
      <c r="BI85" s="599"/>
      <c r="BJ85" s="599"/>
      <c r="BK85" s="599"/>
      <c r="BL85" s="599"/>
      <c r="BM85" s="599"/>
      <c r="BN85" s="599"/>
      <c r="BO85" s="599"/>
      <c r="BP85" s="599"/>
      <c r="BQ85" s="599"/>
      <c r="BR85" s="599"/>
      <c r="BS85" s="599"/>
      <c r="BT85" s="599"/>
    </row>
    <row r="86" spans="1:72" s="600" customFormat="1" ht="21.75" customHeight="1" x14ac:dyDescent="0.2">
      <c r="A86" s="337"/>
      <c r="B86" s="605" t="s">
        <v>105</v>
      </c>
      <c r="C86" s="339" t="s">
        <v>362</v>
      </c>
      <c r="D86" s="339" t="s">
        <v>363</v>
      </c>
      <c r="E86" s="340" t="s">
        <v>329</v>
      </c>
      <c r="F86" s="342" t="s">
        <v>329</v>
      </c>
      <c r="G86" s="341">
        <f>SUM(G88)</f>
        <v>10372.540000000001</v>
      </c>
      <c r="H86" s="599"/>
      <c r="I86" s="599"/>
      <c r="J86" s="599"/>
      <c r="K86" s="599"/>
      <c r="L86" s="599"/>
      <c r="M86" s="599"/>
      <c r="N86" s="599"/>
      <c r="O86" s="599"/>
      <c r="P86" s="599"/>
      <c r="Q86" s="599"/>
      <c r="R86" s="599"/>
      <c r="S86" s="599"/>
      <c r="T86" s="599"/>
      <c r="U86" s="599"/>
      <c r="V86" s="599"/>
      <c r="W86" s="599"/>
      <c r="X86" s="599"/>
      <c r="Y86" s="599"/>
      <c r="Z86" s="599"/>
      <c r="AA86" s="599"/>
      <c r="AB86" s="599"/>
      <c r="AC86" s="599"/>
      <c r="AD86" s="599"/>
      <c r="AE86" s="599"/>
      <c r="AF86" s="599"/>
      <c r="AG86" s="599"/>
      <c r="AH86" s="599"/>
      <c r="AI86" s="599"/>
      <c r="AJ86" s="599"/>
      <c r="AK86" s="599"/>
      <c r="AL86" s="599"/>
      <c r="AM86" s="599"/>
      <c r="AN86" s="599"/>
      <c r="AO86" s="599"/>
      <c r="AP86" s="599"/>
      <c r="AQ86" s="599"/>
      <c r="AR86" s="599"/>
      <c r="AS86" s="599"/>
      <c r="AT86" s="599"/>
      <c r="AU86" s="599"/>
      <c r="AV86" s="599"/>
      <c r="AW86" s="599"/>
      <c r="AX86" s="599"/>
      <c r="AY86" s="599"/>
      <c r="AZ86" s="599"/>
      <c r="BA86" s="599"/>
      <c r="BB86" s="599"/>
      <c r="BC86" s="599"/>
      <c r="BD86" s="599"/>
      <c r="BE86" s="599"/>
      <c r="BF86" s="599"/>
      <c r="BG86" s="599"/>
      <c r="BH86" s="599"/>
      <c r="BI86" s="599"/>
      <c r="BJ86" s="599"/>
      <c r="BK86" s="599"/>
      <c r="BL86" s="599"/>
      <c r="BM86" s="599"/>
      <c r="BN86" s="599"/>
      <c r="BO86" s="599"/>
      <c r="BP86" s="599"/>
      <c r="BQ86" s="599"/>
      <c r="BR86" s="599"/>
      <c r="BS86" s="599"/>
      <c r="BT86" s="599"/>
    </row>
    <row r="87" spans="1:72" s="600" customFormat="1" ht="15.75" customHeight="1" x14ac:dyDescent="0.2">
      <c r="A87" s="337"/>
      <c r="B87" s="338"/>
      <c r="C87" s="356"/>
      <c r="D87" s="339"/>
      <c r="E87" s="339"/>
      <c r="F87" s="349"/>
      <c r="G87" s="350"/>
      <c r="H87" s="599"/>
      <c r="I87" s="599"/>
      <c r="J87" s="599"/>
      <c r="K87" s="599"/>
      <c r="L87" s="599"/>
      <c r="M87" s="599"/>
      <c r="N87" s="599"/>
      <c r="O87" s="599"/>
      <c r="P87" s="599"/>
      <c r="Q87" s="599"/>
      <c r="R87" s="599"/>
      <c r="S87" s="599"/>
      <c r="T87" s="599"/>
      <c r="U87" s="599"/>
      <c r="V87" s="599"/>
      <c r="W87" s="599"/>
      <c r="X87" s="599"/>
      <c r="Y87" s="599"/>
      <c r="Z87" s="599"/>
      <c r="AA87" s="599"/>
      <c r="AB87" s="599"/>
      <c r="AC87" s="599"/>
      <c r="AD87" s="599"/>
      <c r="AE87" s="599"/>
      <c r="AF87" s="599"/>
      <c r="AG87" s="599"/>
      <c r="AH87" s="599"/>
      <c r="AI87" s="599"/>
      <c r="AJ87" s="599"/>
      <c r="AK87" s="599"/>
      <c r="AL87" s="599"/>
      <c r="AM87" s="599"/>
      <c r="AN87" s="599"/>
      <c r="AO87" s="599"/>
      <c r="AP87" s="599"/>
      <c r="AQ87" s="599"/>
      <c r="AR87" s="599"/>
      <c r="AS87" s="599"/>
      <c r="AT87" s="599"/>
      <c r="AU87" s="599"/>
      <c r="AV87" s="599"/>
      <c r="AW87" s="599"/>
      <c r="AX87" s="599"/>
      <c r="AY87" s="599"/>
      <c r="AZ87" s="599"/>
      <c r="BA87" s="599"/>
      <c r="BB87" s="599"/>
      <c r="BC87" s="599"/>
      <c r="BD87" s="599"/>
      <c r="BE87" s="599"/>
      <c r="BF87" s="599"/>
      <c r="BG87" s="599"/>
      <c r="BH87" s="599"/>
      <c r="BI87" s="599"/>
      <c r="BJ87" s="599"/>
      <c r="BK87" s="599"/>
      <c r="BL87" s="599"/>
      <c r="BM87" s="599"/>
      <c r="BN87" s="599"/>
      <c r="BO87" s="599"/>
      <c r="BP87" s="599"/>
      <c r="BQ87" s="599"/>
      <c r="BR87" s="599"/>
      <c r="BS87" s="599"/>
      <c r="BT87" s="599"/>
    </row>
    <row r="88" spans="1:72" s="600" customFormat="1" ht="15.75" customHeight="1" x14ac:dyDescent="0.2">
      <c r="A88" s="337"/>
      <c r="B88" s="338"/>
      <c r="C88" s="356"/>
      <c r="D88" s="339"/>
      <c r="E88" s="601"/>
      <c r="F88" s="602"/>
      <c r="G88" s="603">
        <f>SUM(G89)</f>
        <v>10372.540000000001</v>
      </c>
      <c r="H88" s="599"/>
      <c r="I88" s="599"/>
      <c r="J88" s="599"/>
      <c r="K88" s="599"/>
      <c r="L88" s="599"/>
      <c r="M88" s="599"/>
      <c r="N88" s="599"/>
      <c r="O88" s="599"/>
      <c r="P88" s="599"/>
      <c r="Q88" s="599"/>
      <c r="R88" s="599"/>
      <c r="S88" s="599"/>
      <c r="T88" s="599"/>
      <c r="U88" s="599"/>
      <c r="V88" s="599"/>
      <c r="W88" s="599"/>
      <c r="X88" s="599"/>
      <c r="Y88" s="599"/>
      <c r="Z88" s="599"/>
      <c r="AA88" s="599"/>
      <c r="AB88" s="599"/>
      <c r="AC88" s="599"/>
      <c r="AD88" s="599"/>
      <c r="AE88" s="599"/>
      <c r="AF88" s="599"/>
      <c r="AG88" s="599"/>
      <c r="AH88" s="599"/>
      <c r="AI88" s="599"/>
      <c r="AJ88" s="599"/>
      <c r="AK88" s="599"/>
      <c r="AL88" s="599"/>
      <c r="AM88" s="599"/>
      <c r="AN88" s="599"/>
      <c r="AO88" s="599"/>
      <c r="AP88" s="599"/>
      <c r="AQ88" s="599"/>
      <c r="AR88" s="599"/>
      <c r="AS88" s="599"/>
      <c r="AT88" s="599"/>
      <c r="AU88" s="599"/>
      <c r="AV88" s="599"/>
      <c r="AW88" s="599"/>
      <c r="AX88" s="599"/>
      <c r="AY88" s="599"/>
      <c r="AZ88" s="599"/>
      <c r="BA88" s="599"/>
      <c r="BB88" s="599"/>
      <c r="BC88" s="599"/>
      <c r="BD88" s="599"/>
      <c r="BE88" s="599"/>
      <c r="BF88" s="599"/>
      <c r="BG88" s="599"/>
      <c r="BH88" s="599"/>
      <c r="BI88" s="599"/>
      <c r="BJ88" s="599"/>
      <c r="BK88" s="599"/>
      <c r="BL88" s="599"/>
      <c r="BM88" s="599"/>
      <c r="BN88" s="599"/>
      <c r="BO88" s="599"/>
      <c r="BP88" s="599"/>
      <c r="BQ88" s="599"/>
      <c r="BR88" s="599"/>
      <c r="BS88" s="599"/>
      <c r="BT88" s="599"/>
    </row>
    <row r="89" spans="1:72" s="600" customFormat="1" ht="15.75" customHeight="1" x14ac:dyDescent="0.2">
      <c r="A89" s="337"/>
      <c r="B89" s="338"/>
      <c r="C89" s="356"/>
      <c r="D89" s="339"/>
      <c r="E89" s="339" t="s">
        <v>93</v>
      </c>
      <c r="F89" s="349" t="s">
        <v>329</v>
      </c>
      <c r="G89" s="350">
        <f>1182.91+1343.84+1213.79+1344+1300+1344+1300+1344</f>
        <v>10372.540000000001</v>
      </c>
      <c r="H89" s="599"/>
      <c r="I89" s="599"/>
      <c r="J89" s="599"/>
      <c r="K89" s="599"/>
      <c r="L89" s="599"/>
      <c r="M89" s="599"/>
      <c r="N89" s="599"/>
      <c r="O89" s="599"/>
      <c r="P89" s="599"/>
      <c r="Q89" s="599"/>
      <c r="R89" s="599"/>
      <c r="S89" s="599"/>
      <c r="T89" s="599"/>
      <c r="U89" s="599"/>
      <c r="V89" s="599"/>
      <c r="W89" s="599"/>
      <c r="X89" s="599"/>
      <c r="Y89" s="599"/>
      <c r="Z89" s="599"/>
      <c r="AA89" s="599"/>
      <c r="AB89" s="599"/>
      <c r="AC89" s="599"/>
      <c r="AD89" s="599"/>
      <c r="AE89" s="599"/>
      <c r="AF89" s="599"/>
      <c r="AG89" s="599"/>
      <c r="AH89" s="599"/>
      <c r="AI89" s="599"/>
      <c r="AJ89" s="599"/>
      <c r="AK89" s="599"/>
      <c r="AL89" s="599"/>
      <c r="AM89" s="599"/>
      <c r="AN89" s="599"/>
      <c r="AO89" s="599"/>
      <c r="AP89" s="599"/>
      <c r="AQ89" s="599"/>
      <c r="AR89" s="599"/>
      <c r="AS89" s="599"/>
      <c r="AT89" s="599"/>
      <c r="AU89" s="599"/>
      <c r="AV89" s="599"/>
      <c r="AW89" s="599"/>
      <c r="AX89" s="599"/>
      <c r="AY89" s="599"/>
      <c r="AZ89" s="599"/>
      <c r="BA89" s="599"/>
      <c r="BB89" s="599"/>
      <c r="BC89" s="599"/>
      <c r="BD89" s="599"/>
      <c r="BE89" s="599"/>
      <c r="BF89" s="599"/>
      <c r="BG89" s="599"/>
      <c r="BH89" s="599"/>
      <c r="BI89" s="599"/>
      <c r="BJ89" s="599"/>
      <c r="BK89" s="599"/>
      <c r="BL89" s="599"/>
      <c r="BM89" s="599"/>
      <c r="BN89" s="599"/>
      <c r="BO89" s="599"/>
      <c r="BP89" s="599"/>
      <c r="BQ89" s="599"/>
      <c r="BR89" s="599"/>
      <c r="BS89" s="599"/>
      <c r="BT89" s="599"/>
    </row>
    <row r="90" spans="1:72" s="600" customFormat="1" ht="12" customHeight="1" x14ac:dyDescent="0.2">
      <c r="A90" s="337"/>
      <c r="B90" s="338"/>
      <c r="C90" s="356"/>
      <c r="D90" s="339"/>
      <c r="E90" s="340"/>
      <c r="F90" s="342"/>
      <c r="G90" s="354"/>
      <c r="H90" s="599"/>
      <c r="I90" s="599"/>
      <c r="J90" s="599"/>
      <c r="K90" s="599"/>
      <c r="L90" s="599"/>
      <c r="M90" s="599"/>
      <c r="N90" s="599"/>
      <c r="O90" s="599"/>
      <c r="P90" s="599"/>
      <c r="Q90" s="599"/>
      <c r="R90" s="599"/>
      <c r="S90" s="599"/>
      <c r="T90" s="599"/>
      <c r="U90" s="599"/>
      <c r="V90" s="599"/>
      <c r="W90" s="599"/>
      <c r="X90" s="599"/>
      <c r="Y90" s="599"/>
      <c r="Z90" s="599"/>
      <c r="AA90" s="599"/>
      <c r="AB90" s="599"/>
      <c r="AC90" s="599"/>
      <c r="AD90" s="599"/>
      <c r="AE90" s="599"/>
      <c r="AF90" s="599"/>
      <c r="AG90" s="599"/>
      <c r="AH90" s="599"/>
      <c r="AI90" s="599"/>
      <c r="AJ90" s="599"/>
      <c r="AK90" s="599"/>
      <c r="AL90" s="599"/>
      <c r="AM90" s="599"/>
      <c r="AN90" s="599"/>
      <c r="AO90" s="599"/>
      <c r="AP90" s="599"/>
      <c r="AQ90" s="599"/>
      <c r="AR90" s="599"/>
      <c r="AS90" s="599"/>
      <c r="AT90" s="599"/>
      <c r="AU90" s="599"/>
      <c r="AV90" s="599"/>
      <c r="AW90" s="599"/>
      <c r="AX90" s="599"/>
      <c r="AY90" s="599"/>
      <c r="AZ90" s="599"/>
      <c r="BA90" s="599"/>
      <c r="BB90" s="599"/>
      <c r="BC90" s="599"/>
      <c r="BD90" s="599"/>
      <c r="BE90" s="599"/>
      <c r="BF90" s="599"/>
      <c r="BG90" s="599"/>
      <c r="BH90" s="599"/>
      <c r="BI90" s="599"/>
      <c r="BJ90" s="599"/>
      <c r="BK90" s="599"/>
      <c r="BL90" s="599"/>
      <c r="BM90" s="599"/>
      <c r="BN90" s="599"/>
      <c r="BO90" s="599"/>
      <c r="BP90" s="599"/>
      <c r="BQ90" s="599"/>
      <c r="BR90" s="599"/>
      <c r="BS90" s="599"/>
      <c r="BT90" s="599"/>
    </row>
    <row r="91" spans="1:72" s="600" customFormat="1" ht="19.5" customHeight="1" x14ac:dyDescent="0.2">
      <c r="A91" s="337"/>
      <c r="B91" s="605" t="s">
        <v>71</v>
      </c>
      <c r="C91" s="339" t="s">
        <v>362</v>
      </c>
      <c r="D91" s="339" t="s">
        <v>365</v>
      </c>
      <c r="E91" s="340" t="s">
        <v>329</v>
      </c>
      <c r="F91" s="342" t="s">
        <v>329</v>
      </c>
      <c r="G91" s="341">
        <f>SUM(G93)</f>
        <v>66655.5</v>
      </c>
      <c r="H91" s="599"/>
      <c r="I91" s="599"/>
      <c r="J91" s="599"/>
      <c r="K91" s="599"/>
      <c r="L91" s="599"/>
      <c r="M91" s="599"/>
      <c r="N91" s="599"/>
      <c r="O91" s="599"/>
      <c r="P91" s="599"/>
      <c r="Q91" s="599"/>
      <c r="R91" s="599"/>
      <c r="S91" s="599"/>
      <c r="T91" s="599"/>
      <c r="U91" s="599"/>
      <c r="V91" s="599"/>
      <c r="W91" s="599"/>
      <c r="X91" s="599"/>
      <c r="Y91" s="599"/>
      <c r="Z91" s="599"/>
      <c r="AA91" s="599"/>
      <c r="AB91" s="599"/>
      <c r="AC91" s="599"/>
      <c r="AD91" s="599"/>
      <c r="AE91" s="599"/>
      <c r="AF91" s="599"/>
      <c r="AG91" s="599"/>
      <c r="AH91" s="599"/>
      <c r="AI91" s="599"/>
      <c r="AJ91" s="599"/>
      <c r="AK91" s="599"/>
      <c r="AL91" s="599"/>
      <c r="AM91" s="599"/>
      <c r="AN91" s="599"/>
      <c r="AO91" s="599"/>
      <c r="AP91" s="599"/>
      <c r="AQ91" s="599"/>
      <c r="AR91" s="599"/>
      <c r="AS91" s="599"/>
      <c r="AT91" s="599"/>
      <c r="AU91" s="599"/>
      <c r="AV91" s="599"/>
      <c r="AW91" s="599"/>
      <c r="AX91" s="599"/>
      <c r="AY91" s="599"/>
      <c r="AZ91" s="599"/>
      <c r="BA91" s="599"/>
      <c r="BB91" s="599"/>
      <c r="BC91" s="599"/>
      <c r="BD91" s="599"/>
      <c r="BE91" s="599"/>
      <c r="BF91" s="599"/>
      <c r="BG91" s="599"/>
      <c r="BH91" s="599"/>
      <c r="BI91" s="599"/>
      <c r="BJ91" s="599"/>
      <c r="BK91" s="599"/>
      <c r="BL91" s="599"/>
      <c r="BM91" s="599"/>
      <c r="BN91" s="599"/>
      <c r="BO91" s="599"/>
      <c r="BP91" s="599"/>
      <c r="BQ91" s="599"/>
      <c r="BR91" s="599"/>
      <c r="BS91" s="599"/>
      <c r="BT91" s="599"/>
    </row>
    <row r="92" spans="1:72" s="600" customFormat="1" ht="15.75" customHeight="1" x14ac:dyDescent="0.2">
      <c r="A92" s="337"/>
      <c r="B92" s="338"/>
      <c r="C92" s="356"/>
      <c r="D92" s="339"/>
      <c r="E92" s="339"/>
      <c r="F92" s="349"/>
      <c r="G92" s="350"/>
      <c r="H92" s="599"/>
      <c r="I92" s="599"/>
      <c r="J92" s="599"/>
      <c r="K92" s="599"/>
      <c r="L92" s="599"/>
      <c r="M92" s="599"/>
      <c r="N92" s="599"/>
      <c r="O92" s="599"/>
      <c r="P92" s="599"/>
      <c r="Q92" s="599"/>
      <c r="R92" s="599"/>
      <c r="S92" s="599"/>
      <c r="T92" s="599"/>
      <c r="U92" s="599"/>
      <c r="V92" s="599"/>
      <c r="W92" s="599"/>
      <c r="X92" s="599"/>
      <c r="Y92" s="599"/>
      <c r="Z92" s="599"/>
      <c r="AA92" s="599"/>
      <c r="AB92" s="599"/>
      <c r="AC92" s="599"/>
      <c r="AD92" s="599"/>
      <c r="AE92" s="599"/>
      <c r="AF92" s="599"/>
      <c r="AG92" s="599"/>
      <c r="AH92" s="599"/>
      <c r="AI92" s="599"/>
      <c r="AJ92" s="599"/>
      <c r="AK92" s="599"/>
      <c r="AL92" s="599"/>
      <c r="AM92" s="599"/>
      <c r="AN92" s="599"/>
      <c r="AO92" s="599"/>
      <c r="AP92" s="599"/>
      <c r="AQ92" s="599"/>
      <c r="AR92" s="599"/>
      <c r="AS92" s="599"/>
      <c r="AT92" s="599"/>
      <c r="AU92" s="599"/>
      <c r="AV92" s="599"/>
      <c r="AW92" s="599"/>
      <c r="AX92" s="599"/>
      <c r="AY92" s="599"/>
      <c r="AZ92" s="599"/>
      <c r="BA92" s="599"/>
      <c r="BB92" s="599"/>
      <c r="BC92" s="599"/>
      <c r="BD92" s="599"/>
      <c r="BE92" s="599"/>
      <c r="BF92" s="599"/>
      <c r="BG92" s="599"/>
      <c r="BH92" s="599"/>
      <c r="BI92" s="599"/>
      <c r="BJ92" s="599"/>
      <c r="BK92" s="599"/>
      <c r="BL92" s="599"/>
      <c r="BM92" s="599"/>
      <c r="BN92" s="599"/>
      <c r="BO92" s="599"/>
      <c r="BP92" s="599"/>
      <c r="BQ92" s="599"/>
      <c r="BR92" s="599"/>
      <c r="BS92" s="599"/>
      <c r="BT92" s="599"/>
    </row>
    <row r="93" spans="1:72" s="600" customFormat="1" ht="15.75" customHeight="1" x14ac:dyDescent="0.2">
      <c r="A93" s="337"/>
      <c r="B93" s="338"/>
      <c r="C93" s="356"/>
      <c r="D93" s="339"/>
      <c r="E93" s="601"/>
      <c r="F93" s="602"/>
      <c r="G93" s="603">
        <f>SUM(G94:G98)</f>
        <v>66655.5</v>
      </c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  <c r="AJ93" s="599"/>
      <c r="AK93" s="599"/>
      <c r="AL93" s="599"/>
      <c r="AM93" s="599"/>
      <c r="AN93" s="599"/>
      <c r="AO93" s="599"/>
      <c r="AP93" s="599"/>
      <c r="AQ93" s="599"/>
      <c r="AR93" s="599"/>
      <c r="AS93" s="599"/>
      <c r="AT93" s="599"/>
      <c r="AU93" s="599"/>
      <c r="AV93" s="599"/>
      <c r="AW93" s="599"/>
      <c r="AX93" s="599"/>
      <c r="AY93" s="599"/>
      <c r="AZ93" s="599"/>
      <c r="BA93" s="599"/>
      <c r="BB93" s="599"/>
      <c r="BC93" s="599"/>
      <c r="BD93" s="599"/>
      <c r="BE93" s="599"/>
      <c r="BF93" s="599"/>
      <c r="BG93" s="599"/>
      <c r="BH93" s="599"/>
      <c r="BI93" s="599"/>
      <c r="BJ93" s="599"/>
      <c r="BK93" s="599"/>
      <c r="BL93" s="599"/>
      <c r="BM93" s="599"/>
      <c r="BN93" s="599"/>
      <c r="BO93" s="599"/>
      <c r="BP93" s="599"/>
      <c r="BQ93" s="599"/>
      <c r="BR93" s="599"/>
      <c r="BS93" s="599"/>
      <c r="BT93" s="599"/>
    </row>
    <row r="94" spans="1:72" s="600" customFormat="1" ht="15.75" customHeight="1" x14ac:dyDescent="0.2">
      <c r="A94" s="337"/>
      <c r="B94" s="338"/>
      <c r="C94" s="356"/>
      <c r="D94" s="339"/>
      <c r="E94" s="339" t="s">
        <v>86</v>
      </c>
      <c r="F94" s="349" t="s">
        <v>329</v>
      </c>
      <c r="G94" s="350">
        <f>3162.57+834+6860+8674+20702+8078</f>
        <v>48310.57</v>
      </c>
      <c r="H94" s="599"/>
      <c r="I94" s="599"/>
      <c r="J94" s="599"/>
      <c r="K94" s="599"/>
      <c r="L94" s="599"/>
      <c r="M94" s="599"/>
      <c r="N94" s="599"/>
      <c r="O94" s="599"/>
      <c r="P94" s="599"/>
      <c r="Q94" s="599"/>
      <c r="R94" s="599"/>
      <c r="S94" s="599"/>
      <c r="T94" s="599"/>
      <c r="U94" s="599"/>
      <c r="V94" s="599"/>
      <c r="W94" s="599"/>
      <c r="X94" s="599"/>
      <c r="Y94" s="599"/>
      <c r="Z94" s="599"/>
      <c r="AA94" s="599"/>
      <c r="AB94" s="599"/>
      <c r="AC94" s="599"/>
      <c r="AD94" s="599"/>
      <c r="AE94" s="599"/>
      <c r="AF94" s="599"/>
      <c r="AG94" s="599"/>
      <c r="AH94" s="599"/>
      <c r="AI94" s="599"/>
      <c r="AJ94" s="599"/>
      <c r="AK94" s="599"/>
      <c r="AL94" s="599"/>
      <c r="AM94" s="599"/>
      <c r="AN94" s="599"/>
      <c r="AO94" s="599"/>
      <c r="AP94" s="599"/>
      <c r="AQ94" s="599"/>
      <c r="AR94" s="599"/>
      <c r="AS94" s="599"/>
      <c r="AT94" s="599"/>
      <c r="AU94" s="599"/>
      <c r="AV94" s="599"/>
      <c r="AW94" s="599"/>
      <c r="AX94" s="599"/>
      <c r="AY94" s="599"/>
      <c r="AZ94" s="599"/>
      <c r="BA94" s="599"/>
      <c r="BB94" s="599"/>
      <c r="BC94" s="599"/>
      <c r="BD94" s="599"/>
      <c r="BE94" s="599"/>
      <c r="BF94" s="599"/>
      <c r="BG94" s="599"/>
      <c r="BH94" s="599"/>
      <c r="BI94" s="599"/>
      <c r="BJ94" s="599"/>
      <c r="BK94" s="599"/>
      <c r="BL94" s="599"/>
      <c r="BM94" s="599"/>
      <c r="BN94" s="599"/>
      <c r="BO94" s="599"/>
      <c r="BP94" s="599"/>
      <c r="BQ94" s="599"/>
      <c r="BR94" s="599"/>
      <c r="BS94" s="599"/>
      <c r="BT94" s="599"/>
    </row>
    <row r="95" spans="1:72" s="600" customFormat="1" ht="15.75" customHeight="1" x14ac:dyDescent="0.2">
      <c r="A95" s="337"/>
      <c r="B95" s="338"/>
      <c r="C95" s="356"/>
      <c r="D95" s="339"/>
      <c r="E95" s="339" t="s">
        <v>348</v>
      </c>
      <c r="F95" s="349" t="s">
        <v>329</v>
      </c>
      <c r="G95" s="350">
        <f>1500+2000</f>
        <v>3500</v>
      </c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  <c r="AC95" s="599"/>
      <c r="AD95" s="599"/>
      <c r="AE95" s="599"/>
      <c r="AF95" s="599"/>
      <c r="AG95" s="599"/>
      <c r="AH95" s="599"/>
      <c r="AI95" s="599"/>
      <c r="AJ95" s="599"/>
      <c r="AK95" s="599"/>
      <c r="AL95" s="599"/>
      <c r="AM95" s="599"/>
      <c r="AN95" s="599"/>
      <c r="AO95" s="599"/>
      <c r="AP95" s="599"/>
      <c r="AQ95" s="599"/>
      <c r="AR95" s="599"/>
      <c r="AS95" s="599"/>
      <c r="AT95" s="599"/>
      <c r="AU95" s="599"/>
      <c r="AV95" s="599"/>
      <c r="AW95" s="599"/>
      <c r="AX95" s="599"/>
      <c r="AY95" s="599"/>
      <c r="AZ95" s="599"/>
      <c r="BA95" s="599"/>
      <c r="BB95" s="599"/>
      <c r="BC95" s="599"/>
      <c r="BD95" s="599"/>
      <c r="BE95" s="599"/>
      <c r="BF95" s="599"/>
      <c r="BG95" s="599"/>
      <c r="BH95" s="599"/>
      <c r="BI95" s="599"/>
      <c r="BJ95" s="599"/>
      <c r="BK95" s="599"/>
      <c r="BL95" s="599"/>
      <c r="BM95" s="599"/>
      <c r="BN95" s="599"/>
      <c r="BO95" s="599"/>
      <c r="BP95" s="599"/>
      <c r="BQ95" s="599"/>
      <c r="BR95" s="599"/>
      <c r="BS95" s="599"/>
      <c r="BT95" s="599"/>
    </row>
    <row r="96" spans="1:72" s="600" customFormat="1" ht="15.75" customHeight="1" x14ac:dyDescent="0.2">
      <c r="A96" s="337"/>
      <c r="B96" s="338"/>
      <c r="C96" s="356"/>
      <c r="D96" s="339"/>
      <c r="E96" s="339" t="s">
        <v>364</v>
      </c>
      <c r="F96" s="349" t="s">
        <v>329</v>
      </c>
      <c r="G96" s="350">
        <f>6150.93+6701+6069-9900</f>
        <v>9020.93</v>
      </c>
      <c r="H96" s="599"/>
      <c r="I96" s="599"/>
      <c r="J96" s="599"/>
      <c r="K96" s="599"/>
      <c r="L96" s="599"/>
      <c r="M96" s="599"/>
      <c r="N96" s="599"/>
      <c r="O96" s="599"/>
      <c r="P96" s="599"/>
      <c r="Q96" s="599"/>
      <c r="R96" s="599"/>
      <c r="S96" s="599"/>
      <c r="T96" s="599"/>
      <c r="U96" s="599"/>
      <c r="V96" s="599"/>
      <c r="W96" s="599"/>
      <c r="X96" s="599"/>
      <c r="Y96" s="599"/>
      <c r="Z96" s="599"/>
      <c r="AA96" s="599"/>
      <c r="AB96" s="599"/>
      <c r="AC96" s="599"/>
      <c r="AD96" s="599"/>
      <c r="AE96" s="599"/>
      <c r="AF96" s="599"/>
      <c r="AG96" s="599"/>
      <c r="AH96" s="599"/>
      <c r="AI96" s="599"/>
      <c r="AJ96" s="599"/>
      <c r="AK96" s="599"/>
      <c r="AL96" s="599"/>
      <c r="AM96" s="599"/>
      <c r="AN96" s="599"/>
      <c r="AO96" s="599"/>
      <c r="AP96" s="599"/>
      <c r="AQ96" s="599"/>
      <c r="AR96" s="599"/>
      <c r="AS96" s="599"/>
      <c r="AT96" s="599"/>
      <c r="AU96" s="599"/>
      <c r="AV96" s="599"/>
      <c r="AW96" s="599"/>
      <c r="AX96" s="599"/>
      <c r="AY96" s="599"/>
      <c r="AZ96" s="599"/>
      <c r="BA96" s="599"/>
      <c r="BB96" s="599"/>
      <c r="BC96" s="599"/>
      <c r="BD96" s="599"/>
      <c r="BE96" s="599"/>
      <c r="BF96" s="599"/>
      <c r="BG96" s="599"/>
      <c r="BH96" s="599"/>
      <c r="BI96" s="599"/>
      <c r="BJ96" s="599"/>
      <c r="BK96" s="599"/>
      <c r="BL96" s="599"/>
      <c r="BM96" s="599"/>
      <c r="BN96" s="599"/>
      <c r="BO96" s="599"/>
      <c r="BP96" s="599"/>
      <c r="BQ96" s="599"/>
      <c r="BR96" s="599"/>
      <c r="BS96" s="599"/>
      <c r="BT96" s="599"/>
    </row>
    <row r="97" spans="1:72" s="600" customFormat="1" ht="15.75" customHeight="1" x14ac:dyDescent="0.2">
      <c r="A97" s="337"/>
      <c r="B97" s="338"/>
      <c r="C97" s="356"/>
      <c r="D97" s="339"/>
      <c r="E97" s="339" t="s">
        <v>338</v>
      </c>
      <c r="F97" s="349" t="s">
        <v>329</v>
      </c>
      <c r="G97" s="350">
        <f>1503+1638+1483-2800</f>
        <v>1824</v>
      </c>
      <c r="H97" s="599"/>
      <c r="I97" s="599"/>
      <c r="J97" s="599"/>
      <c r="K97" s="599"/>
      <c r="L97" s="599"/>
      <c r="M97" s="599"/>
      <c r="N97" s="599"/>
      <c r="O97" s="599"/>
      <c r="P97" s="599"/>
      <c r="Q97" s="599"/>
      <c r="R97" s="599"/>
      <c r="S97" s="599"/>
      <c r="T97" s="599"/>
      <c r="U97" s="599"/>
      <c r="V97" s="599"/>
      <c r="W97" s="599"/>
      <c r="X97" s="599"/>
      <c r="Y97" s="599"/>
      <c r="Z97" s="599"/>
      <c r="AA97" s="599"/>
      <c r="AB97" s="599"/>
      <c r="AC97" s="599"/>
      <c r="AD97" s="599"/>
      <c r="AE97" s="599"/>
      <c r="AF97" s="599"/>
      <c r="AG97" s="599"/>
      <c r="AH97" s="599"/>
      <c r="AI97" s="599"/>
      <c r="AJ97" s="599"/>
      <c r="AK97" s="599"/>
      <c r="AL97" s="599"/>
      <c r="AM97" s="599"/>
      <c r="AN97" s="599"/>
      <c r="AO97" s="599"/>
      <c r="AP97" s="599"/>
      <c r="AQ97" s="599"/>
      <c r="AR97" s="599"/>
      <c r="AS97" s="599"/>
      <c r="AT97" s="599"/>
      <c r="AU97" s="599"/>
      <c r="AV97" s="599"/>
      <c r="AW97" s="599"/>
      <c r="AX97" s="599"/>
      <c r="AY97" s="599"/>
      <c r="AZ97" s="599"/>
      <c r="BA97" s="599"/>
      <c r="BB97" s="599"/>
      <c r="BC97" s="599"/>
      <c r="BD97" s="599"/>
      <c r="BE97" s="599"/>
      <c r="BF97" s="599"/>
      <c r="BG97" s="599"/>
      <c r="BH97" s="599"/>
      <c r="BI97" s="599"/>
      <c r="BJ97" s="599"/>
      <c r="BK97" s="599"/>
      <c r="BL97" s="599"/>
      <c r="BM97" s="599"/>
      <c r="BN97" s="599"/>
      <c r="BO97" s="599"/>
      <c r="BP97" s="599"/>
      <c r="BQ97" s="599"/>
      <c r="BR97" s="599"/>
      <c r="BS97" s="599"/>
      <c r="BT97" s="599"/>
    </row>
    <row r="98" spans="1:72" s="600" customFormat="1" ht="15.75" customHeight="1" x14ac:dyDescent="0.2">
      <c r="A98" s="337"/>
      <c r="B98" s="338"/>
      <c r="C98" s="356"/>
      <c r="D98" s="339"/>
      <c r="E98" s="339" t="s">
        <v>350</v>
      </c>
      <c r="F98" s="349" t="s">
        <v>329</v>
      </c>
      <c r="G98" s="350">
        <f>6000-2000</f>
        <v>4000</v>
      </c>
      <c r="H98" s="599"/>
      <c r="I98" s="599"/>
      <c r="J98" s="599"/>
      <c r="K98" s="599"/>
      <c r="L98" s="599"/>
      <c r="M98" s="599"/>
      <c r="N98" s="599"/>
      <c r="O98" s="599"/>
      <c r="P98" s="599"/>
      <c r="Q98" s="599"/>
      <c r="R98" s="599"/>
      <c r="S98" s="599"/>
      <c r="T98" s="599"/>
      <c r="U98" s="599"/>
      <c r="V98" s="599"/>
      <c r="W98" s="599"/>
      <c r="X98" s="599"/>
      <c r="Y98" s="599"/>
      <c r="Z98" s="599"/>
      <c r="AA98" s="599"/>
      <c r="AB98" s="599"/>
      <c r="AC98" s="599"/>
      <c r="AD98" s="599"/>
      <c r="AE98" s="599"/>
      <c r="AF98" s="599"/>
      <c r="AG98" s="599"/>
      <c r="AH98" s="599"/>
      <c r="AI98" s="599"/>
      <c r="AJ98" s="599"/>
      <c r="AK98" s="599"/>
      <c r="AL98" s="599"/>
      <c r="AM98" s="599"/>
      <c r="AN98" s="599"/>
      <c r="AO98" s="599"/>
      <c r="AP98" s="599"/>
      <c r="AQ98" s="599"/>
      <c r="AR98" s="599"/>
      <c r="AS98" s="599"/>
      <c r="AT98" s="599"/>
      <c r="AU98" s="599"/>
      <c r="AV98" s="599"/>
      <c r="AW98" s="599"/>
      <c r="AX98" s="599"/>
      <c r="AY98" s="599"/>
      <c r="AZ98" s="599"/>
      <c r="BA98" s="599"/>
      <c r="BB98" s="599"/>
      <c r="BC98" s="599"/>
      <c r="BD98" s="599"/>
      <c r="BE98" s="599"/>
      <c r="BF98" s="599"/>
      <c r="BG98" s="599"/>
      <c r="BH98" s="599"/>
      <c r="BI98" s="599"/>
      <c r="BJ98" s="599"/>
      <c r="BK98" s="599"/>
      <c r="BL98" s="599"/>
      <c r="BM98" s="599"/>
      <c r="BN98" s="599"/>
      <c r="BO98" s="599"/>
      <c r="BP98" s="599"/>
      <c r="BQ98" s="599"/>
      <c r="BR98" s="599"/>
      <c r="BS98" s="599"/>
      <c r="BT98" s="599"/>
    </row>
    <row r="99" spans="1:72" s="600" customFormat="1" ht="15.75" customHeight="1" x14ac:dyDescent="0.2">
      <c r="A99" s="337"/>
      <c r="B99" s="338"/>
      <c r="C99" s="356"/>
      <c r="D99" s="339"/>
      <c r="E99" s="339"/>
      <c r="F99" s="349"/>
      <c r="G99" s="350"/>
      <c r="H99" s="599"/>
      <c r="I99" s="599"/>
      <c r="J99" s="599"/>
      <c r="K99" s="599"/>
      <c r="L99" s="599"/>
      <c r="M99" s="599"/>
      <c r="N99" s="599"/>
      <c r="O99" s="599"/>
      <c r="P99" s="599"/>
      <c r="Q99" s="599"/>
      <c r="R99" s="599"/>
      <c r="S99" s="599"/>
      <c r="T99" s="599"/>
      <c r="U99" s="599"/>
      <c r="V99" s="599"/>
      <c r="W99" s="599"/>
      <c r="X99" s="599"/>
      <c r="Y99" s="599"/>
      <c r="Z99" s="599"/>
      <c r="AA99" s="599"/>
      <c r="AB99" s="599"/>
      <c r="AC99" s="599"/>
      <c r="AD99" s="599"/>
      <c r="AE99" s="599"/>
      <c r="AF99" s="599"/>
      <c r="AG99" s="599"/>
      <c r="AH99" s="599"/>
      <c r="AI99" s="599"/>
      <c r="AJ99" s="599"/>
      <c r="AK99" s="599"/>
      <c r="AL99" s="599"/>
      <c r="AM99" s="599"/>
      <c r="AN99" s="599"/>
      <c r="AO99" s="599"/>
      <c r="AP99" s="599"/>
      <c r="AQ99" s="599"/>
      <c r="AR99" s="599"/>
      <c r="AS99" s="599"/>
      <c r="AT99" s="599"/>
      <c r="AU99" s="599"/>
      <c r="AV99" s="599"/>
      <c r="AW99" s="599"/>
      <c r="AX99" s="599"/>
      <c r="AY99" s="599"/>
      <c r="AZ99" s="599"/>
      <c r="BA99" s="599"/>
      <c r="BB99" s="599"/>
      <c r="BC99" s="599"/>
      <c r="BD99" s="599"/>
      <c r="BE99" s="599"/>
      <c r="BF99" s="599"/>
      <c r="BG99" s="599"/>
      <c r="BH99" s="599"/>
      <c r="BI99" s="599"/>
      <c r="BJ99" s="599"/>
      <c r="BK99" s="599"/>
      <c r="BL99" s="599"/>
      <c r="BM99" s="599"/>
      <c r="BN99" s="599"/>
      <c r="BO99" s="599"/>
      <c r="BP99" s="599"/>
      <c r="BQ99" s="599"/>
      <c r="BR99" s="599"/>
      <c r="BS99" s="599"/>
      <c r="BT99" s="599"/>
    </row>
    <row r="100" spans="1:72" s="600" customFormat="1" ht="15.75" customHeight="1" x14ac:dyDescent="0.2">
      <c r="A100" s="337"/>
      <c r="B100" s="605" t="s">
        <v>71</v>
      </c>
      <c r="C100" s="339" t="s">
        <v>362</v>
      </c>
      <c r="D100" s="339" t="s">
        <v>366</v>
      </c>
      <c r="E100" s="345" t="s">
        <v>329</v>
      </c>
      <c r="F100" s="346" t="s">
        <v>329</v>
      </c>
      <c r="G100" s="347">
        <f>SUM(G102)</f>
        <v>333101.01</v>
      </c>
      <c r="H100" s="599"/>
      <c r="I100" s="599"/>
      <c r="J100" s="599"/>
      <c r="K100" s="599"/>
      <c r="L100" s="599"/>
      <c r="M100" s="599"/>
      <c r="N100" s="599"/>
      <c r="O100" s="599"/>
      <c r="P100" s="599"/>
      <c r="Q100" s="599"/>
      <c r="R100" s="599"/>
      <c r="S100" s="599"/>
      <c r="T100" s="599"/>
      <c r="U100" s="599"/>
      <c r="V100" s="599"/>
      <c r="W100" s="599"/>
      <c r="X100" s="599"/>
      <c r="Y100" s="599"/>
      <c r="Z100" s="599"/>
      <c r="AA100" s="599"/>
      <c r="AB100" s="599"/>
      <c r="AC100" s="599"/>
      <c r="AD100" s="599"/>
      <c r="AE100" s="599"/>
      <c r="AF100" s="599"/>
      <c r="AG100" s="599"/>
      <c r="AH100" s="599"/>
      <c r="AI100" s="599"/>
      <c r="AJ100" s="599"/>
      <c r="AK100" s="599"/>
      <c r="AL100" s="599"/>
      <c r="AM100" s="599"/>
      <c r="AN100" s="599"/>
      <c r="AO100" s="599"/>
      <c r="AP100" s="599"/>
      <c r="AQ100" s="599"/>
      <c r="AR100" s="599"/>
      <c r="AS100" s="599"/>
      <c r="AT100" s="599"/>
      <c r="AU100" s="599"/>
      <c r="AV100" s="599"/>
      <c r="AW100" s="599"/>
      <c r="AX100" s="599"/>
      <c r="AY100" s="599"/>
      <c r="AZ100" s="599"/>
      <c r="BA100" s="599"/>
      <c r="BB100" s="599"/>
      <c r="BC100" s="599"/>
      <c r="BD100" s="599"/>
      <c r="BE100" s="599"/>
      <c r="BF100" s="599"/>
      <c r="BG100" s="599"/>
      <c r="BH100" s="599"/>
      <c r="BI100" s="599"/>
      <c r="BJ100" s="599"/>
      <c r="BK100" s="599"/>
      <c r="BL100" s="599"/>
      <c r="BM100" s="599"/>
      <c r="BN100" s="599"/>
      <c r="BO100" s="599"/>
      <c r="BP100" s="599"/>
      <c r="BQ100" s="599"/>
      <c r="BR100" s="599"/>
      <c r="BS100" s="599"/>
      <c r="BT100" s="599"/>
    </row>
    <row r="101" spans="1:72" s="600" customFormat="1" ht="15.75" customHeight="1" x14ac:dyDescent="0.2">
      <c r="A101" s="337"/>
      <c r="B101" s="338"/>
      <c r="C101" s="356"/>
      <c r="D101" s="339"/>
      <c r="E101" s="339"/>
      <c r="F101" s="349"/>
      <c r="G101" s="350"/>
      <c r="H101" s="599"/>
      <c r="I101" s="599"/>
      <c r="J101" s="599"/>
      <c r="K101" s="599"/>
      <c r="L101" s="599"/>
      <c r="M101" s="599"/>
      <c r="N101" s="599"/>
      <c r="O101" s="599"/>
      <c r="P101" s="599"/>
      <c r="Q101" s="599"/>
      <c r="R101" s="599"/>
      <c r="S101" s="599"/>
      <c r="T101" s="599"/>
      <c r="U101" s="599"/>
      <c r="V101" s="599"/>
      <c r="W101" s="599"/>
      <c r="X101" s="599"/>
      <c r="Y101" s="599"/>
      <c r="Z101" s="599"/>
      <c r="AA101" s="599"/>
      <c r="AB101" s="599"/>
      <c r="AC101" s="599"/>
      <c r="AD101" s="599"/>
      <c r="AE101" s="599"/>
      <c r="AF101" s="599"/>
      <c r="AG101" s="599"/>
      <c r="AH101" s="599"/>
      <c r="AI101" s="599"/>
      <c r="AJ101" s="599"/>
      <c r="AK101" s="599"/>
      <c r="AL101" s="599"/>
      <c r="AM101" s="599"/>
      <c r="AN101" s="599"/>
      <c r="AO101" s="599"/>
      <c r="AP101" s="599"/>
      <c r="AQ101" s="599"/>
      <c r="AR101" s="599"/>
      <c r="AS101" s="599"/>
      <c r="AT101" s="599"/>
      <c r="AU101" s="599"/>
      <c r="AV101" s="599"/>
      <c r="AW101" s="599"/>
      <c r="AX101" s="599"/>
      <c r="AY101" s="599"/>
      <c r="AZ101" s="599"/>
      <c r="BA101" s="599"/>
      <c r="BB101" s="599"/>
      <c r="BC101" s="599"/>
      <c r="BD101" s="599"/>
      <c r="BE101" s="599"/>
      <c r="BF101" s="599"/>
      <c r="BG101" s="599"/>
      <c r="BH101" s="599"/>
      <c r="BI101" s="599"/>
      <c r="BJ101" s="599"/>
      <c r="BK101" s="599"/>
      <c r="BL101" s="599"/>
      <c r="BM101" s="599"/>
      <c r="BN101" s="599"/>
      <c r="BO101" s="599"/>
      <c r="BP101" s="599"/>
      <c r="BQ101" s="599"/>
      <c r="BR101" s="599"/>
      <c r="BS101" s="599"/>
      <c r="BT101" s="599"/>
    </row>
    <row r="102" spans="1:72" s="600" customFormat="1" ht="15.75" customHeight="1" x14ac:dyDescent="0.2">
      <c r="A102" s="337"/>
      <c r="B102" s="338"/>
      <c r="C102" s="356"/>
      <c r="D102" s="339"/>
      <c r="E102" s="601"/>
      <c r="F102" s="602"/>
      <c r="G102" s="603">
        <f>SUM(G103:G107)</f>
        <v>333101.01</v>
      </c>
      <c r="H102" s="599"/>
      <c r="I102" s="599"/>
      <c r="J102" s="599"/>
      <c r="K102" s="599"/>
      <c r="L102" s="599"/>
      <c r="M102" s="599"/>
      <c r="N102" s="599"/>
      <c r="O102" s="599"/>
      <c r="P102" s="599"/>
      <c r="Q102" s="599"/>
      <c r="R102" s="599"/>
      <c r="S102" s="599"/>
      <c r="T102" s="599"/>
      <c r="U102" s="599"/>
      <c r="V102" s="599"/>
      <c r="W102" s="599"/>
      <c r="X102" s="599"/>
      <c r="Y102" s="599"/>
      <c r="Z102" s="599"/>
      <c r="AA102" s="599"/>
      <c r="AB102" s="599"/>
      <c r="AC102" s="599"/>
      <c r="AD102" s="599"/>
      <c r="AE102" s="599"/>
      <c r="AF102" s="599"/>
      <c r="AG102" s="599"/>
      <c r="AH102" s="599"/>
      <c r="AI102" s="599"/>
      <c r="AJ102" s="599"/>
      <c r="AK102" s="599"/>
      <c r="AL102" s="599"/>
      <c r="AM102" s="599"/>
      <c r="AN102" s="599"/>
      <c r="AO102" s="599"/>
      <c r="AP102" s="599"/>
      <c r="AQ102" s="599"/>
      <c r="AR102" s="599"/>
      <c r="AS102" s="599"/>
      <c r="AT102" s="599"/>
      <c r="AU102" s="599"/>
      <c r="AV102" s="599"/>
      <c r="AW102" s="599"/>
      <c r="AX102" s="599"/>
      <c r="AY102" s="599"/>
      <c r="AZ102" s="599"/>
      <c r="BA102" s="599"/>
      <c r="BB102" s="599"/>
      <c r="BC102" s="599"/>
      <c r="BD102" s="599"/>
      <c r="BE102" s="599"/>
      <c r="BF102" s="599"/>
      <c r="BG102" s="599"/>
      <c r="BH102" s="599"/>
      <c r="BI102" s="599"/>
      <c r="BJ102" s="599"/>
      <c r="BK102" s="599"/>
      <c r="BL102" s="599"/>
      <c r="BM102" s="599"/>
      <c r="BN102" s="599"/>
      <c r="BO102" s="599"/>
      <c r="BP102" s="599"/>
      <c r="BQ102" s="599"/>
      <c r="BR102" s="599"/>
      <c r="BS102" s="599"/>
      <c r="BT102" s="599"/>
    </row>
    <row r="103" spans="1:72" s="600" customFormat="1" ht="15.75" customHeight="1" x14ac:dyDescent="0.2">
      <c r="A103" s="337"/>
      <c r="B103" s="338"/>
      <c r="C103" s="356"/>
      <c r="D103" s="339"/>
      <c r="E103" s="339" t="s">
        <v>86</v>
      </c>
      <c r="F103" s="349" t="s">
        <v>329</v>
      </c>
      <c r="G103" s="350">
        <f>10113.01+72423+47240+48295+46050+50471</f>
        <v>274592.01</v>
      </c>
      <c r="H103" s="599"/>
      <c r="I103" s="599"/>
      <c r="J103" s="599"/>
      <c r="K103" s="599"/>
      <c r="L103" s="599"/>
      <c r="M103" s="599"/>
      <c r="N103" s="599"/>
      <c r="O103" s="599"/>
      <c r="P103" s="599"/>
      <c r="Q103" s="599"/>
      <c r="R103" s="599"/>
      <c r="S103" s="599"/>
      <c r="T103" s="599"/>
      <c r="U103" s="599"/>
      <c r="V103" s="599"/>
      <c r="W103" s="599"/>
      <c r="X103" s="599"/>
      <c r="Y103" s="599"/>
      <c r="Z103" s="599"/>
      <c r="AA103" s="599"/>
      <c r="AB103" s="599"/>
      <c r="AC103" s="599"/>
      <c r="AD103" s="599"/>
      <c r="AE103" s="599"/>
      <c r="AF103" s="599"/>
      <c r="AG103" s="599"/>
      <c r="AH103" s="599"/>
      <c r="AI103" s="599"/>
      <c r="AJ103" s="599"/>
      <c r="AK103" s="599"/>
      <c r="AL103" s="599"/>
      <c r="AM103" s="599"/>
      <c r="AN103" s="599"/>
      <c r="AO103" s="599"/>
      <c r="AP103" s="599"/>
      <c r="AQ103" s="599"/>
      <c r="AR103" s="599"/>
      <c r="AS103" s="599"/>
      <c r="AT103" s="599"/>
      <c r="AU103" s="599"/>
      <c r="AV103" s="599"/>
      <c r="AW103" s="599"/>
      <c r="AX103" s="599"/>
      <c r="AY103" s="599"/>
      <c r="AZ103" s="599"/>
      <c r="BA103" s="599"/>
      <c r="BB103" s="599"/>
      <c r="BC103" s="599"/>
      <c r="BD103" s="599"/>
      <c r="BE103" s="599"/>
      <c r="BF103" s="599"/>
      <c r="BG103" s="599"/>
      <c r="BH103" s="599"/>
      <c r="BI103" s="599"/>
      <c r="BJ103" s="599"/>
      <c r="BK103" s="599"/>
      <c r="BL103" s="599"/>
      <c r="BM103" s="599"/>
      <c r="BN103" s="599"/>
      <c r="BO103" s="599"/>
      <c r="BP103" s="599"/>
      <c r="BQ103" s="599"/>
      <c r="BR103" s="599"/>
      <c r="BS103" s="599"/>
      <c r="BT103" s="599"/>
    </row>
    <row r="104" spans="1:72" s="600" customFormat="1" ht="15.75" customHeight="1" x14ac:dyDescent="0.2">
      <c r="A104" s="337"/>
      <c r="B104" s="338"/>
      <c r="C104" s="356"/>
      <c r="D104" s="339"/>
      <c r="E104" s="339" t="s">
        <v>348</v>
      </c>
      <c r="F104" s="349" t="s">
        <v>329</v>
      </c>
      <c r="G104" s="350">
        <f>5731+100+565</f>
        <v>6396</v>
      </c>
      <c r="H104" s="599"/>
      <c r="I104" s="599"/>
      <c r="J104" s="599"/>
      <c r="K104" s="599"/>
      <c r="L104" s="599"/>
      <c r="M104" s="599"/>
      <c r="N104" s="599"/>
      <c r="O104" s="599"/>
      <c r="P104" s="599"/>
      <c r="Q104" s="599"/>
      <c r="R104" s="599"/>
      <c r="S104" s="599"/>
      <c r="T104" s="599"/>
      <c r="U104" s="599"/>
      <c r="V104" s="599"/>
      <c r="W104" s="599"/>
      <c r="X104" s="599"/>
      <c r="Y104" s="599"/>
      <c r="Z104" s="599"/>
      <c r="AA104" s="599"/>
      <c r="AB104" s="599"/>
      <c r="AC104" s="599"/>
      <c r="AD104" s="599"/>
      <c r="AE104" s="599"/>
      <c r="AF104" s="599"/>
      <c r="AG104" s="599"/>
      <c r="AH104" s="599"/>
      <c r="AI104" s="599"/>
      <c r="AJ104" s="599"/>
      <c r="AK104" s="599"/>
      <c r="AL104" s="599"/>
      <c r="AM104" s="599"/>
      <c r="AN104" s="599"/>
      <c r="AO104" s="599"/>
      <c r="AP104" s="599"/>
      <c r="AQ104" s="599"/>
      <c r="AR104" s="599"/>
      <c r="AS104" s="599"/>
      <c r="AT104" s="599"/>
      <c r="AU104" s="599"/>
      <c r="AV104" s="599"/>
      <c r="AW104" s="599"/>
      <c r="AX104" s="599"/>
      <c r="AY104" s="599"/>
      <c r="AZ104" s="599"/>
      <c r="BA104" s="599"/>
      <c r="BB104" s="599"/>
      <c r="BC104" s="599"/>
      <c r="BD104" s="599"/>
      <c r="BE104" s="599"/>
      <c r="BF104" s="599"/>
      <c r="BG104" s="599"/>
      <c r="BH104" s="599"/>
      <c r="BI104" s="599"/>
      <c r="BJ104" s="599"/>
      <c r="BK104" s="599"/>
      <c r="BL104" s="599"/>
      <c r="BM104" s="599"/>
      <c r="BN104" s="599"/>
      <c r="BO104" s="599"/>
      <c r="BP104" s="599"/>
      <c r="BQ104" s="599"/>
      <c r="BR104" s="599"/>
      <c r="BS104" s="599"/>
      <c r="BT104" s="599"/>
    </row>
    <row r="105" spans="1:72" s="600" customFormat="1" ht="15.75" customHeight="1" x14ac:dyDescent="0.2">
      <c r="A105" s="337"/>
      <c r="B105" s="338"/>
      <c r="C105" s="356"/>
      <c r="D105" s="339"/>
      <c r="E105" s="339" t="s">
        <v>364</v>
      </c>
      <c r="F105" s="349" t="s">
        <v>329</v>
      </c>
      <c r="G105" s="350">
        <f>47074+24851-70679</f>
        <v>1246</v>
      </c>
      <c r="H105" s="599"/>
      <c r="I105" s="599"/>
      <c r="J105" s="599"/>
      <c r="K105" s="599"/>
      <c r="L105" s="599"/>
      <c r="M105" s="599"/>
      <c r="N105" s="599"/>
      <c r="O105" s="599"/>
      <c r="P105" s="599"/>
      <c r="Q105" s="599"/>
      <c r="R105" s="599"/>
      <c r="S105" s="599"/>
      <c r="T105" s="599"/>
      <c r="U105" s="599"/>
      <c r="V105" s="599"/>
      <c r="W105" s="599"/>
      <c r="X105" s="599"/>
      <c r="Y105" s="599"/>
      <c r="Z105" s="599"/>
      <c r="AA105" s="599"/>
      <c r="AB105" s="599"/>
      <c r="AC105" s="599"/>
      <c r="AD105" s="599"/>
      <c r="AE105" s="599"/>
      <c r="AF105" s="599"/>
      <c r="AG105" s="599"/>
      <c r="AH105" s="599"/>
      <c r="AI105" s="599"/>
      <c r="AJ105" s="599"/>
      <c r="AK105" s="599"/>
      <c r="AL105" s="599"/>
      <c r="AM105" s="599"/>
      <c r="AN105" s="599"/>
      <c r="AO105" s="599"/>
      <c r="AP105" s="599"/>
      <c r="AQ105" s="599"/>
      <c r="AR105" s="599"/>
      <c r="AS105" s="599"/>
      <c r="AT105" s="599"/>
      <c r="AU105" s="599"/>
      <c r="AV105" s="599"/>
      <c r="AW105" s="599"/>
      <c r="AX105" s="599"/>
      <c r="AY105" s="599"/>
      <c r="AZ105" s="599"/>
      <c r="BA105" s="599"/>
      <c r="BB105" s="599"/>
      <c r="BC105" s="599"/>
      <c r="BD105" s="599"/>
      <c r="BE105" s="599"/>
      <c r="BF105" s="599"/>
      <c r="BG105" s="599"/>
      <c r="BH105" s="599"/>
      <c r="BI105" s="599"/>
      <c r="BJ105" s="599"/>
      <c r="BK105" s="599"/>
      <c r="BL105" s="599"/>
      <c r="BM105" s="599"/>
      <c r="BN105" s="599"/>
      <c r="BO105" s="599"/>
      <c r="BP105" s="599"/>
      <c r="BQ105" s="599"/>
      <c r="BR105" s="599"/>
      <c r="BS105" s="599"/>
      <c r="BT105" s="599"/>
    </row>
    <row r="106" spans="1:72" s="600" customFormat="1" ht="15.75" customHeight="1" x14ac:dyDescent="0.2">
      <c r="A106" s="337"/>
      <c r="B106" s="338"/>
      <c r="C106" s="356"/>
      <c r="D106" s="339"/>
      <c r="E106" s="339" t="s">
        <v>338</v>
      </c>
      <c r="F106" s="349" t="s">
        <v>329</v>
      </c>
      <c r="G106" s="350">
        <f>11505+6071-17227</f>
        <v>349</v>
      </c>
      <c r="H106" s="599"/>
      <c r="I106" s="599"/>
      <c r="J106" s="599"/>
      <c r="K106" s="599"/>
      <c r="L106" s="599"/>
      <c r="M106" s="599"/>
      <c r="N106" s="599"/>
      <c r="O106" s="599"/>
      <c r="P106" s="599"/>
      <c r="Q106" s="599"/>
      <c r="R106" s="599"/>
      <c r="S106" s="599"/>
      <c r="T106" s="599"/>
      <c r="U106" s="599"/>
      <c r="V106" s="599"/>
      <c r="W106" s="599"/>
      <c r="X106" s="599"/>
      <c r="Y106" s="599"/>
      <c r="Z106" s="599"/>
      <c r="AA106" s="599"/>
      <c r="AB106" s="599"/>
      <c r="AC106" s="599"/>
      <c r="AD106" s="599"/>
      <c r="AE106" s="599"/>
      <c r="AF106" s="599"/>
      <c r="AG106" s="599"/>
      <c r="AH106" s="599"/>
      <c r="AI106" s="599"/>
      <c r="AJ106" s="599"/>
      <c r="AK106" s="599"/>
      <c r="AL106" s="599"/>
      <c r="AM106" s="599"/>
      <c r="AN106" s="599"/>
      <c r="AO106" s="599"/>
      <c r="AP106" s="599"/>
      <c r="AQ106" s="599"/>
      <c r="AR106" s="599"/>
      <c r="AS106" s="599"/>
      <c r="AT106" s="599"/>
      <c r="AU106" s="599"/>
      <c r="AV106" s="599"/>
      <c r="AW106" s="599"/>
      <c r="AX106" s="599"/>
      <c r="AY106" s="599"/>
      <c r="AZ106" s="599"/>
      <c r="BA106" s="599"/>
      <c r="BB106" s="599"/>
      <c r="BC106" s="599"/>
      <c r="BD106" s="599"/>
      <c r="BE106" s="599"/>
      <c r="BF106" s="599"/>
      <c r="BG106" s="599"/>
      <c r="BH106" s="599"/>
      <c r="BI106" s="599"/>
      <c r="BJ106" s="599"/>
      <c r="BK106" s="599"/>
      <c r="BL106" s="599"/>
      <c r="BM106" s="599"/>
      <c r="BN106" s="599"/>
      <c r="BO106" s="599"/>
      <c r="BP106" s="599"/>
      <c r="BQ106" s="599"/>
      <c r="BR106" s="599"/>
      <c r="BS106" s="599"/>
      <c r="BT106" s="599"/>
    </row>
    <row r="107" spans="1:72" s="600" customFormat="1" ht="15.75" customHeight="1" x14ac:dyDescent="0.2">
      <c r="A107" s="337"/>
      <c r="B107" s="338"/>
      <c r="C107" s="356"/>
      <c r="D107" s="339"/>
      <c r="E107" s="339" t="s">
        <v>350</v>
      </c>
      <c r="F107" s="349" t="s">
        <v>329</v>
      </c>
      <c r="G107" s="350">
        <f>46698+800+3020</f>
        <v>50518</v>
      </c>
      <c r="H107" s="599"/>
      <c r="I107" s="599"/>
      <c r="J107" s="599"/>
      <c r="K107" s="599"/>
      <c r="L107" s="599"/>
      <c r="M107" s="599"/>
      <c r="N107" s="599"/>
      <c r="O107" s="599"/>
      <c r="P107" s="599"/>
      <c r="Q107" s="599"/>
      <c r="R107" s="599"/>
      <c r="S107" s="599"/>
      <c r="T107" s="599"/>
      <c r="U107" s="599"/>
      <c r="V107" s="599"/>
      <c r="W107" s="599"/>
      <c r="X107" s="599"/>
      <c r="Y107" s="599"/>
      <c r="Z107" s="599"/>
      <c r="AA107" s="599"/>
      <c r="AB107" s="599"/>
      <c r="AC107" s="599"/>
      <c r="AD107" s="599"/>
      <c r="AE107" s="599"/>
      <c r="AF107" s="599"/>
      <c r="AG107" s="599"/>
      <c r="AH107" s="599"/>
      <c r="AI107" s="599"/>
      <c r="AJ107" s="599"/>
      <c r="AK107" s="599"/>
      <c r="AL107" s="599"/>
      <c r="AM107" s="599"/>
      <c r="AN107" s="599"/>
      <c r="AO107" s="599"/>
      <c r="AP107" s="599"/>
      <c r="AQ107" s="599"/>
      <c r="AR107" s="599"/>
      <c r="AS107" s="599"/>
      <c r="AT107" s="599"/>
      <c r="AU107" s="599"/>
      <c r="AV107" s="599"/>
      <c r="AW107" s="599"/>
      <c r="AX107" s="599"/>
      <c r="AY107" s="599"/>
      <c r="AZ107" s="599"/>
      <c r="BA107" s="599"/>
      <c r="BB107" s="599"/>
      <c r="BC107" s="599"/>
      <c r="BD107" s="599"/>
      <c r="BE107" s="599"/>
      <c r="BF107" s="599"/>
      <c r="BG107" s="599"/>
      <c r="BH107" s="599"/>
      <c r="BI107" s="599"/>
      <c r="BJ107" s="599"/>
      <c r="BK107" s="599"/>
      <c r="BL107" s="599"/>
      <c r="BM107" s="599"/>
      <c r="BN107" s="599"/>
      <c r="BO107" s="599"/>
      <c r="BP107" s="599"/>
      <c r="BQ107" s="599"/>
      <c r="BR107" s="599"/>
      <c r="BS107" s="599"/>
      <c r="BT107" s="599"/>
    </row>
    <row r="108" spans="1:72" s="600" customFormat="1" ht="15.75" customHeight="1" x14ac:dyDescent="0.2">
      <c r="A108" s="337"/>
      <c r="B108" s="338"/>
      <c r="C108" s="356"/>
      <c r="D108" s="339"/>
      <c r="E108" s="339"/>
      <c r="F108" s="349"/>
      <c r="G108" s="350"/>
      <c r="H108" s="599"/>
      <c r="I108" s="599"/>
      <c r="J108" s="599"/>
      <c r="K108" s="599"/>
      <c r="L108" s="599"/>
      <c r="M108" s="599"/>
      <c r="N108" s="599"/>
      <c r="O108" s="599"/>
      <c r="P108" s="599"/>
      <c r="Q108" s="599"/>
      <c r="R108" s="599"/>
      <c r="S108" s="599"/>
      <c r="T108" s="599"/>
      <c r="U108" s="599"/>
      <c r="V108" s="599"/>
      <c r="W108" s="599"/>
      <c r="X108" s="599"/>
      <c r="Y108" s="599"/>
      <c r="Z108" s="599"/>
      <c r="AA108" s="599"/>
      <c r="AB108" s="599"/>
      <c r="AC108" s="599"/>
      <c r="AD108" s="599"/>
      <c r="AE108" s="599"/>
      <c r="AF108" s="599"/>
      <c r="AG108" s="599"/>
      <c r="AH108" s="599"/>
      <c r="AI108" s="599"/>
      <c r="AJ108" s="599"/>
      <c r="AK108" s="599"/>
      <c r="AL108" s="599"/>
      <c r="AM108" s="599"/>
      <c r="AN108" s="599"/>
      <c r="AO108" s="599"/>
      <c r="AP108" s="599"/>
      <c r="AQ108" s="599"/>
      <c r="AR108" s="599"/>
      <c r="AS108" s="599"/>
      <c r="AT108" s="599"/>
      <c r="AU108" s="599"/>
      <c r="AV108" s="599"/>
      <c r="AW108" s="599"/>
      <c r="AX108" s="599"/>
      <c r="AY108" s="599"/>
      <c r="AZ108" s="599"/>
      <c r="BA108" s="599"/>
      <c r="BB108" s="599"/>
      <c r="BC108" s="599"/>
      <c r="BD108" s="599"/>
      <c r="BE108" s="599"/>
      <c r="BF108" s="599"/>
      <c r="BG108" s="599"/>
      <c r="BH108" s="599"/>
      <c r="BI108" s="599"/>
      <c r="BJ108" s="599"/>
      <c r="BK108" s="599"/>
      <c r="BL108" s="599"/>
      <c r="BM108" s="599"/>
      <c r="BN108" s="599"/>
      <c r="BO108" s="599"/>
      <c r="BP108" s="599"/>
      <c r="BQ108" s="599"/>
      <c r="BR108" s="599"/>
      <c r="BS108" s="599"/>
      <c r="BT108" s="599"/>
    </row>
    <row r="109" spans="1:72" s="600" customFormat="1" ht="15.75" customHeight="1" x14ac:dyDescent="0.2">
      <c r="A109" s="337"/>
      <c r="B109" s="605" t="s">
        <v>105</v>
      </c>
      <c r="C109" s="339" t="s">
        <v>362</v>
      </c>
      <c r="D109" s="339" t="s">
        <v>366</v>
      </c>
      <c r="E109" s="345" t="s">
        <v>329</v>
      </c>
      <c r="F109" s="346" t="s">
        <v>329</v>
      </c>
      <c r="G109" s="347">
        <f>SUM(G111)</f>
        <v>43736.85</v>
      </c>
      <c r="H109" s="599"/>
      <c r="I109" s="599"/>
      <c r="J109" s="599"/>
      <c r="K109" s="599"/>
      <c r="L109" s="599"/>
      <c r="M109" s="599"/>
      <c r="N109" s="599"/>
      <c r="O109" s="599"/>
      <c r="P109" s="599"/>
      <c r="Q109" s="599"/>
      <c r="R109" s="599"/>
      <c r="S109" s="599"/>
      <c r="T109" s="599"/>
      <c r="U109" s="599"/>
      <c r="V109" s="599"/>
      <c r="W109" s="599"/>
      <c r="X109" s="599"/>
      <c r="Y109" s="599"/>
      <c r="Z109" s="599"/>
      <c r="AA109" s="599"/>
      <c r="AB109" s="599"/>
      <c r="AC109" s="599"/>
      <c r="AD109" s="599"/>
      <c r="AE109" s="599"/>
      <c r="AF109" s="599"/>
      <c r="AG109" s="599"/>
      <c r="AH109" s="599"/>
      <c r="AI109" s="599"/>
      <c r="AJ109" s="599"/>
      <c r="AK109" s="599"/>
      <c r="AL109" s="599"/>
      <c r="AM109" s="599"/>
      <c r="AN109" s="599"/>
      <c r="AO109" s="599"/>
      <c r="AP109" s="599"/>
      <c r="AQ109" s="599"/>
      <c r="AR109" s="599"/>
      <c r="AS109" s="599"/>
      <c r="AT109" s="599"/>
      <c r="AU109" s="599"/>
      <c r="AV109" s="599"/>
      <c r="AW109" s="599"/>
      <c r="AX109" s="599"/>
      <c r="AY109" s="599"/>
      <c r="AZ109" s="599"/>
      <c r="BA109" s="599"/>
      <c r="BB109" s="599"/>
      <c r="BC109" s="599"/>
      <c r="BD109" s="599"/>
      <c r="BE109" s="599"/>
      <c r="BF109" s="599"/>
      <c r="BG109" s="599"/>
      <c r="BH109" s="599"/>
      <c r="BI109" s="599"/>
      <c r="BJ109" s="599"/>
      <c r="BK109" s="599"/>
      <c r="BL109" s="599"/>
      <c r="BM109" s="599"/>
      <c r="BN109" s="599"/>
      <c r="BO109" s="599"/>
      <c r="BP109" s="599"/>
      <c r="BQ109" s="599"/>
      <c r="BR109" s="599"/>
      <c r="BS109" s="599"/>
      <c r="BT109" s="599"/>
    </row>
    <row r="110" spans="1:72" s="600" customFormat="1" ht="15.75" customHeight="1" x14ac:dyDescent="0.2">
      <c r="A110" s="337"/>
      <c r="B110" s="338"/>
      <c r="C110" s="356"/>
      <c r="D110" s="339"/>
      <c r="E110" s="339"/>
      <c r="F110" s="349"/>
      <c r="G110" s="350"/>
      <c r="H110" s="599"/>
      <c r="I110" s="599"/>
      <c r="J110" s="599"/>
      <c r="K110" s="599"/>
      <c r="L110" s="599"/>
      <c r="M110" s="599"/>
      <c r="N110" s="599"/>
      <c r="O110" s="599"/>
      <c r="P110" s="599"/>
      <c r="Q110" s="599"/>
      <c r="R110" s="599"/>
      <c r="S110" s="599"/>
      <c r="T110" s="599"/>
      <c r="U110" s="599"/>
      <c r="V110" s="599"/>
      <c r="W110" s="599"/>
      <c r="X110" s="599"/>
      <c r="Y110" s="599"/>
      <c r="Z110" s="599"/>
      <c r="AA110" s="599"/>
      <c r="AB110" s="599"/>
      <c r="AC110" s="599"/>
      <c r="AD110" s="599"/>
      <c r="AE110" s="599"/>
      <c r="AF110" s="599"/>
      <c r="AG110" s="599"/>
      <c r="AH110" s="599"/>
      <c r="AI110" s="599"/>
      <c r="AJ110" s="599"/>
      <c r="AK110" s="599"/>
      <c r="AL110" s="599"/>
      <c r="AM110" s="599"/>
      <c r="AN110" s="599"/>
      <c r="AO110" s="599"/>
      <c r="AP110" s="599"/>
      <c r="AQ110" s="599"/>
      <c r="AR110" s="599"/>
      <c r="AS110" s="599"/>
      <c r="AT110" s="599"/>
      <c r="AU110" s="599"/>
      <c r="AV110" s="599"/>
      <c r="AW110" s="599"/>
      <c r="AX110" s="599"/>
      <c r="AY110" s="599"/>
      <c r="AZ110" s="599"/>
      <c r="BA110" s="599"/>
      <c r="BB110" s="599"/>
      <c r="BC110" s="599"/>
      <c r="BD110" s="599"/>
      <c r="BE110" s="599"/>
      <c r="BF110" s="599"/>
      <c r="BG110" s="599"/>
      <c r="BH110" s="599"/>
      <c r="BI110" s="599"/>
      <c r="BJ110" s="599"/>
      <c r="BK110" s="599"/>
      <c r="BL110" s="599"/>
      <c r="BM110" s="599"/>
      <c r="BN110" s="599"/>
      <c r="BO110" s="599"/>
      <c r="BP110" s="599"/>
      <c r="BQ110" s="599"/>
      <c r="BR110" s="599"/>
      <c r="BS110" s="599"/>
      <c r="BT110" s="599"/>
    </row>
    <row r="111" spans="1:72" s="600" customFormat="1" ht="15.75" customHeight="1" x14ac:dyDescent="0.2">
      <c r="A111" s="337"/>
      <c r="B111" s="338"/>
      <c r="C111" s="356"/>
      <c r="D111" s="339"/>
      <c r="E111" s="601"/>
      <c r="F111" s="602"/>
      <c r="G111" s="603">
        <f>SUM(G112)</f>
        <v>43736.85</v>
      </c>
      <c r="H111" s="599"/>
      <c r="I111" s="599"/>
      <c r="J111" s="599"/>
      <c r="K111" s="599"/>
      <c r="L111" s="599"/>
      <c r="M111" s="599"/>
      <c r="N111" s="599"/>
      <c r="O111" s="599"/>
      <c r="P111" s="599"/>
      <c r="Q111" s="599"/>
      <c r="R111" s="599"/>
      <c r="S111" s="599"/>
      <c r="T111" s="599"/>
      <c r="U111" s="599"/>
      <c r="V111" s="599"/>
      <c r="W111" s="599"/>
      <c r="X111" s="599"/>
      <c r="Y111" s="599"/>
      <c r="Z111" s="599"/>
      <c r="AA111" s="599"/>
      <c r="AB111" s="599"/>
      <c r="AC111" s="599"/>
      <c r="AD111" s="599"/>
      <c r="AE111" s="599"/>
      <c r="AF111" s="599"/>
      <c r="AG111" s="599"/>
      <c r="AH111" s="599"/>
      <c r="AI111" s="599"/>
      <c r="AJ111" s="599"/>
      <c r="AK111" s="599"/>
      <c r="AL111" s="599"/>
      <c r="AM111" s="599"/>
      <c r="AN111" s="599"/>
      <c r="AO111" s="599"/>
      <c r="AP111" s="599"/>
      <c r="AQ111" s="599"/>
      <c r="AR111" s="599"/>
      <c r="AS111" s="599"/>
      <c r="AT111" s="599"/>
      <c r="AU111" s="599"/>
      <c r="AV111" s="599"/>
      <c r="AW111" s="599"/>
      <c r="AX111" s="599"/>
      <c r="AY111" s="599"/>
      <c r="AZ111" s="599"/>
      <c r="BA111" s="599"/>
      <c r="BB111" s="599"/>
      <c r="BC111" s="599"/>
      <c r="BD111" s="599"/>
      <c r="BE111" s="599"/>
      <c r="BF111" s="599"/>
      <c r="BG111" s="599"/>
      <c r="BH111" s="599"/>
      <c r="BI111" s="599"/>
      <c r="BJ111" s="599"/>
      <c r="BK111" s="599"/>
      <c r="BL111" s="599"/>
      <c r="BM111" s="599"/>
      <c r="BN111" s="599"/>
      <c r="BO111" s="599"/>
      <c r="BP111" s="599"/>
      <c r="BQ111" s="599"/>
      <c r="BR111" s="599"/>
      <c r="BS111" s="599"/>
      <c r="BT111" s="599"/>
    </row>
    <row r="112" spans="1:72" s="600" customFormat="1" ht="15.75" customHeight="1" x14ac:dyDescent="0.2">
      <c r="A112" s="337"/>
      <c r="B112" s="338"/>
      <c r="C112" s="356"/>
      <c r="D112" s="339"/>
      <c r="E112" s="339" t="s">
        <v>93</v>
      </c>
      <c r="F112" s="349" t="s">
        <v>329</v>
      </c>
      <c r="G112" s="350">
        <f>10372.44+5081.41+5625+5444+5625+5991+5598</f>
        <v>43736.85</v>
      </c>
      <c r="H112" s="599"/>
      <c r="I112" s="599"/>
      <c r="J112" s="599"/>
      <c r="K112" s="599"/>
      <c r="L112" s="599"/>
      <c r="M112" s="599"/>
      <c r="N112" s="599"/>
      <c r="O112" s="599"/>
      <c r="P112" s="599"/>
      <c r="Q112" s="599"/>
      <c r="R112" s="599"/>
      <c r="S112" s="599"/>
      <c r="T112" s="599"/>
      <c r="U112" s="599"/>
      <c r="V112" s="599"/>
      <c r="W112" s="599"/>
      <c r="X112" s="599"/>
      <c r="Y112" s="599"/>
      <c r="Z112" s="599"/>
      <c r="AA112" s="599"/>
      <c r="AB112" s="599"/>
      <c r="AC112" s="599"/>
      <c r="AD112" s="599"/>
      <c r="AE112" s="599"/>
      <c r="AF112" s="599"/>
      <c r="AG112" s="599"/>
      <c r="AH112" s="599"/>
      <c r="AI112" s="599"/>
      <c r="AJ112" s="599"/>
      <c r="AK112" s="599"/>
      <c r="AL112" s="599"/>
      <c r="AM112" s="599"/>
      <c r="AN112" s="599"/>
      <c r="AO112" s="599"/>
      <c r="AP112" s="599"/>
      <c r="AQ112" s="599"/>
      <c r="AR112" s="599"/>
      <c r="AS112" s="599"/>
      <c r="AT112" s="599"/>
      <c r="AU112" s="599"/>
      <c r="AV112" s="599"/>
      <c r="AW112" s="599"/>
      <c r="AX112" s="599"/>
      <c r="AY112" s="599"/>
      <c r="AZ112" s="599"/>
      <c r="BA112" s="599"/>
      <c r="BB112" s="599"/>
      <c r="BC112" s="599"/>
      <c r="BD112" s="599"/>
      <c r="BE112" s="599"/>
      <c r="BF112" s="599"/>
      <c r="BG112" s="599"/>
      <c r="BH112" s="599"/>
      <c r="BI112" s="599"/>
      <c r="BJ112" s="599"/>
      <c r="BK112" s="599"/>
      <c r="BL112" s="599"/>
      <c r="BM112" s="599"/>
      <c r="BN112" s="599"/>
      <c r="BO112" s="599"/>
      <c r="BP112" s="599"/>
      <c r="BQ112" s="599"/>
      <c r="BR112" s="599"/>
      <c r="BS112" s="599"/>
      <c r="BT112" s="599"/>
    </row>
    <row r="113" spans="1:72" s="600" customFormat="1" ht="15.75" customHeight="1" x14ac:dyDescent="0.2">
      <c r="A113" s="337"/>
      <c r="B113" s="338"/>
      <c r="C113" s="356"/>
      <c r="D113" s="339"/>
      <c r="E113" s="339"/>
      <c r="F113" s="349"/>
      <c r="G113" s="350"/>
      <c r="H113" s="599"/>
      <c r="I113" s="599"/>
      <c r="J113" s="599"/>
      <c r="K113" s="599"/>
      <c r="L113" s="599"/>
      <c r="M113" s="599"/>
      <c r="N113" s="599"/>
      <c r="O113" s="599"/>
      <c r="P113" s="599"/>
      <c r="Q113" s="599"/>
      <c r="R113" s="599"/>
      <c r="S113" s="599"/>
      <c r="T113" s="599"/>
      <c r="U113" s="599"/>
      <c r="V113" s="599"/>
      <c r="W113" s="599"/>
      <c r="X113" s="599"/>
      <c r="Y113" s="599"/>
      <c r="Z113" s="599"/>
      <c r="AA113" s="599"/>
      <c r="AB113" s="599"/>
      <c r="AC113" s="599"/>
      <c r="AD113" s="599"/>
      <c r="AE113" s="599"/>
      <c r="AF113" s="599"/>
      <c r="AG113" s="599"/>
      <c r="AH113" s="599"/>
      <c r="AI113" s="599"/>
      <c r="AJ113" s="599"/>
      <c r="AK113" s="599"/>
      <c r="AL113" s="599"/>
      <c r="AM113" s="599"/>
      <c r="AN113" s="599"/>
      <c r="AO113" s="599"/>
      <c r="AP113" s="599"/>
      <c r="AQ113" s="599"/>
      <c r="AR113" s="599"/>
      <c r="AS113" s="599"/>
      <c r="AT113" s="599"/>
      <c r="AU113" s="599"/>
      <c r="AV113" s="599"/>
      <c r="AW113" s="599"/>
      <c r="AX113" s="599"/>
      <c r="AY113" s="599"/>
      <c r="AZ113" s="599"/>
      <c r="BA113" s="599"/>
      <c r="BB113" s="599"/>
      <c r="BC113" s="599"/>
      <c r="BD113" s="599"/>
      <c r="BE113" s="599"/>
      <c r="BF113" s="599"/>
      <c r="BG113" s="599"/>
      <c r="BH113" s="599"/>
      <c r="BI113" s="599"/>
      <c r="BJ113" s="599"/>
      <c r="BK113" s="599"/>
      <c r="BL113" s="599"/>
      <c r="BM113" s="599"/>
      <c r="BN113" s="599"/>
      <c r="BO113" s="599"/>
      <c r="BP113" s="599"/>
      <c r="BQ113" s="599"/>
      <c r="BR113" s="599"/>
      <c r="BS113" s="599"/>
      <c r="BT113" s="599"/>
    </row>
    <row r="114" spans="1:72" s="600" customFormat="1" ht="15.75" customHeight="1" x14ac:dyDescent="0.2">
      <c r="A114" s="337"/>
      <c r="B114" s="605" t="s">
        <v>71</v>
      </c>
      <c r="C114" s="339" t="s">
        <v>362</v>
      </c>
      <c r="D114" s="339" t="s">
        <v>367</v>
      </c>
      <c r="E114" s="345" t="s">
        <v>329</v>
      </c>
      <c r="F114" s="346" t="s">
        <v>329</v>
      </c>
      <c r="G114" s="347">
        <f>SUM(G116)</f>
        <v>53017.520000000004</v>
      </c>
      <c r="H114" s="599"/>
      <c r="I114" s="599"/>
      <c r="J114" s="599"/>
      <c r="K114" s="599"/>
      <c r="L114" s="599"/>
      <c r="M114" s="599"/>
      <c r="N114" s="599"/>
      <c r="O114" s="599"/>
      <c r="P114" s="599"/>
      <c r="Q114" s="599"/>
      <c r="R114" s="599"/>
      <c r="S114" s="599"/>
      <c r="T114" s="599"/>
      <c r="U114" s="599"/>
      <c r="V114" s="599"/>
      <c r="W114" s="599"/>
      <c r="X114" s="599"/>
      <c r="Y114" s="599"/>
      <c r="Z114" s="599"/>
      <c r="AA114" s="599"/>
      <c r="AB114" s="599"/>
      <c r="AC114" s="599"/>
      <c r="AD114" s="599"/>
      <c r="AE114" s="599"/>
      <c r="AF114" s="599"/>
      <c r="AG114" s="599"/>
      <c r="AH114" s="599"/>
      <c r="AI114" s="599"/>
      <c r="AJ114" s="599"/>
      <c r="AK114" s="599"/>
      <c r="AL114" s="599"/>
      <c r="AM114" s="599"/>
      <c r="AN114" s="599"/>
      <c r="AO114" s="599"/>
      <c r="AP114" s="599"/>
      <c r="AQ114" s="599"/>
      <c r="AR114" s="599"/>
      <c r="AS114" s="599"/>
      <c r="AT114" s="599"/>
      <c r="AU114" s="599"/>
      <c r="AV114" s="599"/>
      <c r="AW114" s="599"/>
      <c r="AX114" s="599"/>
      <c r="AY114" s="599"/>
      <c r="AZ114" s="599"/>
      <c r="BA114" s="599"/>
      <c r="BB114" s="599"/>
      <c r="BC114" s="599"/>
      <c r="BD114" s="599"/>
      <c r="BE114" s="599"/>
      <c r="BF114" s="599"/>
      <c r="BG114" s="599"/>
      <c r="BH114" s="599"/>
      <c r="BI114" s="599"/>
      <c r="BJ114" s="599"/>
      <c r="BK114" s="599"/>
      <c r="BL114" s="599"/>
      <c r="BM114" s="599"/>
      <c r="BN114" s="599"/>
      <c r="BO114" s="599"/>
      <c r="BP114" s="599"/>
      <c r="BQ114" s="599"/>
      <c r="BR114" s="599"/>
      <c r="BS114" s="599"/>
      <c r="BT114" s="599"/>
    </row>
    <row r="115" spans="1:72" s="600" customFormat="1" ht="15.75" customHeight="1" x14ac:dyDescent="0.2">
      <c r="A115" s="337"/>
      <c r="B115" s="338"/>
      <c r="C115" s="356"/>
      <c r="D115" s="339"/>
      <c r="E115" s="339"/>
      <c r="F115" s="349"/>
      <c r="G115" s="350"/>
      <c r="H115" s="599"/>
      <c r="I115" s="599"/>
      <c r="J115" s="599"/>
      <c r="K115" s="599"/>
      <c r="L115" s="599"/>
      <c r="M115" s="599"/>
      <c r="N115" s="599"/>
      <c r="O115" s="599"/>
      <c r="P115" s="599"/>
      <c r="Q115" s="599"/>
      <c r="R115" s="599"/>
      <c r="S115" s="599"/>
      <c r="T115" s="599"/>
      <c r="U115" s="599"/>
      <c r="V115" s="599"/>
      <c r="W115" s="599"/>
      <c r="X115" s="599"/>
      <c r="Y115" s="599"/>
      <c r="Z115" s="599"/>
      <c r="AA115" s="599"/>
      <c r="AB115" s="599"/>
      <c r="AC115" s="599"/>
      <c r="AD115" s="599"/>
      <c r="AE115" s="599"/>
      <c r="AF115" s="599"/>
      <c r="AG115" s="599"/>
      <c r="AH115" s="599"/>
      <c r="AI115" s="599"/>
      <c r="AJ115" s="599"/>
      <c r="AK115" s="599"/>
      <c r="AL115" s="599"/>
      <c r="AM115" s="599"/>
      <c r="AN115" s="599"/>
      <c r="AO115" s="599"/>
      <c r="AP115" s="599"/>
      <c r="AQ115" s="599"/>
      <c r="AR115" s="599"/>
      <c r="AS115" s="599"/>
      <c r="AT115" s="599"/>
      <c r="AU115" s="599"/>
      <c r="AV115" s="599"/>
      <c r="AW115" s="599"/>
      <c r="AX115" s="599"/>
      <c r="AY115" s="599"/>
      <c r="AZ115" s="599"/>
      <c r="BA115" s="599"/>
      <c r="BB115" s="599"/>
      <c r="BC115" s="599"/>
      <c r="BD115" s="599"/>
      <c r="BE115" s="599"/>
      <c r="BF115" s="599"/>
      <c r="BG115" s="599"/>
      <c r="BH115" s="599"/>
      <c r="BI115" s="599"/>
      <c r="BJ115" s="599"/>
      <c r="BK115" s="599"/>
      <c r="BL115" s="599"/>
      <c r="BM115" s="599"/>
      <c r="BN115" s="599"/>
      <c r="BO115" s="599"/>
      <c r="BP115" s="599"/>
      <c r="BQ115" s="599"/>
      <c r="BR115" s="599"/>
      <c r="BS115" s="599"/>
      <c r="BT115" s="599"/>
    </row>
    <row r="116" spans="1:72" s="600" customFormat="1" ht="15.75" customHeight="1" x14ac:dyDescent="0.2">
      <c r="A116" s="337"/>
      <c r="B116" s="338"/>
      <c r="C116" s="356"/>
      <c r="D116" s="339"/>
      <c r="E116" s="601"/>
      <c r="F116" s="602"/>
      <c r="G116" s="603">
        <f>SUM(G117:G121)</f>
        <v>53017.520000000004</v>
      </c>
      <c r="H116" s="599"/>
      <c r="I116" s="599"/>
      <c r="J116" s="599"/>
      <c r="K116" s="599"/>
      <c r="L116" s="599"/>
      <c r="M116" s="599"/>
      <c r="N116" s="599"/>
      <c r="O116" s="599"/>
      <c r="P116" s="599"/>
      <c r="Q116" s="599"/>
      <c r="R116" s="599"/>
      <c r="S116" s="599"/>
      <c r="T116" s="599"/>
      <c r="U116" s="599"/>
      <c r="V116" s="599"/>
      <c r="W116" s="599"/>
      <c r="X116" s="599"/>
      <c r="Y116" s="599"/>
      <c r="Z116" s="599"/>
      <c r="AA116" s="599"/>
      <c r="AB116" s="599"/>
      <c r="AC116" s="599"/>
      <c r="AD116" s="599"/>
      <c r="AE116" s="599"/>
      <c r="AF116" s="599"/>
      <c r="AG116" s="599"/>
      <c r="AH116" s="599"/>
      <c r="AI116" s="599"/>
      <c r="AJ116" s="599"/>
      <c r="AK116" s="599"/>
      <c r="AL116" s="599"/>
      <c r="AM116" s="599"/>
      <c r="AN116" s="599"/>
      <c r="AO116" s="599"/>
      <c r="AP116" s="599"/>
      <c r="AQ116" s="599"/>
      <c r="AR116" s="599"/>
      <c r="AS116" s="599"/>
      <c r="AT116" s="599"/>
      <c r="AU116" s="599"/>
      <c r="AV116" s="599"/>
      <c r="AW116" s="599"/>
      <c r="AX116" s="599"/>
      <c r="AY116" s="599"/>
      <c r="AZ116" s="599"/>
      <c r="BA116" s="599"/>
      <c r="BB116" s="599"/>
      <c r="BC116" s="599"/>
      <c r="BD116" s="599"/>
      <c r="BE116" s="599"/>
      <c r="BF116" s="599"/>
      <c r="BG116" s="599"/>
      <c r="BH116" s="599"/>
      <c r="BI116" s="599"/>
      <c r="BJ116" s="599"/>
      <c r="BK116" s="599"/>
      <c r="BL116" s="599"/>
      <c r="BM116" s="599"/>
      <c r="BN116" s="599"/>
      <c r="BO116" s="599"/>
      <c r="BP116" s="599"/>
      <c r="BQ116" s="599"/>
      <c r="BR116" s="599"/>
      <c r="BS116" s="599"/>
      <c r="BT116" s="599"/>
    </row>
    <row r="117" spans="1:72" s="600" customFormat="1" ht="15.75" customHeight="1" x14ac:dyDescent="0.2">
      <c r="A117" s="337"/>
      <c r="B117" s="338"/>
      <c r="C117" s="356"/>
      <c r="D117" s="339"/>
      <c r="E117" s="339" t="s">
        <v>86</v>
      </c>
      <c r="F117" s="349" t="s">
        <v>329</v>
      </c>
      <c r="G117" s="350">
        <f>696.52+7770+6552+6770+21746+6770</f>
        <v>50304.520000000004</v>
      </c>
      <c r="H117" s="599"/>
      <c r="I117" s="599"/>
      <c r="J117" s="599"/>
      <c r="K117" s="599"/>
      <c r="L117" s="599"/>
      <c r="M117" s="599"/>
      <c r="N117" s="599"/>
      <c r="O117" s="599"/>
      <c r="P117" s="599"/>
      <c r="Q117" s="599"/>
      <c r="R117" s="599"/>
      <c r="S117" s="599"/>
      <c r="T117" s="599"/>
      <c r="U117" s="599"/>
      <c r="V117" s="599"/>
      <c r="W117" s="599"/>
      <c r="X117" s="599"/>
      <c r="Y117" s="599"/>
      <c r="Z117" s="599"/>
      <c r="AA117" s="599"/>
      <c r="AB117" s="599"/>
      <c r="AC117" s="599"/>
      <c r="AD117" s="599"/>
      <c r="AE117" s="599"/>
      <c r="AF117" s="599"/>
      <c r="AG117" s="599"/>
      <c r="AH117" s="599"/>
      <c r="AI117" s="599"/>
      <c r="AJ117" s="599"/>
      <c r="AK117" s="599"/>
      <c r="AL117" s="599"/>
      <c r="AM117" s="599"/>
      <c r="AN117" s="599"/>
      <c r="AO117" s="599"/>
      <c r="AP117" s="599"/>
      <c r="AQ117" s="599"/>
      <c r="AR117" s="599"/>
      <c r="AS117" s="599"/>
      <c r="AT117" s="599"/>
      <c r="AU117" s="599"/>
      <c r="AV117" s="599"/>
      <c r="AW117" s="599"/>
      <c r="AX117" s="599"/>
      <c r="AY117" s="599"/>
      <c r="AZ117" s="599"/>
      <c r="BA117" s="599"/>
      <c r="BB117" s="599"/>
      <c r="BC117" s="599"/>
      <c r="BD117" s="599"/>
      <c r="BE117" s="599"/>
      <c r="BF117" s="599"/>
      <c r="BG117" s="599"/>
      <c r="BH117" s="599"/>
      <c r="BI117" s="599"/>
      <c r="BJ117" s="599"/>
      <c r="BK117" s="599"/>
      <c r="BL117" s="599"/>
      <c r="BM117" s="599"/>
      <c r="BN117" s="599"/>
      <c r="BO117" s="599"/>
      <c r="BP117" s="599"/>
      <c r="BQ117" s="599"/>
      <c r="BR117" s="599"/>
      <c r="BS117" s="599"/>
      <c r="BT117" s="599"/>
    </row>
    <row r="118" spans="1:72" s="600" customFormat="1" ht="15.75" customHeight="1" x14ac:dyDescent="0.2">
      <c r="A118" s="337"/>
      <c r="B118" s="338"/>
      <c r="C118" s="356"/>
      <c r="D118" s="339"/>
      <c r="E118" s="339" t="s">
        <v>348</v>
      </c>
      <c r="F118" s="349" t="s">
        <v>329</v>
      </c>
      <c r="G118" s="350">
        <f>713+700</f>
        <v>1413</v>
      </c>
      <c r="H118" s="599"/>
      <c r="I118" s="599"/>
      <c r="J118" s="599"/>
      <c r="K118" s="599"/>
      <c r="L118" s="599"/>
      <c r="M118" s="599"/>
      <c r="N118" s="599"/>
      <c r="O118" s="599"/>
      <c r="P118" s="599"/>
      <c r="Q118" s="599"/>
      <c r="R118" s="599"/>
      <c r="S118" s="599"/>
      <c r="T118" s="599"/>
      <c r="U118" s="599"/>
      <c r="V118" s="599"/>
      <c r="W118" s="599"/>
      <c r="X118" s="599"/>
      <c r="Y118" s="599"/>
      <c r="Z118" s="599"/>
      <c r="AA118" s="599"/>
      <c r="AB118" s="599"/>
      <c r="AC118" s="599"/>
      <c r="AD118" s="599"/>
      <c r="AE118" s="599"/>
      <c r="AF118" s="599"/>
      <c r="AG118" s="599"/>
      <c r="AH118" s="599"/>
      <c r="AI118" s="599"/>
      <c r="AJ118" s="599"/>
      <c r="AK118" s="599"/>
      <c r="AL118" s="599"/>
      <c r="AM118" s="599"/>
      <c r="AN118" s="599"/>
      <c r="AO118" s="599"/>
      <c r="AP118" s="599"/>
      <c r="AQ118" s="599"/>
      <c r="AR118" s="599"/>
      <c r="AS118" s="599"/>
      <c r="AT118" s="599"/>
      <c r="AU118" s="599"/>
      <c r="AV118" s="599"/>
      <c r="AW118" s="599"/>
      <c r="AX118" s="599"/>
      <c r="AY118" s="599"/>
      <c r="AZ118" s="599"/>
      <c r="BA118" s="599"/>
      <c r="BB118" s="599"/>
      <c r="BC118" s="599"/>
      <c r="BD118" s="599"/>
      <c r="BE118" s="599"/>
      <c r="BF118" s="599"/>
      <c r="BG118" s="599"/>
      <c r="BH118" s="599"/>
      <c r="BI118" s="599"/>
      <c r="BJ118" s="599"/>
      <c r="BK118" s="599"/>
      <c r="BL118" s="599"/>
      <c r="BM118" s="599"/>
      <c r="BN118" s="599"/>
      <c r="BO118" s="599"/>
      <c r="BP118" s="599"/>
      <c r="BQ118" s="599"/>
      <c r="BR118" s="599"/>
      <c r="BS118" s="599"/>
      <c r="BT118" s="599"/>
    </row>
    <row r="119" spans="1:72" s="600" customFormat="1" ht="15.75" customHeight="1" x14ac:dyDescent="0.2">
      <c r="A119" s="337"/>
      <c r="B119" s="338"/>
      <c r="C119" s="356"/>
      <c r="D119" s="339"/>
      <c r="E119" s="339" t="s">
        <v>364</v>
      </c>
      <c r="F119" s="349" t="s">
        <v>329</v>
      </c>
      <c r="G119" s="350">
        <f>4416+5864+4914-15194</f>
        <v>0</v>
      </c>
      <c r="H119" s="599"/>
      <c r="I119" s="599"/>
      <c r="J119" s="599"/>
      <c r="K119" s="599"/>
      <c r="L119" s="599"/>
      <c r="M119" s="599"/>
      <c r="N119" s="599"/>
      <c r="O119" s="599"/>
      <c r="P119" s="599"/>
      <c r="Q119" s="599"/>
      <c r="R119" s="599"/>
      <c r="S119" s="599"/>
      <c r="T119" s="599"/>
      <c r="U119" s="599"/>
      <c r="V119" s="599"/>
      <c r="W119" s="599"/>
      <c r="X119" s="599"/>
      <c r="Y119" s="599"/>
      <c r="Z119" s="599"/>
      <c r="AA119" s="599"/>
      <c r="AB119" s="599"/>
      <c r="AC119" s="599"/>
      <c r="AD119" s="599"/>
      <c r="AE119" s="599"/>
      <c r="AF119" s="599"/>
      <c r="AG119" s="599"/>
      <c r="AH119" s="599"/>
      <c r="AI119" s="599"/>
      <c r="AJ119" s="599"/>
      <c r="AK119" s="599"/>
      <c r="AL119" s="599"/>
      <c r="AM119" s="599"/>
      <c r="AN119" s="599"/>
      <c r="AO119" s="599"/>
      <c r="AP119" s="599"/>
      <c r="AQ119" s="599"/>
      <c r="AR119" s="599"/>
      <c r="AS119" s="599"/>
      <c r="AT119" s="599"/>
      <c r="AU119" s="599"/>
      <c r="AV119" s="599"/>
      <c r="AW119" s="599"/>
      <c r="AX119" s="599"/>
      <c r="AY119" s="599"/>
      <c r="AZ119" s="599"/>
      <c r="BA119" s="599"/>
      <c r="BB119" s="599"/>
      <c r="BC119" s="599"/>
      <c r="BD119" s="599"/>
      <c r="BE119" s="599"/>
      <c r="BF119" s="599"/>
      <c r="BG119" s="599"/>
      <c r="BH119" s="599"/>
      <c r="BI119" s="599"/>
      <c r="BJ119" s="599"/>
      <c r="BK119" s="599"/>
      <c r="BL119" s="599"/>
      <c r="BM119" s="599"/>
      <c r="BN119" s="599"/>
      <c r="BO119" s="599"/>
      <c r="BP119" s="599"/>
      <c r="BQ119" s="599"/>
      <c r="BR119" s="599"/>
      <c r="BS119" s="599"/>
      <c r="BT119" s="599"/>
    </row>
    <row r="120" spans="1:72" s="600" customFormat="1" ht="15.75" customHeight="1" x14ac:dyDescent="0.2">
      <c r="A120" s="337"/>
      <c r="B120" s="338"/>
      <c r="C120" s="356"/>
      <c r="D120" s="339"/>
      <c r="E120" s="339" t="s">
        <v>338</v>
      </c>
      <c r="F120" s="349" t="s">
        <v>329</v>
      </c>
      <c r="G120" s="350">
        <f>1079+1433+1201-3713</f>
        <v>0</v>
      </c>
      <c r="H120" s="599"/>
      <c r="I120" s="599"/>
      <c r="J120" s="599"/>
      <c r="K120" s="599"/>
      <c r="L120" s="599"/>
      <c r="M120" s="599"/>
      <c r="N120" s="599"/>
      <c r="O120" s="599"/>
      <c r="P120" s="599"/>
      <c r="Q120" s="599"/>
      <c r="R120" s="599"/>
      <c r="S120" s="599"/>
      <c r="T120" s="599"/>
      <c r="U120" s="599"/>
      <c r="V120" s="599"/>
      <c r="W120" s="599"/>
      <c r="X120" s="599"/>
      <c r="Y120" s="599"/>
      <c r="Z120" s="599"/>
      <c r="AA120" s="599"/>
      <c r="AB120" s="599"/>
      <c r="AC120" s="599"/>
      <c r="AD120" s="599"/>
      <c r="AE120" s="599"/>
      <c r="AF120" s="599"/>
      <c r="AG120" s="599"/>
      <c r="AH120" s="599"/>
      <c r="AI120" s="599"/>
      <c r="AJ120" s="599"/>
      <c r="AK120" s="599"/>
      <c r="AL120" s="599"/>
      <c r="AM120" s="599"/>
      <c r="AN120" s="599"/>
      <c r="AO120" s="599"/>
      <c r="AP120" s="599"/>
      <c r="AQ120" s="599"/>
      <c r="AR120" s="599"/>
      <c r="AS120" s="599"/>
      <c r="AT120" s="599"/>
      <c r="AU120" s="599"/>
      <c r="AV120" s="599"/>
      <c r="AW120" s="599"/>
      <c r="AX120" s="599"/>
      <c r="AY120" s="599"/>
      <c r="AZ120" s="599"/>
      <c r="BA120" s="599"/>
      <c r="BB120" s="599"/>
      <c r="BC120" s="599"/>
      <c r="BD120" s="599"/>
      <c r="BE120" s="599"/>
      <c r="BF120" s="599"/>
      <c r="BG120" s="599"/>
      <c r="BH120" s="599"/>
      <c r="BI120" s="599"/>
      <c r="BJ120" s="599"/>
      <c r="BK120" s="599"/>
      <c r="BL120" s="599"/>
      <c r="BM120" s="599"/>
      <c r="BN120" s="599"/>
      <c r="BO120" s="599"/>
      <c r="BP120" s="599"/>
      <c r="BQ120" s="599"/>
      <c r="BR120" s="599"/>
      <c r="BS120" s="599"/>
      <c r="BT120" s="599"/>
    </row>
    <row r="121" spans="1:72" s="600" customFormat="1" ht="15.75" customHeight="1" x14ac:dyDescent="0.2">
      <c r="A121" s="337"/>
      <c r="B121" s="338"/>
      <c r="C121" s="356"/>
      <c r="D121" s="339"/>
      <c r="E121" s="339" t="s">
        <v>350</v>
      </c>
      <c r="F121" s="349" t="s">
        <v>329</v>
      </c>
      <c r="G121" s="350">
        <f>2000-700</f>
        <v>1300</v>
      </c>
      <c r="H121" s="599"/>
      <c r="I121" s="599"/>
      <c r="J121" s="599"/>
      <c r="K121" s="599"/>
      <c r="L121" s="599"/>
      <c r="M121" s="599"/>
      <c r="N121" s="599"/>
      <c r="O121" s="599"/>
      <c r="P121" s="599"/>
      <c r="Q121" s="599"/>
      <c r="R121" s="599"/>
      <c r="S121" s="599"/>
      <c r="T121" s="599"/>
      <c r="U121" s="599"/>
      <c r="V121" s="599"/>
      <c r="W121" s="599"/>
      <c r="X121" s="599"/>
      <c r="Y121" s="599"/>
      <c r="Z121" s="599"/>
      <c r="AA121" s="599"/>
      <c r="AB121" s="599"/>
      <c r="AC121" s="599"/>
      <c r="AD121" s="599"/>
      <c r="AE121" s="599"/>
      <c r="AF121" s="599"/>
      <c r="AG121" s="599"/>
      <c r="AH121" s="599"/>
      <c r="AI121" s="599"/>
      <c r="AJ121" s="599"/>
      <c r="AK121" s="599"/>
      <c r="AL121" s="599"/>
      <c r="AM121" s="599"/>
      <c r="AN121" s="599"/>
      <c r="AO121" s="599"/>
      <c r="AP121" s="599"/>
      <c r="AQ121" s="599"/>
      <c r="AR121" s="599"/>
      <c r="AS121" s="599"/>
      <c r="AT121" s="599"/>
      <c r="AU121" s="599"/>
      <c r="AV121" s="599"/>
      <c r="AW121" s="599"/>
      <c r="AX121" s="599"/>
      <c r="AY121" s="599"/>
      <c r="AZ121" s="599"/>
      <c r="BA121" s="599"/>
      <c r="BB121" s="599"/>
      <c r="BC121" s="599"/>
      <c r="BD121" s="599"/>
      <c r="BE121" s="599"/>
      <c r="BF121" s="599"/>
      <c r="BG121" s="599"/>
      <c r="BH121" s="599"/>
      <c r="BI121" s="599"/>
      <c r="BJ121" s="599"/>
      <c r="BK121" s="599"/>
      <c r="BL121" s="599"/>
      <c r="BM121" s="599"/>
      <c r="BN121" s="599"/>
      <c r="BO121" s="599"/>
      <c r="BP121" s="599"/>
      <c r="BQ121" s="599"/>
      <c r="BR121" s="599"/>
      <c r="BS121" s="599"/>
      <c r="BT121" s="599"/>
    </row>
    <row r="122" spans="1:72" s="600" customFormat="1" ht="15.75" customHeight="1" x14ac:dyDescent="0.2">
      <c r="A122" s="337"/>
      <c r="B122" s="338"/>
      <c r="C122" s="356"/>
      <c r="D122" s="339"/>
      <c r="E122" s="339"/>
      <c r="F122" s="349"/>
      <c r="G122" s="350"/>
      <c r="H122" s="599"/>
      <c r="I122" s="599"/>
      <c r="J122" s="599"/>
      <c r="K122" s="599"/>
      <c r="L122" s="599"/>
      <c r="M122" s="599"/>
      <c r="N122" s="599"/>
      <c r="O122" s="599"/>
      <c r="P122" s="599"/>
      <c r="Q122" s="599"/>
      <c r="R122" s="599"/>
      <c r="S122" s="599"/>
      <c r="T122" s="599"/>
      <c r="U122" s="599"/>
      <c r="V122" s="599"/>
      <c r="W122" s="599"/>
      <c r="X122" s="599"/>
      <c r="Y122" s="599"/>
      <c r="Z122" s="599"/>
      <c r="AA122" s="599"/>
      <c r="AB122" s="599"/>
      <c r="AC122" s="599"/>
      <c r="AD122" s="599"/>
      <c r="AE122" s="599"/>
      <c r="AF122" s="599"/>
      <c r="AG122" s="599"/>
      <c r="AH122" s="599"/>
      <c r="AI122" s="599"/>
      <c r="AJ122" s="599"/>
      <c r="AK122" s="599"/>
      <c r="AL122" s="599"/>
      <c r="AM122" s="599"/>
      <c r="AN122" s="599"/>
      <c r="AO122" s="599"/>
      <c r="AP122" s="599"/>
      <c r="AQ122" s="599"/>
      <c r="AR122" s="599"/>
      <c r="AS122" s="599"/>
      <c r="AT122" s="599"/>
      <c r="AU122" s="599"/>
      <c r="AV122" s="599"/>
      <c r="AW122" s="599"/>
      <c r="AX122" s="599"/>
      <c r="AY122" s="599"/>
      <c r="AZ122" s="599"/>
      <c r="BA122" s="599"/>
      <c r="BB122" s="599"/>
      <c r="BC122" s="599"/>
      <c r="BD122" s="599"/>
      <c r="BE122" s="599"/>
      <c r="BF122" s="599"/>
      <c r="BG122" s="599"/>
      <c r="BH122" s="599"/>
      <c r="BI122" s="599"/>
      <c r="BJ122" s="599"/>
      <c r="BK122" s="599"/>
      <c r="BL122" s="599"/>
      <c r="BM122" s="599"/>
      <c r="BN122" s="599"/>
      <c r="BO122" s="599"/>
      <c r="BP122" s="599"/>
      <c r="BQ122" s="599"/>
      <c r="BR122" s="599"/>
      <c r="BS122" s="599"/>
      <c r="BT122" s="599"/>
    </row>
    <row r="123" spans="1:72" s="600" customFormat="1" ht="15.75" customHeight="1" x14ac:dyDescent="0.2">
      <c r="A123" s="337"/>
      <c r="B123" s="605" t="s">
        <v>71</v>
      </c>
      <c r="C123" s="339" t="s">
        <v>362</v>
      </c>
      <c r="D123" s="339" t="s">
        <v>368</v>
      </c>
      <c r="E123" s="345" t="s">
        <v>329</v>
      </c>
      <c r="F123" s="346" t="s">
        <v>329</v>
      </c>
      <c r="G123" s="347">
        <f>SUM(G125)</f>
        <v>92947.409999999989</v>
      </c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  <c r="AC123" s="599"/>
      <c r="AD123" s="599"/>
      <c r="AE123" s="599"/>
      <c r="AF123" s="599"/>
      <c r="AG123" s="599"/>
      <c r="AH123" s="599"/>
      <c r="AI123" s="599"/>
      <c r="AJ123" s="599"/>
      <c r="AK123" s="599"/>
      <c r="AL123" s="599"/>
      <c r="AM123" s="599"/>
      <c r="AN123" s="599"/>
      <c r="AO123" s="599"/>
      <c r="AP123" s="599"/>
      <c r="AQ123" s="599"/>
      <c r="AR123" s="599"/>
      <c r="AS123" s="599"/>
      <c r="AT123" s="599"/>
      <c r="AU123" s="599"/>
      <c r="AV123" s="599"/>
      <c r="AW123" s="599"/>
      <c r="AX123" s="599"/>
      <c r="AY123" s="599"/>
      <c r="AZ123" s="599"/>
      <c r="BA123" s="599"/>
      <c r="BB123" s="599"/>
      <c r="BC123" s="599"/>
      <c r="BD123" s="599"/>
      <c r="BE123" s="599"/>
      <c r="BF123" s="599"/>
      <c r="BG123" s="599"/>
      <c r="BH123" s="599"/>
      <c r="BI123" s="599"/>
      <c r="BJ123" s="599"/>
      <c r="BK123" s="599"/>
      <c r="BL123" s="599"/>
      <c r="BM123" s="599"/>
      <c r="BN123" s="599"/>
      <c r="BO123" s="599"/>
      <c r="BP123" s="599"/>
      <c r="BQ123" s="599"/>
      <c r="BR123" s="599"/>
      <c r="BS123" s="599"/>
      <c r="BT123" s="599"/>
    </row>
    <row r="124" spans="1:72" s="600" customFormat="1" ht="15.75" customHeight="1" x14ac:dyDescent="0.2">
      <c r="A124" s="337"/>
      <c r="B124" s="338"/>
      <c r="C124" s="356"/>
      <c r="D124" s="339"/>
      <c r="E124" s="339"/>
      <c r="F124" s="349"/>
      <c r="G124" s="350"/>
      <c r="H124" s="599"/>
      <c r="I124" s="599"/>
      <c r="J124" s="599"/>
      <c r="K124" s="599"/>
      <c r="L124" s="599"/>
      <c r="M124" s="599"/>
      <c r="N124" s="599"/>
      <c r="O124" s="599"/>
      <c r="P124" s="599"/>
      <c r="Q124" s="599"/>
      <c r="R124" s="599"/>
      <c r="S124" s="599"/>
      <c r="T124" s="599"/>
      <c r="U124" s="599"/>
      <c r="V124" s="599"/>
      <c r="W124" s="599"/>
      <c r="X124" s="599"/>
      <c r="Y124" s="599"/>
      <c r="Z124" s="599"/>
      <c r="AA124" s="599"/>
      <c r="AB124" s="599"/>
      <c r="AC124" s="599"/>
      <c r="AD124" s="599"/>
      <c r="AE124" s="599"/>
      <c r="AF124" s="599"/>
      <c r="AG124" s="599"/>
      <c r="AH124" s="599"/>
      <c r="AI124" s="599"/>
      <c r="AJ124" s="599"/>
      <c r="AK124" s="599"/>
      <c r="AL124" s="599"/>
      <c r="AM124" s="599"/>
      <c r="AN124" s="599"/>
      <c r="AO124" s="599"/>
      <c r="AP124" s="599"/>
      <c r="AQ124" s="599"/>
      <c r="AR124" s="599"/>
      <c r="AS124" s="599"/>
      <c r="AT124" s="599"/>
      <c r="AU124" s="599"/>
      <c r="AV124" s="599"/>
      <c r="AW124" s="599"/>
      <c r="AX124" s="599"/>
      <c r="AY124" s="599"/>
      <c r="AZ124" s="599"/>
      <c r="BA124" s="599"/>
      <c r="BB124" s="599"/>
      <c r="BC124" s="599"/>
      <c r="BD124" s="599"/>
      <c r="BE124" s="599"/>
      <c r="BF124" s="599"/>
      <c r="BG124" s="599"/>
      <c r="BH124" s="599"/>
      <c r="BI124" s="599"/>
      <c r="BJ124" s="599"/>
      <c r="BK124" s="599"/>
      <c r="BL124" s="599"/>
      <c r="BM124" s="599"/>
      <c r="BN124" s="599"/>
      <c r="BO124" s="599"/>
      <c r="BP124" s="599"/>
      <c r="BQ124" s="599"/>
      <c r="BR124" s="599"/>
      <c r="BS124" s="599"/>
      <c r="BT124" s="599"/>
    </row>
    <row r="125" spans="1:72" s="600" customFormat="1" ht="15.75" customHeight="1" x14ac:dyDescent="0.2">
      <c r="A125" s="337"/>
      <c r="B125" s="338"/>
      <c r="C125" s="356"/>
      <c r="D125" s="339"/>
      <c r="E125" s="601"/>
      <c r="F125" s="602"/>
      <c r="G125" s="603">
        <f>SUM(G126:G130)</f>
        <v>92947.409999999989</v>
      </c>
      <c r="H125" s="599"/>
      <c r="I125" s="599"/>
      <c r="J125" s="599"/>
      <c r="K125" s="599"/>
      <c r="L125" s="599"/>
      <c r="M125" s="599"/>
      <c r="N125" s="599"/>
      <c r="O125" s="599"/>
      <c r="P125" s="599"/>
      <c r="Q125" s="599"/>
      <c r="R125" s="599"/>
      <c r="S125" s="599"/>
      <c r="T125" s="599"/>
      <c r="U125" s="599"/>
      <c r="V125" s="599"/>
      <c r="W125" s="599"/>
      <c r="X125" s="599"/>
      <c r="Y125" s="599"/>
      <c r="Z125" s="599"/>
      <c r="AA125" s="599"/>
      <c r="AB125" s="599"/>
      <c r="AC125" s="599"/>
      <c r="AD125" s="599"/>
      <c r="AE125" s="599"/>
      <c r="AF125" s="599"/>
      <c r="AG125" s="599"/>
      <c r="AH125" s="599"/>
      <c r="AI125" s="599"/>
      <c r="AJ125" s="599"/>
      <c r="AK125" s="599"/>
      <c r="AL125" s="599"/>
      <c r="AM125" s="599"/>
      <c r="AN125" s="599"/>
      <c r="AO125" s="599"/>
      <c r="AP125" s="599"/>
      <c r="AQ125" s="599"/>
      <c r="AR125" s="599"/>
      <c r="AS125" s="599"/>
      <c r="AT125" s="599"/>
      <c r="AU125" s="599"/>
      <c r="AV125" s="599"/>
      <c r="AW125" s="599"/>
      <c r="AX125" s="599"/>
      <c r="AY125" s="599"/>
      <c r="AZ125" s="599"/>
      <c r="BA125" s="599"/>
      <c r="BB125" s="599"/>
      <c r="BC125" s="599"/>
      <c r="BD125" s="599"/>
      <c r="BE125" s="599"/>
      <c r="BF125" s="599"/>
      <c r="BG125" s="599"/>
      <c r="BH125" s="599"/>
      <c r="BI125" s="599"/>
      <c r="BJ125" s="599"/>
      <c r="BK125" s="599"/>
      <c r="BL125" s="599"/>
      <c r="BM125" s="599"/>
      <c r="BN125" s="599"/>
      <c r="BO125" s="599"/>
      <c r="BP125" s="599"/>
      <c r="BQ125" s="599"/>
      <c r="BR125" s="599"/>
      <c r="BS125" s="599"/>
      <c r="BT125" s="599"/>
    </row>
    <row r="126" spans="1:72" s="600" customFormat="1" ht="15.75" customHeight="1" x14ac:dyDescent="0.2">
      <c r="A126" s="337"/>
      <c r="B126" s="338"/>
      <c r="C126" s="356"/>
      <c r="D126" s="339"/>
      <c r="E126" s="339" t="s">
        <v>86</v>
      </c>
      <c r="F126" s="349" t="s">
        <v>329</v>
      </c>
      <c r="G126" s="350">
        <f>4417.41+137-137+12272+33562+15078</f>
        <v>65329.41</v>
      </c>
      <c r="H126" s="599"/>
      <c r="I126" s="599"/>
      <c r="J126" s="599"/>
      <c r="K126" s="599"/>
      <c r="L126" s="599"/>
      <c r="M126" s="599"/>
      <c r="N126" s="599"/>
      <c r="O126" s="599"/>
      <c r="P126" s="599"/>
      <c r="Q126" s="599"/>
      <c r="R126" s="599"/>
      <c r="S126" s="599"/>
      <c r="T126" s="599"/>
      <c r="U126" s="599"/>
      <c r="V126" s="599"/>
      <c r="W126" s="599"/>
      <c r="X126" s="599"/>
      <c r="Y126" s="599"/>
      <c r="Z126" s="599"/>
      <c r="AA126" s="599"/>
      <c r="AB126" s="599"/>
      <c r="AC126" s="599"/>
      <c r="AD126" s="599"/>
      <c r="AE126" s="599"/>
      <c r="AF126" s="599"/>
      <c r="AG126" s="599"/>
      <c r="AH126" s="599"/>
      <c r="AI126" s="599"/>
      <c r="AJ126" s="599"/>
      <c r="AK126" s="599"/>
      <c r="AL126" s="599"/>
      <c r="AM126" s="599"/>
      <c r="AN126" s="599"/>
      <c r="AO126" s="599"/>
      <c r="AP126" s="599"/>
      <c r="AQ126" s="599"/>
      <c r="AR126" s="599"/>
      <c r="AS126" s="599"/>
      <c r="AT126" s="599"/>
      <c r="AU126" s="599"/>
      <c r="AV126" s="599"/>
      <c r="AW126" s="599"/>
      <c r="AX126" s="599"/>
      <c r="AY126" s="599"/>
      <c r="AZ126" s="599"/>
      <c r="BA126" s="599"/>
      <c r="BB126" s="599"/>
      <c r="BC126" s="599"/>
      <c r="BD126" s="599"/>
      <c r="BE126" s="599"/>
      <c r="BF126" s="599"/>
      <c r="BG126" s="599"/>
      <c r="BH126" s="599"/>
      <c r="BI126" s="599"/>
      <c r="BJ126" s="599"/>
      <c r="BK126" s="599"/>
      <c r="BL126" s="599"/>
      <c r="BM126" s="599"/>
      <c r="BN126" s="599"/>
      <c r="BO126" s="599"/>
      <c r="BP126" s="599"/>
      <c r="BQ126" s="599"/>
      <c r="BR126" s="599"/>
      <c r="BS126" s="599"/>
      <c r="BT126" s="599"/>
    </row>
    <row r="127" spans="1:72" s="600" customFormat="1" ht="15.75" customHeight="1" x14ac:dyDescent="0.2">
      <c r="A127" s="337"/>
      <c r="B127" s="338"/>
      <c r="C127" s="356"/>
      <c r="D127" s="339"/>
      <c r="E127" s="339" t="s">
        <v>348</v>
      </c>
      <c r="F127" s="349" t="s">
        <v>329</v>
      </c>
      <c r="G127" s="350">
        <f>105+215+30</f>
        <v>350</v>
      </c>
      <c r="H127" s="599"/>
      <c r="I127" s="599"/>
      <c r="J127" s="599"/>
      <c r="K127" s="599"/>
      <c r="L127" s="599"/>
      <c r="M127" s="599"/>
      <c r="N127" s="599"/>
      <c r="O127" s="599"/>
      <c r="P127" s="599"/>
      <c r="Q127" s="599"/>
      <c r="R127" s="599"/>
      <c r="S127" s="599"/>
      <c r="T127" s="599"/>
      <c r="U127" s="599"/>
      <c r="V127" s="599"/>
      <c r="W127" s="599"/>
      <c r="X127" s="599"/>
      <c r="Y127" s="599"/>
      <c r="Z127" s="599"/>
      <c r="AA127" s="599"/>
      <c r="AB127" s="599"/>
      <c r="AC127" s="599"/>
      <c r="AD127" s="599"/>
      <c r="AE127" s="599"/>
      <c r="AF127" s="599"/>
      <c r="AG127" s="599"/>
      <c r="AH127" s="599"/>
      <c r="AI127" s="599"/>
      <c r="AJ127" s="599"/>
      <c r="AK127" s="599"/>
      <c r="AL127" s="599"/>
      <c r="AM127" s="599"/>
      <c r="AN127" s="599"/>
      <c r="AO127" s="599"/>
      <c r="AP127" s="599"/>
      <c r="AQ127" s="599"/>
      <c r="AR127" s="599"/>
      <c r="AS127" s="599"/>
      <c r="AT127" s="599"/>
      <c r="AU127" s="599"/>
      <c r="AV127" s="599"/>
      <c r="AW127" s="599"/>
      <c r="AX127" s="599"/>
      <c r="AY127" s="599"/>
      <c r="AZ127" s="599"/>
      <c r="BA127" s="599"/>
      <c r="BB127" s="599"/>
      <c r="BC127" s="599"/>
      <c r="BD127" s="599"/>
      <c r="BE127" s="599"/>
      <c r="BF127" s="599"/>
      <c r="BG127" s="599"/>
      <c r="BH127" s="599"/>
      <c r="BI127" s="599"/>
      <c r="BJ127" s="599"/>
      <c r="BK127" s="599"/>
      <c r="BL127" s="599"/>
      <c r="BM127" s="599"/>
      <c r="BN127" s="599"/>
      <c r="BO127" s="599"/>
      <c r="BP127" s="599"/>
      <c r="BQ127" s="599"/>
      <c r="BR127" s="599"/>
      <c r="BS127" s="599"/>
      <c r="BT127" s="599"/>
    </row>
    <row r="128" spans="1:72" s="600" customFormat="1" ht="15.75" customHeight="1" x14ac:dyDescent="0.2">
      <c r="A128" s="337"/>
      <c r="B128" s="338"/>
      <c r="C128" s="356"/>
      <c r="D128" s="339"/>
      <c r="E128" s="339" t="s">
        <v>364</v>
      </c>
      <c r="F128" s="349" t="s">
        <v>329</v>
      </c>
      <c r="G128" s="350">
        <f>7396+8670+6065+4705+6442-15716.29</f>
        <v>17561.71</v>
      </c>
      <c r="H128" s="599"/>
      <c r="I128" s="599"/>
      <c r="J128" s="599"/>
      <c r="K128" s="599"/>
      <c r="L128" s="599"/>
      <c r="M128" s="599"/>
      <c r="N128" s="599"/>
      <c r="O128" s="599"/>
      <c r="P128" s="599"/>
      <c r="Q128" s="599"/>
      <c r="R128" s="599"/>
      <c r="S128" s="599"/>
      <c r="T128" s="599"/>
      <c r="U128" s="599"/>
      <c r="V128" s="599"/>
      <c r="W128" s="599"/>
      <c r="X128" s="599"/>
      <c r="Y128" s="599"/>
      <c r="Z128" s="599"/>
      <c r="AA128" s="599"/>
      <c r="AB128" s="599"/>
      <c r="AC128" s="599"/>
      <c r="AD128" s="599"/>
      <c r="AE128" s="599"/>
      <c r="AF128" s="599"/>
      <c r="AG128" s="599"/>
      <c r="AH128" s="599"/>
      <c r="AI128" s="599"/>
      <c r="AJ128" s="599"/>
      <c r="AK128" s="599"/>
      <c r="AL128" s="599"/>
      <c r="AM128" s="599"/>
      <c r="AN128" s="599"/>
      <c r="AO128" s="599"/>
      <c r="AP128" s="599"/>
      <c r="AQ128" s="599"/>
      <c r="AR128" s="599"/>
      <c r="AS128" s="599"/>
      <c r="AT128" s="599"/>
      <c r="AU128" s="599"/>
      <c r="AV128" s="599"/>
      <c r="AW128" s="599"/>
      <c r="AX128" s="599"/>
      <c r="AY128" s="599"/>
      <c r="AZ128" s="599"/>
      <c r="BA128" s="599"/>
      <c r="BB128" s="599"/>
      <c r="BC128" s="599"/>
      <c r="BD128" s="599"/>
      <c r="BE128" s="599"/>
      <c r="BF128" s="599"/>
      <c r="BG128" s="599"/>
      <c r="BH128" s="599"/>
      <c r="BI128" s="599"/>
      <c r="BJ128" s="599"/>
      <c r="BK128" s="599"/>
      <c r="BL128" s="599"/>
      <c r="BM128" s="599"/>
      <c r="BN128" s="599"/>
      <c r="BO128" s="599"/>
      <c r="BP128" s="599"/>
      <c r="BQ128" s="599"/>
      <c r="BR128" s="599"/>
      <c r="BS128" s="599"/>
      <c r="BT128" s="599"/>
    </row>
    <row r="129" spans="1:72" s="600" customFormat="1" ht="15.75" customHeight="1" x14ac:dyDescent="0.2">
      <c r="A129" s="351"/>
      <c r="B129" s="352"/>
      <c r="C129" s="353"/>
      <c r="D129" s="340"/>
      <c r="E129" s="340" t="s">
        <v>338</v>
      </c>
      <c r="F129" s="342" t="s">
        <v>329</v>
      </c>
      <c r="G129" s="354">
        <f>1808+2118+1483+650+844-3086.71</f>
        <v>3816.29</v>
      </c>
      <c r="H129" s="599"/>
      <c r="I129" s="599"/>
      <c r="J129" s="599"/>
      <c r="K129" s="599"/>
      <c r="L129" s="599"/>
      <c r="M129" s="599"/>
      <c r="N129" s="599"/>
      <c r="O129" s="599"/>
      <c r="P129" s="599"/>
      <c r="Q129" s="599"/>
      <c r="R129" s="599"/>
      <c r="S129" s="599"/>
      <c r="T129" s="599"/>
      <c r="U129" s="599"/>
      <c r="V129" s="599"/>
      <c r="W129" s="599"/>
      <c r="X129" s="599"/>
      <c r="Y129" s="599"/>
      <c r="Z129" s="599"/>
      <c r="AA129" s="599"/>
      <c r="AB129" s="599"/>
      <c r="AC129" s="599"/>
      <c r="AD129" s="599"/>
      <c r="AE129" s="599"/>
      <c r="AF129" s="599"/>
      <c r="AG129" s="599"/>
      <c r="AH129" s="599"/>
      <c r="AI129" s="599"/>
      <c r="AJ129" s="599"/>
      <c r="AK129" s="599"/>
      <c r="AL129" s="599"/>
      <c r="AM129" s="599"/>
      <c r="AN129" s="599"/>
      <c r="AO129" s="599"/>
      <c r="AP129" s="599"/>
      <c r="AQ129" s="599"/>
      <c r="AR129" s="599"/>
      <c r="AS129" s="599"/>
      <c r="AT129" s="599"/>
      <c r="AU129" s="599"/>
      <c r="AV129" s="599"/>
      <c r="AW129" s="599"/>
      <c r="AX129" s="599"/>
      <c r="AY129" s="599"/>
      <c r="AZ129" s="599"/>
      <c r="BA129" s="599"/>
      <c r="BB129" s="599"/>
      <c r="BC129" s="599"/>
      <c r="BD129" s="599"/>
      <c r="BE129" s="599"/>
      <c r="BF129" s="599"/>
      <c r="BG129" s="599"/>
      <c r="BH129" s="599"/>
      <c r="BI129" s="599"/>
      <c r="BJ129" s="599"/>
      <c r="BK129" s="599"/>
      <c r="BL129" s="599"/>
      <c r="BM129" s="599"/>
      <c r="BN129" s="599"/>
      <c r="BO129" s="599"/>
      <c r="BP129" s="599"/>
      <c r="BQ129" s="599"/>
      <c r="BR129" s="599"/>
      <c r="BS129" s="599"/>
      <c r="BT129" s="599"/>
    </row>
    <row r="130" spans="1:72" s="600" customFormat="1" ht="15.75" customHeight="1" x14ac:dyDescent="0.2">
      <c r="A130" s="337"/>
      <c r="B130" s="338"/>
      <c r="C130" s="356"/>
      <c r="D130" s="339"/>
      <c r="E130" s="339" t="s">
        <v>350</v>
      </c>
      <c r="F130" s="349" t="s">
        <v>329</v>
      </c>
      <c r="G130" s="350">
        <f>6580+470-1160</f>
        <v>5890</v>
      </c>
      <c r="H130" s="599"/>
      <c r="I130" s="599"/>
      <c r="J130" s="599"/>
      <c r="K130" s="599"/>
      <c r="L130" s="599"/>
      <c r="M130" s="599"/>
      <c r="N130" s="599"/>
      <c r="O130" s="599"/>
      <c r="P130" s="599"/>
      <c r="Q130" s="599"/>
      <c r="R130" s="599"/>
      <c r="S130" s="599"/>
      <c r="T130" s="599"/>
      <c r="U130" s="599"/>
      <c r="V130" s="599"/>
      <c r="W130" s="599"/>
      <c r="X130" s="599"/>
      <c r="Y130" s="599"/>
      <c r="Z130" s="599"/>
      <c r="AA130" s="599"/>
      <c r="AB130" s="599"/>
      <c r="AC130" s="599"/>
      <c r="AD130" s="599"/>
      <c r="AE130" s="599"/>
      <c r="AF130" s="599"/>
      <c r="AG130" s="599"/>
      <c r="AH130" s="599"/>
      <c r="AI130" s="599"/>
      <c r="AJ130" s="599"/>
      <c r="AK130" s="599"/>
      <c r="AL130" s="599"/>
      <c r="AM130" s="599"/>
      <c r="AN130" s="599"/>
      <c r="AO130" s="599"/>
      <c r="AP130" s="599"/>
      <c r="AQ130" s="599"/>
      <c r="AR130" s="599"/>
      <c r="AS130" s="599"/>
      <c r="AT130" s="599"/>
      <c r="AU130" s="599"/>
      <c r="AV130" s="599"/>
      <c r="AW130" s="599"/>
      <c r="AX130" s="599"/>
      <c r="AY130" s="599"/>
      <c r="AZ130" s="599"/>
      <c r="BA130" s="599"/>
      <c r="BB130" s="599"/>
      <c r="BC130" s="599"/>
      <c r="BD130" s="599"/>
      <c r="BE130" s="599"/>
      <c r="BF130" s="599"/>
      <c r="BG130" s="599"/>
      <c r="BH130" s="599"/>
      <c r="BI130" s="599"/>
      <c r="BJ130" s="599"/>
      <c r="BK130" s="599"/>
      <c r="BL130" s="599"/>
      <c r="BM130" s="599"/>
      <c r="BN130" s="599"/>
      <c r="BO130" s="599"/>
      <c r="BP130" s="599"/>
      <c r="BQ130" s="599"/>
      <c r="BR130" s="599"/>
      <c r="BS130" s="599"/>
      <c r="BT130" s="599"/>
    </row>
    <row r="131" spans="1:72" s="600" customFormat="1" ht="6" customHeight="1" x14ac:dyDescent="0.2">
      <c r="A131" s="337"/>
      <c r="B131" s="338"/>
      <c r="C131" s="356"/>
      <c r="D131" s="339"/>
      <c r="E131" s="339"/>
      <c r="F131" s="349"/>
      <c r="G131" s="350"/>
      <c r="H131" s="599"/>
      <c r="I131" s="599"/>
      <c r="J131" s="599"/>
      <c r="K131" s="599"/>
      <c r="L131" s="599"/>
      <c r="M131" s="599"/>
      <c r="N131" s="599"/>
      <c r="O131" s="599"/>
      <c r="P131" s="599"/>
      <c r="Q131" s="599"/>
      <c r="R131" s="599"/>
      <c r="S131" s="599"/>
      <c r="T131" s="599"/>
      <c r="U131" s="599"/>
      <c r="V131" s="599"/>
      <c r="W131" s="599"/>
      <c r="X131" s="599"/>
      <c r="Y131" s="599"/>
      <c r="Z131" s="599"/>
      <c r="AA131" s="599"/>
      <c r="AB131" s="599"/>
      <c r="AC131" s="599"/>
      <c r="AD131" s="599"/>
      <c r="AE131" s="599"/>
      <c r="AF131" s="599"/>
      <c r="AG131" s="599"/>
      <c r="AH131" s="599"/>
      <c r="AI131" s="599"/>
      <c r="AJ131" s="599"/>
      <c r="AK131" s="599"/>
      <c r="AL131" s="599"/>
      <c r="AM131" s="599"/>
      <c r="AN131" s="599"/>
      <c r="AO131" s="599"/>
      <c r="AP131" s="599"/>
      <c r="AQ131" s="599"/>
      <c r="AR131" s="599"/>
      <c r="AS131" s="599"/>
      <c r="AT131" s="599"/>
      <c r="AU131" s="599"/>
      <c r="AV131" s="599"/>
      <c r="AW131" s="599"/>
      <c r="AX131" s="599"/>
      <c r="AY131" s="599"/>
      <c r="AZ131" s="599"/>
      <c r="BA131" s="599"/>
      <c r="BB131" s="599"/>
      <c r="BC131" s="599"/>
      <c r="BD131" s="599"/>
      <c r="BE131" s="599"/>
      <c r="BF131" s="599"/>
      <c r="BG131" s="599"/>
      <c r="BH131" s="599"/>
      <c r="BI131" s="599"/>
      <c r="BJ131" s="599"/>
      <c r="BK131" s="599"/>
      <c r="BL131" s="599"/>
      <c r="BM131" s="599"/>
      <c r="BN131" s="599"/>
      <c r="BO131" s="599"/>
      <c r="BP131" s="599"/>
      <c r="BQ131" s="599"/>
      <c r="BR131" s="599"/>
      <c r="BS131" s="599"/>
      <c r="BT131" s="599"/>
    </row>
    <row r="132" spans="1:72" s="600" customFormat="1" ht="15.75" customHeight="1" x14ac:dyDescent="0.2">
      <c r="A132" s="337"/>
      <c r="B132" s="605" t="s">
        <v>71</v>
      </c>
      <c r="C132" s="339" t="s">
        <v>362</v>
      </c>
      <c r="D132" s="339" t="s">
        <v>369</v>
      </c>
      <c r="E132" s="345" t="s">
        <v>329</v>
      </c>
      <c r="F132" s="346" t="s">
        <v>329</v>
      </c>
      <c r="G132" s="347">
        <f>SUM(G134)</f>
        <v>22220</v>
      </c>
      <c r="H132" s="599"/>
      <c r="I132" s="599"/>
      <c r="J132" s="599"/>
      <c r="K132" s="599"/>
      <c r="L132" s="599"/>
      <c r="M132" s="599"/>
      <c r="N132" s="599"/>
      <c r="O132" s="599"/>
      <c r="P132" s="599"/>
      <c r="Q132" s="599"/>
      <c r="R132" s="599"/>
      <c r="S132" s="599"/>
      <c r="T132" s="599"/>
      <c r="U132" s="599"/>
      <c r="V132" s="599"/>
      <c r="W132" s="599"/>
      <c r="X132" s="599"/>
      <c r="Y132" s="599"/>
      <c r="Z132" s="599"/>
      <c r="AA132" s="599"/>
      <c r="AB132" s="599"/>
      <c r="AC132" s="599"/>
      <c r="AD132" s="599"/>
      <c r="AE132" s="599"/>
      <c r="AF132" s="599"/>
      <c r="AG132" s="599"/>
      <c r="AH132" s="599"/>
      <c r="AI132" s="599"/>
      <c r="AJ132" s="599"/>
      <c r="AK132" s="599"/>
      <c r="AL132" s="599"/>
      <c r="AM132" s="599"/>
      <c r="AN132" s="599"/>
      <c r="AO132" s="599"/>
      <c r="AP132" s="599"/>
      <c r="AQ132" s="599"/>
      <c r="AR132" s="599"/>
      <c r="AS132" s="599"/>
      <c r="AT132" s="599"/>
      <c r="AU132" s="599"/>
      <c r="AV132" s="599"/>
      <c r="AW132" s="599"/>
      <c r="AX132" s="599"/>
      <c r="AY132" s="599"/>
      <c r="AZ132" s="599"/>
      <c r="BA132" s="599"/>
      <c r="BB132" s="599"/>
      <c r="BC132" s="599"/>
      <c r="BD132" s="599"/>
      <c r="BE132" s="599"/>
      <c r="BF132" s="599"/>
      <c r="BG132" s="599"/>
      <c r="BH132" s="599"/>
      <c r="BI132" s="599"/>
      <c r="BJ132" s="599"/>
      <c r="BK132" s="599"/>
      <c r="BL132" s="599"/>
      <c r="BM132" s="599"/>
      <c r="BN132" s="599"/>
      <c r="BO132" s="599"/>
      <c r="BP132" s="599"/>
      <c r="BQ132" s="599"/>
      <c r="BR132" s="599"/>
      <c r="BS132" s="599"/>
      <c r="BT132" s="599"/>
    </row>
    <row r="133" spans="1:72" s="600" customFormat="1" ht="6.75" customHeight="1" x14ac:dyDescent="0.2">
      <c r="A133" s="337"/>
      <c r="B133" s="338"/>
      <c r="C133" s="356"/>
      <c r="D133" s="339"/>
      <c r="E133" s="339"/>
      <c r="F133" s="349"/>
      <c r="G133" s="350"/>
      <c r="H133" s="599"/>
      <c r="I133" s="599"/>
      <c r="J133" s="599"/>
      <c r="K133" s="599"/>
      <c r="L133" s="599"/>
      <c r="M133" s="599"/>
      <c r="N133" s="599"/>
      <c r="O133" s="599"/>
      <c r="P133" s="599"/>
      <c r="Q133" s="599"/>
      <c r="R133" s="599"/>
      <c r="S133" s="599"/>
      <c r="T133" s="599"/>
      <c r="U133" s="599"/>
      <c r="V133" s="599"/>
      <c r="W133" s="599"/>
      <c r="X133" s="599"/>
      <c r="Y133" s="599"/>
      <c r="Z133" s="599"/>
      <c r="AA133" s="599"/>
      <c r="AB133" s="599"/>
      <c r="AC133" s="599"/>
      <c r="AD133" s="599"/>
      <c r="AE133" s="599"/>
      <c r="AF133" s="599"/>
      <c r="AG133" s="599"/>
      <c r="AH133" s="599"/>
      <c r="AI133" s="599"/>
      <c r="AJ133" s="599"/>
      <c r="AK133" s="599"/>
      <c r="AL133" s="599"/>
      <c r="AM133" s="599"/>
      <c r="AN133" s="599"/>
      <c r="AO133" s="599"/>
      <c r="AP133" s="599"/>
      <c r="AQ133" s="599"/>
      <c r="AR133" s="599"/>
      <c r="AS133" s="599"/>
      <c r="AT133" s="599"/>
      <c r="AU133" s="599"/>
      <c r="AV133" s="599"/>
      <c r="AW133" s="599"/>
      <c r="AX133" s="599"/>
      <c r="AY133" s="599"/>
      <c r="AZ133" s="599"/>
      <c r="BA133" s="599"/>
      <c r="BB133" s="599"/>
      <c r="BC133" s="599"/>
      <c r="BD133" s="599"/>
      <c r="BE133" s="599"/>
      <c r="BF133" s="599"/>
      <c r="BG133" s="599"/>
      <c r="BH133" s="599"/>
      <c r="BI133" s="599"/>
      <c r="BJ133" s="599"/>
      <c r="BK133" s="599"/>
      <c r="BL133" s="599"/>
      <c r="BM133" s="599"/>
      <c r="BN133" s="599"/>
      <c r="BO133" s="599"/>
      <c r="BP133" s="599"/>
      <c r="BQ133" s="599"/>
      <c r="BR133" s="599"/>
      <c r="BS133" s="599"/>
      <c r="BT133" s="599"/>
    </row>
    <row r="134" spans="1:72" s="600" customFormat="1" ht="15.75" customHeight="1" x14ac:dyDescent="0.2">
      <c r="A134" s="337"/>
      <c r="B134" s="338"/>
      <c r="C134" s="356"/>
      <c r="D134" s="339"/>
      <c r="E134" s="601"/>
      <c r="F134" s="602"/>
      <c r="G134" s="603">
        <f>SUM(G135:G139)</f>
        <v>22220</v>
      </c>
      <c r="H134" s="599"/>
      <c r="I134" s="599"/>
      <c r="J134" s="599"/>
      <c r="K134" s="599"/>
      <c r="L134" s="599"/>
      <c r="M134" s="599"/>
      <c r="N134" s="599"/>
      <c r="O134" s="599"/>
      <c r="P134" s="599"/>
      <c r="Q134" s="599"/>
      <c r="R134" s="599"/>
      <c r="S134" s="599"/>
      <c r="T134" s="599"/>
      <c r="U134" s="599"/>
      <c r="V134" s="599"/>
      <c r="W134" s="599"/>
      <c r="X134" s="599"/>
      <c r="Y134" s="599"/>
      <c r="Z134" s="599"/>
      <c r="AA134" s="599"/>
      <c r="AB134" s="599"/>
      <c r="AC134" s="599"/>
      <c r="AD134" s="599"/>
      <c r="AE134" s="599"/>
      <c r="AF134" s="599"/>
      <c r="AG134" s="599"/>
      <c r="AH134" s="599"/>
      <c r="AI134" s="599"/>
      <c r="AJ134" s="599"/>
      <c r="AK134" s="599"/>
      <c r="AL134" s="599"/>
      <c r="AM134" s="599"/>
      <c r="AN134" s="599"/>
      <c r="AO134" s="599"/>
      <c r="AP134" s="599"/>
      <c r="AQ134" s="599"/>
      <c r="AR134" s="599"/>
      <c r="AS134" s="599"/>
      <c r="AT134" s="599"/>
      <c r="AU134" s="599"/>
      <c r="AV134" s="599"/>
      <c r="AW134" s="599"/>
      <c r="AX134" s="599"/>
      <c r="AY134" s="599"/>
      <c r="AZ134" s="599"/>
      <c r="BA134" s="599"/>
      <c r="BB134" s="599"/>
      <c r="BC134" s="599"/>
      <c r="BD134" s="599"/>
      <c r="BE134" s="599"/>
      <c r="BF134" s="599"/>
      <c r="BG134" s="599"/>
      <c r="BH134" s="599"/>
      <c r="BI134" s="599"/>
      <c r="BJ134" s="599"/>
      <c r="BK134" s="599"/>
      <c r="BL134" s="599"/>
      <c r="BM134" s="599"/>
      <c r="BN134" s="599"/>
      <c r="BO134" s="599"/>
      <c r="BP134" s="599"/>
      <c r="BQ134" s="599"/>
      <c r="BR134" s="599"/>
      <c r="BS134" s="599"/>
      <c r="BT134" s="599"/>
    </row>
    <row r="135" spans="1:72" s="600" customFormat="1" ht="15.75" customHeight="1" x14ac:dyDescent="0.2">
      <c r="A135" s="337"/>
      <c r="B135" s="338"/>
      <c r="C135" s="356"/>
      <c r="D135" s="339"/>
      <c r="E135" s="339" t="s">
        <v>86</v>
      </c>
      <c r="F135" s="349" t="s">
        <v>329</v>
      </c>
      <c r="G135" s="350">
        <f>3683+6308+2889</f>
        <v>12880</v>
      </c>
      <c r="H135" s="599"/>
      <c r="I135" s="599"/>
      <c r="J135" s="599"/>
      <c r="K135" s="599"/>
      <c r="L135" s="599"/>
      <c r="M135" s="599"/>
      <c r="N135" s="599"/>
      <c r="O135" s="599"/>
      <c r="P135" s="599"/>
      <c r="Q135" s="599"/>
      <c r="R135" s="599"/>
      <c r="S135" s="599"/>
      <c r="T135" s="599"/>
      <c r="U135" s="599"/>
      <c r="V135" s="599"/>
      <c r="W135" s="599"/>
      <c r="X135" s="599"/>
      <c r="Y135" s="599"/>
      <c r="Z135" s="599"/>
      <c r="AA135" s="599"/>
      <c r="AB135" s="599"/>
      <c r="AC135" s="599"/>
      <c r="AD135" s="599"/>
      <c r="AE135" s="599"/>
      <c r="AF135" s="599"/>
      <c r="AG135" s="599"/>
      <c r="AH135" s="599"/>
      <c r="AI135" s="599"/>
      <c r="AJ135" s="599"/>
      <c r="AK135" s="599"/>
      <c r="AL135" s="599"/>
      <c r="AM135" s="599"/>
      <c r="AN135" s="599"/>
      <c r="AO135" s="599"/>
      <c r="AP135" s="599"/>
      <c r="AQ135" s="599"/>
      <c r="AR135" s="599"/>
      <c r="AS135" s="599"/>
      <c r="AT135" s="599"/>
      <c r="AU135" s="599"/>
      <c r="AV135" s="599"/>
      <c r="AW135" s="599"/>
      <c r="AX135" s="599"/>
      <c r="AY135" s="599"/>
      <c r="AZ135" s="599"/>
      <c r="BA135" s="599"/>
      <c r="BB135" s="599"/>
      <c r="BC135" s="599"/>
      <c r="BD135" s="599"/>
      <c r="BE135" s="599"/>
      <c r="BF135" s="599"/>
      <c r="BG135" s="599"/>
      <c r="BH135" s="599"/>
      <c r="BI135" s="599"/>
      <c r="BJ135" s="599"/>
      <c r="BK135" s="599"/>
      <c r="BL135" s="599"/>
      <c r="BM135" s="599"/>
      <c r="BN135" s="599"/>
      <c r="BO135" s="599"/>
      <c r="BP135" s="599"/>
      <c r="BQ135" s="599"/>
      <c r="BR135" s="599"/>
      <c r="BS135" s="599"/>
      <c r="BT135" s="599"/>
    </row>
    <row r="136" spans="1:72" s="600" customFormat="1" ht="15.75" customHeight="1" x14ac:dyDescent="0.2">
      <c r="A136" s="337"/>
      <c r="B136" s="338"/>
      <c r="C136" s="356"/>
      <c r="D136" s="339"/>
      <c r="E136" s="339" t="s">
        <v>348</v>
      </c>
      <c r="F136" s="349" t="s">
        <v>329</v>
      </c>
      <c r="G136" s="350">
        <f>200</f>
        <v>200</v>
      </c>
      <c r="H136" s="599"/>
      <c r="I136" s="599"/>
      <c r="J136" s="599"/>
      <c r="K136" s="599"/>
      <c r="L136" s="599"/>
      <c r="M136" s="599"/>
      <c r="N136" s="599"/>
      <c r="O136" s="599"/>
      <c r="P136" s="599"/>
      <c r="Q136" s="599"/>
      <c r="R136" s="599"/>
      <c r="S136" s="599"/>
      <c r="T136" s="599"/>
      <c r="U136" s="599"/>
      <c r="V136" s="599"/>
      <c r="W136" s="599"/>
      <c r="X136" s="599"/>
      <c r="Y136" s="599"/>
      <c r="Z136" s="599"/>
      <c r="AA136" s="599"/>
      <c r="AB136" s="599"/>
      <c r="AC136" s="599"/>
      <c r="AD136" s="599"/>
      <c r="AE136" s="599"/>
      <c r="AF136" s="599"/>
      <c r="AG136" s="599"/>
      <c r="AH136" s="599"/>
      <c r="AI136" s="599"/>
      <c r="AJ136" s="599"/>
      <c r="AK136" s="599"/>
      <c r="AL136" s="599"/>
      <c r="AM136" s="599"/>
      <c r="AN136" s="599"/>
      <c r="AO136" s="599"/>
      <c r="AP136" s="599"/>
      <c r="AQ136" s="599"/>
      <c r="AR136" s="599"/>
      <c r="AS136" s="599"/>
      <c r="AT136" s="599"/>
      <c r="AU136" s="599"/>
      <c r="AV136" s="599"/>
      <c r="AW136" s="599"/>
      <c r="AX136" s="599"/>
      <c r="AY136" s="599"/>
      <c r="AZ136" s="599"/>
      <c r="BA136" s="599"/>
      <c r="BB136" s="599"/>
      <c r="BC136" s="599"/>
      <c r="BD136" s="599"/>
      <c r="BE136" s="599"/>
      <c r="BF136" s="599"/>
      <c r="BG136" s="599"/>
      <c r="BH136" s="599"/>
      <c r="BI136" s="599"/>
      <c r="BJ136" s="599"/>
      <c r="BK136" s="599"/>
      <c r="BL136" s="599"/>
      <c r="BM136" s="599"/>
      <c r="BN136" s="599"/>
      <c r="BO136" s="599"/>
      <c r="BP136" s="599"/>
      <c r="BQ136" s="599"/>
      <c r="BR136" s="599"/>
      <c r="BS136" s="599"/>
      <c r="BT136" s="599"/>
    </row>
    <row r="137" spans="1:72" s="600" customFormat="1" ht="15.75" customHeight="1" x14ac:dyDescent="0.2">
      <c r="A137" s="337"/>
      <c r="B137" s="338"/>
      <c r="C137" s="356"/>
      <c r="D137" s="339"/>
      <c r="E137" s="339" t="s">
        <v>364</v>
      </c>
      <c r="F137" s="349" t="s">
        <v>329</v>
      </c>
      <c r="G137" s="350">
        <f>2060+2334+4352-3000-2166</f>
        <v>3580</v>
      </c>
      <c r="H137" s="599"/>
      <c r="I137" s="599"/>
      <c r="J137" s="599"/>
      <c r="K137" s="599"/>
      <c r="L137" s="599"/>
      <c r="M137" s="599"/>
      <c r="N137" s="599"/>
      <c r="O137" s="599"/>
      <c r="P137" s="599"/>
      <c r="Q137" s="599"/>
      <c r="R137" s="599"/>
      <c r="S137" s="599"/>
      <c r="T137" s="599"/>
      <c r="U137" s="599"/>
      <c r="V137" s="599"/>
      <c r="W137" s="599"/>
      <c r="X137" s="599"/>
      <c r="Y137" s="599"/>
      <c r="Z137" s="599"/>
      <c r="AA137" s="599"/>
      <c r="AB137" s="599"/>
      <c r="AC137" s="599"/>
      <c r="AD137" s="599"/>
      <c r="AE137" s="599"/>
      <c r="AF137" s="599"/>
      <c r="AG137" s="599"/>
      <c r="AH137" s="599"/>
      <c r="AI137" s="599"/>
      <c r="AJ137" s="599"/>
      <c r="AK137" s="599"/>
      <c r="AL137" s="599"/>
      <c r="AM137" s="599"/>
      <c r="AN137" s="599"/>
      <c r="AO137" s="599"/>
      <c r="AP137" s="599"/>
      <c r="AQ137" s="599"/>
      <c r="AR137" s="599"/>
      <c r="AS137" s="599"/>
      <c r="AT137" s="599"/>
      <c r="AU137" s="599"/>
      <c r="AV137" s="599"/>
      <c r="AW137" s="599"/>
      <c r="AX137" s="599"/>
      <c r="AY137" s="599"/>
      <c r="AZ137" s="599"/>
      <c r="BA137" s="599"/>
      <c r="BB137" s="599"/>
      <c r="BC137" s="599"/>
      <c r="BD137" s="599"/>
      <c r="BE137" s="599"/>
      <c r="BF137" s="599"/>
      <c r="BG137" s="599"/>
      <c r="BH137" s="599"/>
      <c r="BI137" s="599"/>
      <c r="BJ137" s="599"/>
      <c r="BK137" s="599"/>
      <c r="BL137" s="599"/>
      <c r="BM137" s="599"/>
      <c r="BN137" s="599"/>
      <c r="BO137" s="599"/>
      <c r="BP137" s="599"/>
      <c r="BQ137" s="599"/>
      <c r="BR137" s="599"/>
      <c r="BS137" s="599"/>
      <c r="BT137" s="599"/>
    </row>
    <row r="138" spans="1:72" s="600" customFormat="1" ht="15.75" customHeight="1" x14ac:dyDescent="0.2">
      <c r="A138" s="337"/>
      <c r="B138" s="338"/>
      <c r="C138" s="356"/>
      <c r="D138" s="339"/>
      <c r="E138" s="339" t="s">
        <v>338</v>
      </c>
      <c r="F138" s="349" t="s">
        <v>329</v>
      </c>
      <c r="G138" s="350">
        <f>504+570+1062-1000-476</f>
        <v>660</v>
      </c>
      <c r="H138" s="599"/>
      <c r="I138" s="599"/>
      <c r="J138" s="599"/>
      <c r="K138" s="599"/>
      <c r="L138" s="599"/>
      <c r="M138" s="599"/>
      <c r="N138" s="599"/>
      <c r="O138" s="599"/>
      <c r="P138" s="599"/>
      <c r="Q138" s="599"/>
      <c r="R138" s="599"/>
      <c r="S138" s="599"/>
      <c r="T138" s="599"/>
      <c r="U138" s="599"/>
      <c r="V138" s="599"/>
      <c r="W138" s="599"/>
      <c r="X138" s="599"/>
      <c r="Y138" s="599"/>
      <c r="Z138" s="599"/>
      <c r="AA138" s="599"/>
      <c r="AB138" s="599"/>
      <c r="AC138" s="599"/>
      <c r="AD138" s="599"/>
      <c r="AE138" s="599"/>
      <c r="AF138" s="599"/>
      <c r="AG138" s="599"/>
      <c r="AH138" s="599"/>
      <c r="AI138" s="599"/>
      <c r="AJ138" s="599"/>
      <c r="AK138" s="599"/>
      <c r="AL138" s="599"/>
      <c r="AM138" s="599"/>
      <c r="AN138" s="599"/>
      <c r="AO138" s="599"/>
      <c r="AP138" s="599"/>
      <c r="AQ138" s="599"/>
      <c r="AR138" s="599"/>
      <c r="AS138" s="599"/>
      <c r="AT138" s="599"/>
      <c r="AU138" s="599"/>
      <c r="AV138" s="599"/>
      <c r="AW138" s="599"/>
      <c r="AX138" s="599"/>
      <c r="AY138" s="599"/>
      <c r="AZ138" s="599"/>
      <c r="BA138" s="599"/>
      <c r="BB138" s="599"/>
      <c r="BC138" s="599"/>
      <c r="BD138" s="599"/>
      <c r="BE138" s="599"/>
      <c r="BF138" s="599"/>
      <c r="BG138" s="599"/>
      <c r="BH138" s="599"/>
      <c r="BI138" s="599"/>
      <c r="BJ138" s="599"/>
      <c r="BK138" s="599"/>
      <c r="BL138" s="599"/>
      <c r="BM138" s="599"/>
      <c r="BN138" s="599"/>
      <c r="BO138" s="599"/>
      <c r="BP138" s="599"/>
      <c r="BQ138" s="599"/>
      <c r="BR138" s="599"/>
      <c r="BS138" s="599"/>
      <c r="BT138" s="599"/>
    </row>
    <row r="139" spans="1:72" s="600" customFormat="1" ht="15.75" customHeight="1" x14ac:dyDescent="0.2">
      <c r="A139" s="337"/>
      <c r="B139" s="338"/>
      <c r="C139" s="356"/>
      <c r="D139" s="339"/>
      <c r="E139" s="339" t="s">
        <v>350</v>
      </c>
      <c r="F139" s="349" t="s">
        <v>329</v>
      </c>
      <c r="G139" s="350">
        <f>4800+100</f>
        <v>4900</v>
      </c>
      <c r="H139" s="599"/>
      <c r="I139" s="599"/>
      <c r="J139" s="599"/>
      <c r="K139" s="599"/>
      <c r="L139" s="599"/>
      <c r="M139" s="599"/>
      <c r="N139" s="599"/>
      <c r="O139" s="599"/>
      <c r="P139" s="599"/>
      <c r="Q139" s="599"/>
      <c r="R139" s="599"/>
      <c r="S139" s="599"/>
      <c r="T139" s="599"/>
      <c r="U139" s="599"/>
      <c r="V139" s="599"/>
      <c r="W139" s="599"/>
      <c r="X139" s="599"/>
      <c r="Y139" s="599"/>
      <c r="Z139" s="599"/>
      <c r="AA139" s="599"/>
      <c r="AB139" s="599"/>
      <c r="AC139" s="599"/>
      <c r="AD139" s="599"/>
      <c r="AE139" s="599"/>
      <c r="AF139" s="599"/>
      <c r="AG139" s="599"/>
      <c r="AH139" s="599"/>
      <c r="AI139" s="599"/>
      <c r="AJ139" s="599"/>
      <c r="AK139" s="599"/>
      <c r="AL139" s="599"/>
      <c r="AM139" s="599"/>
      <c r="AN139" s="599"/>
      <c r="AO139" s="599"/>
      <c r="AP139" s="599"/>
      <c r="AQ139" s="599"/>
      <c r="AR139" s="599"/>
      <c r="AS139" s="599"/>
      <c r="AT139" s="599"/>
      <c r="AU139" s="599"/>
      <c r="AV139" s="599"/>
      <c r="AW139" s="599"/>
      <c r="AX139" s="599"/>
      <c r="AY139" s="599"/>
      <c r="AZ139" s="599"/>
      <c r="BA139" s="599"/>
      <c r="BB139" s="599"/>
      <c r="BC139" s="599"/>
      <c r="BD139" s="599"/>
      <c r="BE139" s="599"/>
      <c r="BF139" s="599"/>
      <c r="BG139" s="599"/>
      <c r="BH139" s="599"/>
      <c r="BI139" s="599"/>
      <c r="BJ139" s="599"/>
      <c r="BK139" s="599"/>
      <c r="BL139" s="599"/>
      <c r="BM139" s="599"/>
      <c r="BN139" s="599"/>
      <c r="BO139" s="599"/>
      <c r="BP139" s="599"/>
      <c r="BQ139" s="599"/>
      <c r="BR139" s="599"/>
      <c r="BS139" s="599"/>
      <c r="BT139" s="599"/>
    </row>
    <row r="140" spans="1:72" s="600" customFormat="1" ht="7.5" customHeight="1" x14ac:dyDescent="0.2">
      <c r="A140" s="337"/>
      <c r="B140" s="338"/>
      <c r="C140" s="356"/>
      <c r="D140" s="339"/>
      <c r="E140" s="340"/>
      <c r="F140" s="342"/>
      <c r="G140" s="354"/>
      <c r="H140" s="599"/>
      <c r="I140" s="599"/>
      <c r="J140" s="599"/>
      <c r="K140" s="599"/>
      <c r="L140" s="599"/>
      <c r="M140" s="599"/>
      <c r="N140" s="599"/>
      <c r="O140" s="599"/>
      <c r="P140" s="599"/>
      <c r="Q140" s="599"/>
      <c r="R140" s="599"/>
      <c r="S140" s="599"/>
      <c r="T140" s="599"/>
      <c r="U140" s="599"/>
      <c r="V140" s="599"/>
      <c r="W140" s="599"/>
      <c r="X140" s="599"/>
      <c r="Y140" s="599"/>
      <c r="Z140" s="599"/>
      <c r="AA140" s="599"/>
      <c r="AB140" s="599"/>
      <c r="AC140" s="599"/>
      <c r="AD140" s="599"/>
      <c r="AE140" s="599"/>
      <c r="AF140" s="599"/>
      <c r="AG140" s="599"/>
      <c r="AH140" s="599"/>
      <c r="AI140" s="599"/>
      <c r="AJ140" s="599"/>
      <c r="AK140" s="599"/>
      <c r="AL140" s="599"/>
      <c r="AM140" s="599"/>
      <c r="AN140" s="599"/>
      <c r="AO140" s="599"/>
      <c r="AP140" s="599"/>
      <c r="AQ140" s="599"/>
      <c r="AR140" s="599"/>
      <c r="AS140" s="599"/>
      <c r="AT140" s="599"/>
      <c r="AU140" s="599"/>
      <c r="AV140" s="599"/>
      <c r="AW140" s="599"/>
      <c r="AX140" s="599"/>
      <c r="AY140" s="599"/>
      <c r="AZ140" s="599"/>
      <c r="BA140" s="599"/>
      <c r="BB140" s="599"/>
      <c r="BC140" s="599"/>
      <c r="BD140" s="599"/>
      <c r="BE140" s="599"/>
      <c r="BF140" s="599"/>
      <c r="BG140" s="599"/>
      <c r="BH140" s="599"/>
      <c r="BI140" s="599"/>
      <c r="BJ140" s="599"/>
      <c r="BK140" s="599"/>
      <c r="BL140" s="599"/>
      <c r="BM140" s="599"/>
      <c r="BN140" s="599"/>
      <c r="BO140" s="599"/>
      <c r="BP140" s="599"/>
      <c r="BQ140" s="599"/>
      <c r="BR140" s="599"/>
      <c r="BS140" s="599"/>
      <c r="BT140" s="599"/>
    </row>
    <row r="141" spans="1:72" s="600" customFormat="1" ht="18.75" customHeight="1" x14ac:dyDescent="0.2">
      <c r="A141" s="337"/>
      <c r="B141" s="605" t="s">
        <v>105</v>
      </c>
      <c r="C141" s="339" t="s">
        <v>362</v>
      </c>
      <c r="D141" s="339" t="s">
        <v>369</v>
      </c>
      <c r="E141" s="340" t="s">
        <v>329</v>
      </c>
      <c r="F141" s="342" t="s">
        <v>329</v>
      </c>
      <c r="G141" s="341">
        <f>SUM(G143)</f>
        <v>6546.67</v>
      </c>
      <c r="H141" s="599"/>
      <c r="I141" s="599"/>
      <c r="J141" s="599"/>
      <c r="K141" s="599"/>
      <c r="L141" s="599"/>
      <c r="M141" s="599"/>
      <c r="N141" s="599"/>
      <c r="O141" s="599"/>
      <c r="P141" s="599"/>
      <c r="Q141" s="599"/>
      <c r="R141" s="599"/>
      <c r="S141" s="599"/>
      <c r="T141" s="599"/>
      <c r="U141" s="599"/>
      <c r="V141" s="599"/>
      <c r="W141" s="599"/>
      <c r="X141" s="599"/>
      <c r="Y141" s="599"/>
      <c r="Z141" s="599"/>
      <c r="AA141" s="599"/>
      <c r="AB141" s="599"/>
      <c r="AC141" s="599"/>
      <c r="AD141" s="599"/>
      <c r="AE141" s="599"/>
      <c r="AF141" s="599"/>
      <c r="AG141" s="599"/>
      <c r="AH141" s="599"/>
      <c r="AI141" s="599"/>
      <c r="AJ141" s="599"/>
      <c r="AK141" s="599"/>
      <c r="AL141" s="599"/>
      <c r="AM141" s="599"/>
      <c r="AN141" s="599"/>
      <c r="AO141" s="599"/>
      <c r="AP141" s="599"/>
      <c r="AQ141" s="599"/>
      <c r="AR141" s="599"/>
      <c r="AS141" s="599"/>
      <c r="AT141" s="599"/>
      <c r="AU141" s="599"/>
      <c r="AV141" s="599"/>
      <c r="AW141" s="599"/>
      <c r="AX141" s="599"/>
      <c r="AY141" s="599"/>
      <c r="AZ141" s="599"/>
      <c r="BA141" s="599"/>
      <c r="BB141" s="599"/>
      <c r="BC141" s="599"/>
      <c r="BD141" s="599"/>
      <c r="BE141" s="599"/>
      <c r="BF141" s="599"/>
      <c r="BG141" s="599"/>
      <c r="BH141" s="599"/>
      <c r="BI141" s="599"/>
      <c r="BJ141" s="599"/>
      <c r="BK141" s="599"/>
      <c r="BL141" s="599"/>
      <c r="BM141" s="599"/>
      <c r="BN141" s="599"/>
      <c r="BO141" s="599"/>
      <c r="BP141" s="599"/>
      <c r="BQ141" s="599"/>
      <c r="BR141" s="599"/>
      <c r="BS141" s="599"/>
      <c r="BT141" s="599"/>
    </row>
    <row r="142" spans="1:72" s="600" customFormat="1" ht="6" customHeight="1" x14ac:dyDescent="0.2">
      <c r="A142" s="337"/>
      <c r="B142" s="338"/>
      <c r="C142" s="356"/>
      <c r="D142" s="339"/>
      <c r="E142" s="339"/>
      <c r="F142" s="349"/>
      <c r="G142" s="350"/>
      <c r="H142" s="599"/>
      <c r="I142" s="599"/>
      <c r="J142" s="599"/>
      <c r="K142" s="599"/>
      <c r="L142" s="599"/>
      <c r="M142" s="599"/>
      <c r="N142" s="599"/>
      <c r="O142" s="599"/>
      <c r="P142" s="599"/>
      <c r="Q142" s="599"/>
      <c r="R142" s="599"/>
      <c r="S142" s="599"/>
      <c r="T142" s="599"/>
      <c r="U142" s="599"/>
      <c r="V142" s="599"/>
      <c r="W142" s="599"/>
      <c r="X142" s="599"/>
      <c r="Y142" s="599"/>
      <c r="Z142" s="599"/>
      <c r="AA142" s="599"/>
      <c r="AB142" s="599"/>
      <c r="AC142" s="599"/>
      <c r="AD142" s="599"/>
      <c r="AE142" s="599"/>
      <c r="AF142" s="599"/>
      <c r="AG142" s="599"/>
      <c r="AH142" s="599"/>
      <c r="AI142" s="599"/>
      <c r="AJ142" s="599"/>
      <c r="AK142" s="599"/>
      <c r="AL142" s="599"/>
      <c r="AM142" s="599"/>
      <c r="AN142" s="599"/>
      <c r="AO142" s="599"/>
      <c r="AP142" s="599"/>
      <c r="AQ142" s="599"/>
      <c r="AR142" s="599"/>
      <c r="AS142" s="599"/>
      <c r="AT142" s="599"/>
      <c r="AU142" s="599"/>
      <c r="AV142" s="599"/>
      <c r="AW142" s="599"/>
      <c r="AX142" s="599"/>
      <c r="AY142" s="599"/>
      <c r="AZ142" s="599"/>
      <c r="BA142" s="599"/>
      <c r="BB142" s="599"/>
      <c r="BC142" s="599"/>
      <c r="BD142" s="599"/>
      <c r="BE142" s="599"/>
      <c r="BF142" s="599"/>
      <c r="BG142" s="599"/>
      <c r="BH142" s="599"/>
      <c r="BI142" s="599"/>
      <c r="BJ142" s="599"/>
      <c r="BK142" s="599"/>
      <c r="BL142" s="599"/>
      <c r="BM142" s="599"/>
      <c r="BN142" s="599"/>
      <c r="BO142" s="599"/>
      <c r="BP142" s="599"/>
      <c r="BQ142" s="599"/>
      <c r="BR142" s="599"/>
      <c r="BS142" s="599"/>
      <c r="BT142" s="599"/>
    </row>
    <row r="143" spans="1:72" s="600" customFormat="1" ht="15.75" customHeight="1" x14ac:dyDescent="0.2">
      <c r="A143" s="337"/>
      <c r="B143" s="338"/>
      <c r="C143" s="356"/>
      <c r="D143" s="339"/>
      <c r="E143" s="601"/>
      <c r="F143" s="602"/>
      <c r="G143" s="603">
        <f>SUM(G144)</f>
        <v>6546.67</v>
      </c>
      <c r="H143" s="599"/>
      <c r="I143" s="599"/>
      <c r="J143" s="599"/>
      <c r="K143" s="599"/>
      <c r="L143" s="599"/>
      <c r="M143" s="599"/>
      <c r="N143" s="599"/>
      <c r="O143" s="599"/>
      <c r="P143" s="599"/>
      <c r="Q143" s="599"/>
      <c r="R143" s="599"/>
      <c r="S143" s="599"/>
      <c r="T143" s="599"/>
      <c r="U143" s="599"/>
      <c r="V143" s="599"/>
      <c r="W143" s="599"/>
      <c r="X143" s="599"/>
      <c r="Y143" s="599"/>
      <c r="Z143" s="599"/>
      <c r="AA143" s="599"/>
      <c r="AB143" s="599"/>
      <c r="AC143" s="599"/>
      <c r="AD143" s="599"/>
      <c r="AE143" s="599"/>
      <c r="AF143" s="599"/>
      <c r="AG143" s="599"/>
      <c r="AH143" s="599"/>
      <c r="AI143" s="599"/>
      <c r="AJ143" s="599"/>
      <c r="AK143" s="599"/>
      <c r="AL143" s="599"/>
      <c r="AM143" s="599"/>
      <c r="AN143" s="599"/>
      <c r="AO143" s="599"/>
      <c r="AP143" s="599"/>
      <c r="AQ143" s="599"/>
      <c r="AR143" s="599"/>
      <c r="AS143" s="599"/>
      <c r="AT143" s="599"/>
      <c r="AU143" s="599"/>
      <c r="AV143" s="599"/>
      <c r="AW143" s="599"/>
      <c r="AX143" s="599"/>
      <c r="AY143" s="599"/>
      <c r="AZ143" s="599"/>
      <c r="BA143" s="599"/>
      <c r="BB143" s="599"/>
      <c r="BC143" s="599"/>
      <c r="BD143" s="599"/>
      <c r="BE143" s="599"/>
      <c r="BF143" s="599"/>
      <c r="BG143" s="599"/>
      <c r="BH143" s="599"/>
      <c r="BI143" s="599"/>
      <c r="BJ143" s="599"/>
      <c r="BK143" s="599"/>
      <c r="BL143" s="599"/>
      <c r="BM143" s="599"/>
      <c r="BN143" s="599"/>
      <c r="BO143" s="599"/>
      <c r="BP143" s="599"/>
      <c r="BQ143" s="599"/>
      <c r="BR143" s="599"/>
      <c r="BS143" s="599"/>
      <c r="BT143" s="599"/>
    </row>
    <row r="144" spans="1:72" s="600" customFormat="1" ht="15.75" customHeight="1" x14ac:dyDescent="0.2">
      <c r="A144" s="337"/>
      <c r="B144" s="338"/>
      <c r="C144" s="356"/>
      <c r="D144" s="339"/>
      <c r="E144" s="339" t="s">
        <v>93</v>
      </c>
      <c r="F144" s="349" t="s">
        <v>329</v>
      </c>
      <c r="G144" s="350">
        <f>741.67+861+776+10353+828+796-8665+856</f>
        <v>6546.67</v>
      </c>
      <c r="H144" s="599"/>
      <c r="I144" s="599"/>
      <c r="J144" s="599"/>
      <c r="K144" s="599"/>
      <c r="L144" s="599"/>
      <c r="M144" s="599"/>
      <c r="N144" s="599"/>
      <c r="O144" s="599"/>
      <c r="P144" s="599"/>
      <c r="Q144" s="599"/>
      <c r="R144" s="599"/>
      <c r="S144" s="599"/>
      <c r="T144" s="599"/>
      <c r="U144" s="599"/>
      <c r="V144" s="599"/>
      <c r="W144" s="599"/>
      <c r="X144" s="599"/>
      <c r="Y144" s="599"/>
      <c r="Z144" s="599"/>
      <c r="AA144" s="599"/>
      <c r="AB144" s="599"/>
      <c r="AC144" s="599"/>
      <c r="AD144" s="599"/>
      <c r="AE144" s="599"/>
      <c r="AF144" s="599"/>
      <c r="AG144" s="599"/>
      <c r="AH144" s="599"/>
      <c r="AI144" s="599"/>
      <c r="AJ144" s="599"/>
      <c r="AK144" s="599"/>
      <c r="AL144" s="599"/>
      <c r="AM144" s="599"/>
      <c r="AN144" s="599"/>
      <c r="AO144" s="599"/>
      <c r="AP144" s="599"/>
      <c r="AQ144" s="599"/>
      <c r="AR144" s="599"/>
      <c r="AS144" s="599"/>
      <c r="AT144" s="599"/>
      <c r="AU144" s="599"/>
      <c r="AV144" s="599"/>
      <c r="AW144" s="599"/>
      <c r="AX144" s="599"/>
      <c r="AY144" s="599"/>
      <c r="AZ144" s="599"/>
      <c r="BA144" s="599"/>
      <c r="BB144" s="599"/>
      <c r="BC144" s="599"/>
      <c r="BD144" s="599"/>
      <c r="BE144" s="599"/>
      <c r="BF144" s="599"/>
      <c r="BG144" s="599"/>
      <c r="BH144" s="599"/>
      <c r="BI144" s="599"/>
      <c r="BJ144" s="599"/>
      <c r="BK144" s="599"/>
      <c r="BL144" s="599"/>
      <c r="BM144" s="599"/>
      <c r="BN144" s="599"/>
      <c r="BO144" s="599"/>
      <c r="BP144" s="599"/>
      <c r="BQ144" s="599"/>
      <c r="BR144" s="599"/>
      <c r="BS144" s="599"/>
      <c r="BT144" s="599"/>
    </row>
    <row r="145" spans="1:72" s="600" customFormat="1" ht="6" customHeight="1" x14ac:dyDescent="0.2">
      <c r="A145" s="337"/>
      <c r="B145" s="338"/>
      <c r="C145" s="356"/>
      <c r="D145" s="339"/>
      <c r="E145" s="340"/>
      <c r="F145" s="342"/>
      <c r="G145" s="354"/>
      <c r="H145" s="599"/>
      <c r="I145" s="599"/>
      <c r="J145" s="599"/>
      <c r="K145" s="599"/>
      <c r="L145" s="599"/>
      <c r="M145" s="599"/>
      <c r="N145" s="599"/>
      <c r="O145" s="599"/>
      <c r="P145" s="599"/>
      <c r="Q145" s="599"/>
      <c r="R145" s="599"/>
      <c r="S145" s="599"/>
      <c r="T145" s="599"/>
      <c r="U145" s="599"/>
      <c r="V145" s="599"/>
      <c r="W145" s="599"/>
      <c r="X145" s="599"/>
      <c r="Y145" s="599"/>
      <c r="Z145" s="599"/>
      <c r="AA145" s="599"/>
      <c r="AB145" s="599"/>
      <c r="AC145" s="599"/>
      <c r="AD145" s="599"/>
      <c r="AE145" s="599"/>
      <c r="AF145" s="599"/>
      <c r="AG145" s="599"/>
      <c r="AH145" s="599"/>
      <c r="AI145" s="599"/>
      <c r="AJ145" s="599"/>
      <c r="AK145" s="599"/>
      <c r="AL145" s="599"/>
      <c r="AM145" s="599"/>
      <c r="AN145" s="599"/>
      <c r="AO145" s="599"/>
      <c r="AP145" s="599"/>
      <c r="AQ145" s="599"/>
      <c r="AR145" s="599"/>
      <c r="AS145" s="599"/>
      <c r="AT145" s="599"/>
      <c r="AU145" s="599"/>
      <c r="AV145" s="599"/>
      <c r="AW145" s="599"/>
      <c r="AX145" s="599"/>
      <c r="AY145" s="599"/>
      <c r="AZ145" s="599"/>
      <c r="BA145" s="599"/>
      <c r="BB145" s="599"/>
      <c r="BC145" s="599"/>
      <c r="BD145" s="599"/>
      <c r="BE145" s="599"/>
      <c r="BF145" s="599"/>
      <c r="BG145" s="599"/>
      <c r="BH145" s="599"/>
      <c r="BI145" s="599"/>
      <c r="BJ145" s="599"/>
      <c r="BK145" s="599"/>
      <c r="BL145" s="599"/>
      <c r="BM145" s="599"/>
      <c r="BN145" s="599"/>
      <c r="BO145" s="599"/>
      <c r="BP145" s="599"/>
      <c r="BQ145" s="599"/>
      <c r="BR145" s="599"/>
      <c r="BS145" s="599"/>
      <c r="BT145" s="599"/>
    </row>
    <row r="146" spans="1:72" s="600" customFormat="1" ht="18.75" customHeight="1" x14ac:dyDescent="0.2">
      <c r="A146" s="337"/>
      <c r="B146" s="605" t="s">
        <v>71</v>
      </c>
      <c r="C146" s="339" t="s">
        <v>362</v>
      </c>
      <c r="D146" s="339" t="s">
        <v>370</v>
      </c>
      <c r="E146" s="340" t="s">
        <v>329</v>
      </c>
      <c r="F146" s="342" t="s">
        <v>329</v>
      </c>
      <c r="G146" s="341">
        <f>SUM(G148)</f>
        <v>131245.75</v>
      </c>
      <c r="H146" s="599"/>
      <c r="I146" s="599"/>
      <c r="J146" s="599"/>
      <c r="K146" s="599"/>
      <c r="L146" s="599"/>
      <c r="M146" s="599"/>
      <c r="N146" s="599"/>
      <c r="O146" s="599"/>
      <c r="P146" s="599"/>
      <c r="Q146" s="599"/>
      <c r="R146" s="599"/>
      <c r="S146" s="599"/>
      <c r="T146" s="599"/>
      <c r="U146" s="599"/>
      <c r="V146" s="599"/>
      <c r="W146" s="599"/>
      <c r="X146" s="599"/>
      <c r="Y146" s="599"/>
      <c r="Z146" s="599"/>
      <c r="AA146" s="599"/>
      <c r="AB146" s="599"/>
      <c r="AC146" s="599"/>
      <c r="AD146" s="599"/>
      <c r="AE146" s="599"/>
      <c r="AF146" s="599"/>
      <c r="AG146" s="599"/>
      <c r="AH146" s="599"/>
      <c r="AI146" s="599"/>
      <c r="AJ146" s="599"/>
      <c r="AK146" s="599"/>
      <c r="AL146" s="599"/>
      <c r="AM146" s="599"/>
      <c r="AN146" s="599"/>
      <c r="AO146" s="599"/>
      <c r="AP146" s="599"/>
      <c r="AQ146" s="599"/>
      <c r="AR146" s="599"/>
      <c r="AS146" s="599"/>
      <c r="AT146" s="599"/>
      <c r="AU146" s="599"/>
      <c r="AV146" s="599"/>
      <c r="AW146" s="599"/>
      <c r="AX146" s="599"/>
      <c r="AY146" s="599"/>
      <c r="AZ146" s="599"/>
      <c r="BA146" s="599"/>
      <c r="BB146" s="599"/>
      <c r="BC146" s="599"/>
      <c r="BD146" s="599"/>
      <c r="BE146" s="599"/>
      <c r="BF146" s="599"/>
      <c r="BG146" s="599"/>
      <c r="BH146" s="599"/>
      <c r="BI146" s="599"/>
      <c r="BJ146" s="599"/>
      <c r="BK146" s="599"/>
      <c r="BL146" s="599"/>
      <c r="BM146" s="599"/>
      <c r="BN146" s="599"/>
      <c r="BO146" s="599"/>
      <c r="BP146" s="599"/>
      <c r="BQ146" s="599"/>
      <c r="BR146" s="599"/>
      <c r="BS146" s="599"/>
      <c r="BT146" s="599"/>
    </row>
    <row r="147" spans="1:72" s="600" customFormat="1" ht="6" customHeight="1" x14ac:dyDescent="0.2">
      <c r="A147" s="337"/>
      <c r="B147" s="338"/>
      <c r="C147" s="356"/>
      <c r="D147" s="339"/>
      <c r="E147" s="339"/>
      <c r="F147" s="349"/>
      <c r="G147" s="350"/>
      <c r="H147" s="599"/>
      <c r="I147" s="599"/>
      <c r="J147" s="599"/>
      <c r="K147" s="599"/>
      <c r="L147" s="599"/>
      <c r="M147" s="599"/>
      <c r="N147" s="599"/>
      <c r="O147" s="599"/>
      <c r="P147" s="599"/>
      <c r="Q147" s="599"/>
      <c r="R147" s="599"/>
      <c r="S147" s="599"/>
      <c r="T147" s="599"/>
      <c r="U147" s="599"/>
      <c r="V147" s="599"/>
      <c r="W147" s="599"/>
      <c r="X147" s="599"/>
      <c r="Y147" s="599"/>
      <c r="Z147" s="599"/>
      <c r="AA147" s="599"/>
      <c r="AB147" s="599"/>
      <c r="AC147" s="599"/>
      <c r="AD147" s="599"/>
      <c r="AE147" s="599"/>
      <c r="AF147" s="599"/>
      <c r="AG147" s="599"/>
      <c r="AH147" s="599"/>
      <c r="AI147" s="599"/>
      <c r="AJ147" s="599"/>
      <c r="AK147" s="599"/>
      <c r="AL147" s="599"/>
      <c r="AM147" s="599"/>
      <c r="AN147" s="599"/>
      <c r="AO147" s="599"/>
      <c r="AP147" s="599"/>
      <c r="AQ147" s="599"/>
      <c r="AR147" s="599"/>
      <c r="AS147" s="599"/>
      <c r="AT147" s="599"/>
      <c r="AU147" s="599"/>
      <c r="AV147" s="599"/>
      <c r="AW147" s="599"/>
      <c r="AX147" s="599"/>
      <c r="AY147" s="599"/>
      <c r="AZ147" s="599"/>
      <c r="BA147" s="599"/>
      <c r="BB147" s="599"/>
      <c r="BC147" s="599"/>
      <c r="BD147" s="599"/>
      <c r="BE147" s="599"/>
      <c r="BF147" s="599"/>
      <c r="BG147" s="599"/>
      <c r="BH147" s="599"/>
      <c r="BI147" s="599"/>
      <c r="BJ147" s="599"/>
      <c r="BK147" s="599"/>
      <c r="BL147" s="599"/>
      <c r="BM147" s="599"/>
      <c r="BN147" s="599"/>
      <c r="BO147" s="599"/>
      <c r="BP147" s="599"/>
      <c r="BQ147" s="599"/>
      <c r="BR147" s="599"/>
      <c r="BS147" s="599"/>
      <c r="BT147" s="599"/>
    </row>
    <row r="148" spans="1:72" s="600" customFormat="1" ht="15.75" customHeight="1" x14ac:dyDescent="0.2">
      <c r="A148" s="337"/>
      <c r="B148" s="338"/>
      <c r="C148" s="356"/>
      <c r="D148" s="339"/>
      <c r="E148" s="601"/>
      <c r="F148" s="602"/>
      <c r="G148" s="603">
        <f>SUM(G149:G153)</f>
        <v>131245.75</v>
      </c>
      <c r="H148" s="599"/>
      <c r="I148" s="599"/>
      <c r="J148" s="599"/>
      <c r="K148" s="599"/>
      <c r="L148" s="599"/>
      <c r="M148" s="599"/>
      <c r="N148" s="599"/>
      <c r="O148" s="599"/>
      <c r="P148" s="599"/>
      <c r="Q148" s="599"/>
      <c r="R148" s="599"/>
      <c r="S148" s="599"/>
      <c r="T148" s="599"/>
      <c r="U148" s="599"/>
      <c r="V148" s="599"/>
      <c r="W148" s="599"/>
      <c r="X148" s="599"/>
      <c r="Y148" s="599"/>
      <c r="Z148" s="599"/>
      <c r="AA148" s="599"/>
      <c r="AB148" s="599"/>
      <c r="AC148" s="599"/>
      <c r="AD148" s="599"/>
      <c r="AE148" s="599"/>
      <c r="AF148" s="599"/>
      <c r="AG148" s="599"/>
      <c r="AH148" s="599"/>
      <c r="AI148" s="599"/>
      <c r="AJ148" s="599"/>
      <c r="AK148" s="599"/>
      <c r="AL148" s="599"/>
      <c r="AM148" s="599"/>
      <c r="AN148" s="599"/>
      <c r="AO148" s="599"/>
      <c r="AP148" s="599"/>
      <c r="AQ148" s="599"/>
      <c r="AR148" s="599"/>
      <c r="AS148" s="599"/>
      <c r="AT148" s="599"/>
      <c r="AU148" s="599"/>
      <c r="AV148" s="599"/>
      <c r="AW148" s="599"/>
      <c r="AX148" s="599"/>
      <c r="AY148" s="599"/>
      <c r="AZ148" s="599"/>
      <c r="BA148" s="599"/>
      <c r="BB148" s="599"/>
      <c r="BC148" s="599"/>
      <c r="BD148" s="599"/>
      <c r="BE148" s="599"/>
      <c r="BF148" s="599"/>
      <c r="BG148" s="599"/>
      <c r="BH148" s="599"/>
      <c r="BI148" s="599"/>
      <c r="BJ148" s="599"/>
      <c r="BK148" s="599"/>
      <c r="BL148" s="599"/>
      <c r="BM148" s="599"/>
      <c r="BN148" s="599"/>
      <c r="BO148" s="599"/>
      <c r="BP148" s="599"/>
      <c r="BQ148" s="599"/>
      <c r="BR148" s="599"/>
      <c r="BS148" s="599"/>
      <c r="BT148" s="599"/>
    </row>
    <row r="149" spans="1:72" s="600" customFormat="1" ht="15.75" customHeight="1" x14ac:dyDescent="0.2">
      <c r="A149" s="337"/>
      <c r="B149" s="338"/>
      <c r="C149" s="356"/>
      <c r="D149" s="339"/>
      <c r="E149" s="339" t="s">
        <v>86</v>
      </c>
      <c r="F149" s="349" t="s">
        <v>329</v>
      </c>
      <c r="G149" s="350">
        <f>14616.75+1000+7819+34972+11749</f>
        <v>70156.75</v>
      </c>
      <c r="H149" s="599"/>
      <c r="I149" s="599"/>
      <c r="J149" s="599"/>
      <c r="K149" s="599"/>
      <c r="L149" s="599"/>
      <c r="M149" s="599"/>
      <c r="N149" s="599"/>
      <c r="O149" s="599"/>
      <c r="P149" s="599"/>
      <c r="Q149" s="599"/>
      <c r="R149" s="599"/>
      <c r="S149" s="599"/>
      <c r="T149" s="599"/>
      <c r="U149" s="599"/>
      <c r="V149" s="599"/>
      <c r="W149" s="599"/>
      <c r="X149" s="599"/>
      <c r="Y149" s="599"/>
      <c r="Z149" s="599"/>
      <c r="AA149" s="599"/>
      <c r="AB149" s="599"/>
      <c r="AC149" s="599"/>
      <c r="AD149" s="599"/>
      <c r="AE149" s="599"/>
      <c r="AF149" s="599"/>
      <c r="AG149" s="599"/>
      <c r="AH149" s="599"/>
      <c r="AI149" s="599"/>
      <c r="AJ149" s="599"/>
      <c r="AK149" s="599"/>
      <c r="AL149" s="599"/>
      <c r="AM149" s="599"/>
      <c r="AN149" s="599"/>
      <c r="AO149" s="599"/>
      <c r="AP149" s="599"/>
      <c r="AQ149" s="599"/>
      <c r="AR149" s="599"/>
      <c r="AS149" s="599"/>
      <c r="AT149" s="599"/>
      <c r="AU149" s="599"/>
      <c r="AV149" s="599"/>
      <c r="AW149" s="599"/>
      <c r="AX149" s="599"/>
      <c r="AY149" s="599"/>
      <c r="AZ149" s="599"/>
      <c r="BA149" s="599"/>
      <c r="BB149" s="599"/>
      <c r="BC149" s="599"/>
      <c r="BD149" s="599"/>
      <c r="BE149" s="599"/>
      <c r="BF149" s="599"/>
      <c r="BG149" s="599"/>
      <c r="BH149" s="599"/>
      <c r="BI149" s="599"/>
      <c r="BJ149" s="599"/>
      <c r="BK149" s="599"/>
      <c r="BL149" s="599"/>
      <c r="BM149" s="599"/>
      <c r="BN149" s="599"/>
      <c r="BO149" s="599"/>
      <c r="BP149" s="599"/>
      <c r="BQ149" s="599"/>
      <c r="BR149" s="599"/>
      <c r="BS149" s="599"/>
      <c r="BT149" s="599"/>
    </row>
    <row r="150" spans="1:72" s="600" customFormat="1" ht="15.75" customHeight="1" x14ac:dyDescent="0.2">
      <c r="A150" s="337"/>
      <c r="B150" s="338"/>
      <c r="C150" s="356"/>
      <c r="D150" s="339"/>
      <c r="E150" s="339" t="s">
        <v>348</v>
      </c>
      <c r="F150" s="349" t="s">
        <v>329</v>
      </c>
      <c r="G150" s="350">
        <f>530+150-100</f>
        <v>580</v>
      </c>
      <c r="H150" s="599"/>
      <c r="I150" s="599"/>
      <c r="J150" s="599"/>
      <c r="K150" s="599"/>
      <c r="L150" s="599"/>
      <c r="M150" s="599"/>
      <c r="N150" s="599"/>
      <c r="O150" s="599"/>
      <c r="P150" s="599"/>
      <c r="Q150" s="599"/>
      <c r="R150" s="599"/>
      <c r="S150" s="599"/>
      <c r="T150" s="599"/>
      <c r="U150" s="599"/>
      <c r="V150" s="599"/>
      <c r="W150" s="599"/>
      <c r="X150" s="599"/>
      <c r="Y150" s="599"/>
      <c r="Z150" s="599"/>
      <c r="AA150" s="599"/>
      <c r="AB150" s="599"/>
      <c r="AC150" s="599"/>
      <c r="AD150" s="599"/>
      <c r="AE150" s="599"/>
      <c r="AF150" s="599"/>
      <c r="AG150" s="599"/>
      <c r="AH150" s="599"/>
      <c r="AI150" s="599"/>
      <c r="AJ150" s="599"/>
      <c r="AK150" s="599"/>
      <c r="AL150" s="599"/>
      <c r="AM150" s="599"/>
      <c r="AN150" s="599"/>
      <c r="AO150" s="599"/>
      <c r="AP150" s="599"/>
      <c r="AQ150" s="599"/>
      <c r="AR150" s="599"/>
      <c r="AS150" s="599"/>
      <c r="AT150" s="599"/>
      <c r="AU150" s="599"/>
      <c r="AV150" s="599"/>
      <c r="AW150" s="599"/>
      <c r="AX150" s="599"/>
      <c r="AY150" s="599"/>
      <c r="AZ150" s="599"/>
      <c r="BA150" s="599"/>
      <c r="BB150" s="599"/>
      <c r="BC150" s="599"/>
      <c r="BD150" s="599"/>
      <c r="BE150" s="599"/>
      <c r="BF150" s="599"/>
      <c r="BG150" s="599"/>
      <c r="BH150" s="599"/>
      <c r="BI150" s="599"/>
      <c r="BJ150" s="599"/>
      <c r="BK150" s="599"/>
      <c r="BL150" s="599"/>
      <c r="BM150" s="599"/>
      <c r="BN150" s="599"/>
      <c r="BO150" s="599"/>
      <c r="BP150" s="599"/>
      <c r="BQ150" s="599"/>
      <c r="BR150" s="599"/>
      <c r="BS150" s="599"/>
      <c r="BT150" s="599"/>
    </row>
    <row r="151" spans="1:72" s="600" customFormat="1" ht="15.75" customHeight="1" x14ac:dyDescent="0.2">
      <c r="A151" s="337"/>
      <c r="B151" s="338"/>
      <c r="C151" s="356"/>
      <c r="D151" s="339"/>
      <c r="E151" s="339" t="s">
        <v>364</v>
      </c>
      <c r="F151" s="349" t="s">
        <v>329</v>
      </c>
      <c r="G151" s="350">
        <f>8879+10058+9065+2972+14457+8521-15798</f>
        <v>38154</v>
      </c>
      <c r="H151" s="599"/>
      <c r="I151" s="599"/>
      <c r="J151" s="599"/>
      <c r="K151" s="599"/>
      <c r="L151" s="599"/>
      <c r="M151" s="599"/>
      <c r="N151" s="599"/>
      <c r="O151" s="599"/>
      <c r="P151" s="599"/>
      <c r="Q151" s="599"/>
      <c r="R151" s="599"/>
      <c r="S151" s="599"/>
      <c r="T151" s="599"/>
      <c r="U151" s="599"/>
      <c r="V151" s="599"/>
      <c r="W151" s="599"/>
      <c r="X151" s="599"/>
      <c r="Y151" s="599"/>
      <c r="Z151" s="599"/>
      <c r="AA151" s="599"/>
      <c r="AB151" s="599"/>
      <c r="AC151" s="599"/>
      <c r="AD151" s="599"/>
      <c r="AE151" s="599"/>
      <c r="AF151" s="599"/>
      <c r="AG151" s="599"/>
      <c r="AH151" s="599"/>
      <c r="AI151" s="599"/>
      <c r="AJ151" s="599"/>
      <c r="AK151" s="599"/>
      <c r="AL151" s="599"/>
      <c r="AM151" s="599"/>
      <c r="AN151" s="599"/>
      <c r="AO151" s="599"/>
      <c r="AP151" s="599"/>
      <c r="AQ151" s="599"/>
      <c r="AR151" s="599"/>
      <c r="AS151" s="599"/>
      <c r="AT151" s="599"/>
      <c r="AU151" s="599"/>
      <c r="AV151" s="599"/>
      <c r="AW151" s="599"/>
      <c r="AX151" s="599"/>
      <c r="AY151" s="599"/>
      <c r="AZ151" s="599"/>
      <c r="BA151" s="599"/>
      <c r="BB151" s="599"/>
      <c r="BC151" s="599"/>
      <c r="BD151" s="599"/>
      <c r="BE151" s="599"/>
      <c r="BF151" s="599"/>
      <c r="BG151" s="599"/>
      <c r="BH151" s="599"/>
      <c r="BI151" s="599"/>
      <c r="BJ151" s="599"/>
      <c r="BK151" s="599"/>
      <c r="BL151" s="599"/>
      <c r="BM151" s="599"/>
      <c r="BN151" s="599"/>
      <c r="BO151" s="599"/>
      <c r="BP151" s="599"/>
      <c r="BQ151" s="599"/>
      <c r="BR151" s="599"/>
      <c r="BS151" s="599"/>
      <c r="BT151" s="599"/>
    </row>
    <row r="152" spans="1:72" s="600" customFormat="1" ht="15.75" customHeight="1" x14ac:dyDescent="0.2">
      <c r="A152" s="337"/>
      <c r="B152" s="338"/>
      <c r="C152" s="356"/>
      <c r="D152" s="339"/>
      <c r="E152" s="339" t="s">
        <v>338</v>
      </c>
      <c r="F152" s="349" t="s">
        <v>329</v>
      </c>
      <c r="G152" s="350">
        <f>2170+2458+2216+1210+3500-3699</f>
        <v>7855</v>
      </c>
      <c r="H152" s="599"/>
      <c r="I152" s="599"/>
      <c r="J152" s="599"/>
      <c r="K152" s="599"/>
      <c r="L152" s="599"/>
      <c r="M152" s="599"/>
      <c r="N152" s="599"/>
      <c r="O152" s="599"/>
      <c r="P152" s="599"/>
      <c r="Q152" s="599"/>
      <c r="R152" s="599"/>
      <c r="S152" s="599"/>
      <c r="T152" s="599"/>
      <c r="U152" s="599"/>
      <c r="V152" s="599"/>
      <c r="W152" s="599"/>
      <c r="X152" s="599"/>
      <c r="Y152" s="599"/>
      <c r="Z152" s="599"/>
      <c r="AA152" s="599"/>
      <c r="AB152" s="599"/>
      <c r="AC152" s="599"/>
      <c r="AD152" s="599"/>
      <c r="AE152" s="599"/>
      <c r="AF152" s="599"/>
      <c r="AG152" s="599"/>
      <c r="AH152" s="599"/>
      <c r="AI152" s="599"/>
      <c r="AJ152" s="599"/>
      <c r="AK152" s="599"/>
      <c r="AL152" s="599"/>
      <c r="AM152" s="599"/>
      <c r="AN152" s="599"/>
      <c r="AO152" s="599"/>
      <c r="AP152" s="599"/>
      <c r="AQ152" s="599"/>
      <c r="AR152" s="599"/>
      <c r="AS152" s="599"/>
      <c r="AT152" s="599"/>
      <c r="AU152" s="599"/>
      <c r="AV152" s="599"/>
      <c r="AW152" s="599"/>
      <c r="AX152" s="599"/>
      <c r="AY152" s="599"/>
      <c r="AZ152" s="599"/>
      <c r="BA152" s="599"/>
      <c r="BB152" s="599"/>
      <c r="BC152" s="599"/>
      <c r="BD152" s="599"/>
      <c r="BE152" s="599"/>
      <c r="BF152" s="599"/>
      <c r="BG152" s="599"/>
      <c r="BH152" s="599"/>
      <c r="BI152" s="599"/>
      <c r="BJ152" s="599"/>
      <c r="BK152" s="599"/>
      <c r="BL152" s="599"/>
      <c r="BM152" s="599"/>
      <c r="BN152" s="599"/>
      <c r="BO152" s="599"/>
      <c r="BP152" s="599"/>
      <c r="BQ152" s="599"/>
      <c r="BR152" s="599"/>
      <c r="BS152" s="599"/>
      <c r="BT152" s="599"/>
    </row>
    <row r="153" spans="1:72" s="600" customFormat="1" ht="15.75" customHeight="1" x14ac:dyDescent="0.2">
      <c r="A153" s="337"/>
      <c r="B153" s="338"/>
      <c r="C153" s="356"/>
      <c r="D153" s="339"/>
      <c r="E153" s="339" t="s">
        <v>350</v>
      </c>
      <c r="F153" s="349" t="s">
        <v>329</v>
      </c>
      <c r="G153" s="350">
        <f>8946+9554-4000</f>
        <v>14500</v>
      </c>
      <c r="H153" s="599"/>
      <c r="I153" s="599"/>
      <c r="J153" s="599"/>
      <c r="K153" s="599"/>
      <c r="L153" s="599"/>
      <c r="M153" s="599"/>
      <c r="N153" s="599"/>
      <c r="O153" s="599"/>
      <c r="P153" s="599"/>
      <c r="Q153" s="599"/>
      <c r="R153" s="599"/>
      <c r="S153" s="599"/>
      <c r="T153" s="599"/>
      <c r="U153" s="599"/>
      <c r="V153" s="599"/>
      <c r="W153" s="599"/>
      <c r="X153" s="599"/>
      <c r="Y153" s="599"/>
      <c r="Z153" s="599"/>
      <c r="AA153" s="599"/>
      <c r="AB153" s="599"/>
      <c r="AC153" s="599"/>
      <c r="AD153" s="599"/>
      <c r="AE153" s="599"/>
      <c r="AF153" s="599"/>
      <c r="AG153" s="599"/>
      <c r="AH153" s="599"/>
      <c r="AI153" s="599"/>
      <c r="AJ153" s="599"/>
      <c r="AK153" s="599"/>
      <c r="AL153" s="599"/>
      <c r="AM153" s="599"/>
      <c r="AN153" s="599"/>
      <c r="AO153" s="599"/>
      <c r="AP153" s="599"/>
      <c r="AQ153" s="599"/>
      <c r="AR153" s="599"/>
      <c r="AS153" s="599"/>
      <c r="AT153" s="599"/>
      <c r="AU153" s="599"/>
      <c r="AV153" s="599"/>
      <c r="AW153" s="599"/>
      <c r="AX153" s="599"/>
      <c r="AY153" s="599"/>
      <c r="AZ153" s="599"/>
      <c r="BA153" s="599"/>
      <c r="BB153" s="599"/>
      <c r="BC153" s="599"/>
      <c r="BD153" s="599"/>
      <c r="BE153" s="599"/>
      <c r="BF153" s="599"/>
      <c r="BG153" s="599"/>
      <c r="BH153" s="599"/>
      <c r="BI153" s="599"/>
      <c r="BJ153" s="599"/>
      <c r="BK153" s="599"/>
      <c r="BL153" s="599"/>
      <c r="BM153" s="599"/>
      <c r="BN153" s="599"/>
      <c r="BO153" s="599"/>
      <c r="BP153" s="599"/>
      <c r="BQ153" s="599"/>
      <c r="BR153" s="599"/>
      <c r="BS153" s="599"/>
      <c r="BT153" s="599"/>
    </row>
    <row r="154" spans="1:72" s="600" customFormat="1" ht="6" customHeight="1" x14ac:dyDescent="0.2">
      <c r="A154" s="337"/>
      <c r="B154" s="338"/>
      <c r="C154" s="356"/>
      <c r="D154" s="339"/>
      <c r="E154" s="339"/>
      <c r="F154" s="349"/>
      <c r="G154" s="350"/>
      <c r="H154" s="599"/>
      <c r="I154" s="599"/>
      <c r="J154" s="599"/>
      <c r="K154" s="599"/>
      <c r="L154" s="599"/>
      <c r="M154" s="599"/>
      <c r="N154" s="599"/>
      <c r="O154" s="599"/>
      <c r="P154" s="599"/>
      <c r="Q154" s="599"/>
      <c r="R154" s="599"/>
      <c r="S154" s="599"/>
      <c r="T154" s="599"/>
      <c r="U154" s="599"/>
      <c r="V154" s="599"/>
      <c r="W154" s="599"/>
      <c r="X154" s="599"/>
      <c r="Y154" s="599"/>
      <c r="Z154" s="599"/>
      <c r="AA154" s="599"/>
      <c r="AB154" s="599"/>
      <c r="AC154" s="599"/>
      <c r="AD154" s="599"/>
      <c r="AE154" s="599"/>
      <c r="AF154" s="599"/>
      <c r="AG154" s="599"/>
      <c r="AH154" s="599"/>
      <c r="AI154" s="599"/>
      <c r="AJ154" s="599"/>
      <c r="AK154" s="599"/>
      <c r="AL154" s="599"/>
      <c r="AM154" s="599"/>
      <c r="AN154" s="599"/>
      <c r="AO154" s="599"/>
      <c r="AP154" s="599"/>
      <c r="AQ154" s="599"/>
      <c r="AR154" s="599"/>
      <c r="AS154" s="599"/>
      <c r="AT154" s="599"/>
      <c r="AU154" s="599"/>
      <c r="AV154" s="599"/>
      <c r="AW154" s="599"/>
      <c r="AX154" s="599"/>
      <c r="AY154" s="599"/>
      <c r="AZ154" s="599"/>
      <c r="BA154" s="599"/>
      <c r="BB154" s="599"/>
      <c r="BC154" s="599"/>
      <c r="BD154" s="599"/>
      <c r="BE154" s="599"/>
      <c r="BF154" s="599"/>
      <c r="BG154" s="599"/>
      <c r="BH154" s="599"/>
      <c r="BI154" s="599"/>
      <c r="BJ154" s="599"/>
      <c r="BK154" s="599"/>
      <c r="BL154" s="599"/>
      <c r="BM154" s="599"/>
      <c r="BN154" s="599"/>
      <c r="BO154" s="599"/>
      <c r="BP154" s="599"/>
      <c r="BQ154" s="599"/>
      <c r="BR154" s="599"/>
      <c r="BS154" s="599"/>
      <c r="BT154" s="599"/>
    </row>
    <row r="155" spans="1:72" s="600" customFormat="1" ht="15.75" customHeight="1" x14ac:dyDescent="0.2">
      <c r="A155" s="337"/>
      <c r="B155" s="605" t="s">
        <v>105</v>
      </c>
      <c r="C155" s="339" t="s">
        <v>362</v>
      </c>
      <c r="D155" s="339" t="s">
        <v>370</v>
      </c>
      <c r="E155" s="345" t="s">
        <v>329</v>
      </c>
      <c r="F155" s="346" t="s">
        <v>329</v>
      </c>
      <c r="G155" s="347">
        <f>SUM(G157)</f>
        <v>78597.399999999994</v>
      </c>
      <c r="H155" s="599"/>
      <c r="I155" s="599"/>
      <c r="J155" s="599"/>
      <c r="K155" s="599"/>
      <c r="L155" s="599"/>
      <c r="M155" s="599"/>
      <c r="N155" s="599"/>
      <c r="O155" s="599"/>
      <c r="P155" s="599"/>
      <c r="Q155" s="599"/>
      <c r="R155" s="599"/>
      <c r="S155" s="599"/>
      <c r="T155" s="599"/>
      <c r="U155" s="599"/>
      <c r="V155" s="599"/>
      <c r="W155" s="599"/>
      <c r="X155" s="599"/>
      <c r="Y155" s="599"/>
      <c r="Z155" s="599"/>
      <c r="AA155" s="599"/>
      <c r="AB155" s="599"/>
      <c r="AC155" s="599"/>
      <c r="AD155" s="599"/>
      <c r="AE155" s="599"/>
      <c r="AF155" s="599"/>
      <c r="AG155" s="599"/>
      <c r="AH155" s="599"/>
      <c r="AI155" s="599"/>
      <c r="AJ155" s="599"/>
      <c r="AK155" s="599"/>
      <c r="AL155" s="599"/>
      <c r="AM155" s="599"/>
      <c r="AN155" s="599"/>
      <c r="AO155" s="599"/>
      <c r="AP155" s="599"/>
      <c r="AQ155" s="599"/>
      <c r="AR155" s="599"/>
      <c r="AS155" s="599"/>
      <c r="AT155" s="599"/>
      <c r="AU155" s="599"/>
      <c r="AV155" s="599"/>
      <c r="AW155" s="599"/>
      <c r="AX155" s="599"/>
      <c r="AY155" s="599"/>
      <c r="AZ155" s="599"/>
      <c r="BA155" s="599"/>
      <c r="BB155" s="599"/>
      <c r="BC155" s="599"/>
      <c r="BD155" s="599"/>
      <c r="BE155" s="599"/>
      <c r="BF155" s="599"/>
      <c r="BG155" s="599"/>
      <c r="BH155" s="599"/>
      <c r="BI155" s="599"/>
      <c r="BJ155" s="599"/>
      <c r="BK155" s="599"/>
      <c r="BL155" s="599"/>
      <c r="BM155" s="599"/>
      <c r="BN155" s="599"/>
      <c r="BO155" s="599"/>
      <c r="BP155" s="599"/>
      <c r="BQ155" s="599"/>
      <c r="BR155" s="599"/>
      <c r="BS155" s="599"/>
      <c r="BT155" s="599"/>
    </row>
    <row r="156" spans="1:72" s="600" customFormat="1" ht="6" customHeight="1" x14ac:dyDescent="0.2">
      <c r="A156" s="337"/>
      <c r="B156" s="338"/>
      <c r="C156" s="356"/>
      <c r="D156" s="339"/>
      <c r="E156" s="339"/>
      <c r="F156" s="349"/>
      <c r="G156" s="350"/>
      <c r="H156" s="599"/>
      <c r="I156" s="599"/>
      <c r="J156" s="599"/>
      <c r="K156" s="599"/>
      <c r="L156" s="599"/>
      <c r="M156" s="599"/>
      <c r="N156" s="599"/>
      <c r="O156" s="599"/>
      <c r="P156" s="599"/>
      <c r="Q156" s="599"/>
      <c r="R156" s="599"/>
      <c r="S156" s="599"/>
      <c r="T156" s="599"/>
      <c r="U156" s="599"/>
      <c r="V156" s="599"/>
      <c r="W156" s="599"/>
      <c r="X156" s="599"/>
      <c r="Y156" s="599"/>
      <c r="Z156" s="599"/>
      <c r="AA156" s="599"/>
      <c r="AB156" s="599"/>
      <c r="AC156" s="599"/>
      <c r="AD156" s="599"/>
      <c r="AE156" s="599"/>
      <c r="AF156" s="599"/>
      <c r="AG156" s="599"/>
      <c r="AH156" s="599"/>
      <c r="AI156" s="599"/>
      <c r="AJ156" s="599"/>
      <c r="AK156" s="599"/>
      <c r="AL156" s="599"/>
      <c r="AM156" s="599"/>
      <c r="AN156" s="599"/>
      <c r="AO156" s="599"/>
      <c r="AP156" s="599"/>
      <c r="AQ156" s="599"/>
      <c r="AR156" s="599"/>
      <c r="AS156" s="599"/>
      <c r="AT156" s="599"/>
      <c r="AU156" s="599"/>
      <c r="AV156" s="599"/>
      <c r="AW156" s="599"/>
      <c r="AX156" s="599"/>
      <c r="AY156" s="599"/>
      <c r="AZ156" s="599"/>
      <c r="BA156" s="599"/>
      <c r="BB156" s="599"/>
      <c r="BC156" s="599"/>
      <c r="BD156" s="599"/>
      <c r="BE156" s="599"/>
      <c r="BF156" s="599"/>
      <c r="BG156" s="599"/>
      <c r="BH156" s="599"/>
      <c r="BI156" s="599"/>
      <c r="BJ156" s="599"/>
      <c r="BK156" s="599"/>
      <c r="BL156" s="599"/>
      <c r="BM156" s="599"/>
      <c r="BN156" s="599"/>
      <c r="BO156" s="599"/>
      <c r="BP156" s="599"/>
      <c r="BQ156" s="599"/>
      <c r="BR156" s="599"/>
      <c r="BS156" s="599"/>
      <c r="BT156" s="599"/>
    </row>
    <row r="157" spans="1:72" s="600" customFormat="1" ht="15.75" customHeight="1" x14ac:dyDescent="0.2">
      <c r="A157" s="337"/>
      <c r="B157" s="338"/>
      <c r="C157" s="356"/>
      <c r="D157" s="339"/>
      <c r="E157" s="601"/>
      <c r="F157" s="602"/>
      <c r="G157" s="603">
        <f>SUM(G158)</f>
        <v>78597.399999999994</v>
      </c>
      <c r="H157" s="599"/>
      <c r="I157" s="599"/>
      <c r="J157" s="599"/>
      <c r="K157" s="599"/>
      <c r="L157" s="599"/>
      <c r="M157" s="599"/>
      <c r="N157" s="599"/>
      <c r="O157" s="599"/>
      <c r="P157" s="599"/>
      <c r="Q157" s="599"/>
      <c r="R157" s="599"/>
      <c r="S157" s="599"/>
      <c r="T157" s="599"/>
      <c r="U157" s="599"/>
      <c r="V157" s="599"/>
      <c r="W157" s="599"/>
      <c r="X157" s="599"/>
      <c r="Y157" s="599"/>
      <c r="Z157" s="599"/>
      <c r="AA157" s="599"/>
      <c r="AB157" s="599"/>
      <c r="AC157" s="599"/>
      <c r="AD157" s="599"/>
      <c r="AE157" s="599"/>
      <c r="AF157" s="599"/>
      <c r="AG157" s="599"/>
      <c r="AH157" s="599"/>
      <c r="AI157" s="599"/>
      <c r="AJ157" s="599"/>
      <c r="AK157" s="599"/>
      <c r="AL157" s="599"/>
      <c r="AM157" s="599"/>
      <c r="AN157" s="599"/>
      <c r="AO157" s="599"/>
      <c r="AP157" s="599"/>
      <c r="AQ157" s="599"/>
      <c r="AR157" s="599"/>
      <c r="AS157" s="599"/>
      <c r="AT157" s="599"/>
      <c r="AU157" s="599"/>
      <c r="AV157" s="599"/>
      <c r="AW157" s="599"/>
      <c r="AX157" s="599"/>
      <c r="AY157" s="599"/>
      <c r="AZ157" s="599"/>
      <c r="BA157" s="599"/>
      <c r="BB157" s="599"/>
      <c r="BC157" s="599"/>
      <c r="BD157" s="599"/>
      <c r="BE157" s="599"/>
      <c r="BF157" s="599"/>
      <c r="BG157" s="599"/>
      <c r="BH157" s="599"/>
      <c r="BI157" s="599"/>
      <c r="BJ157" s="599"/>
      <c r="BK157" s="599"/>
      <c r="BL157" s="599"/>
      <c r="BM157" s="599"/>
      <c r="BN157" s="599"/>
      <c r="BO157" s="599"/>
      <c r="BP157" s="599"/>
      <c r="BQ157" s="599"/>
      <c r="BR157" s="599"/>
      <c r="BS157" s="599"/>
      <c r="BT157" s="599"/>
    </row>
    <row r="158" spans="1:72" s="600" customFormat="1" ht="15.75" customHeight="1" x14ac:dyDescent="0.2">
      <c r="A158" s="337"/>
      <c r="B158" s="338"/>
      <c r="C158" s="356"/>
      <c r="D158" s="339"/>
      <c r="E158" s="339" t="s">
        <v>93</v>
      </c>
      <c r="F158" s="349" t="s">
        <v>329</v>
      </c>
      <c r="G158" s="350">
        <f>8442.4+10140+9354+859+9992+9982+19497+10331</f>
        <v>78597.399999999994</v>
      </c>
      <c r="H158" s="599"/>
      <c r="I158" s="599"/>
      <c r="J158" s="599"/>
      <c r="K158" s="599"/>
      <c r="L158" s="599"/>
      <c r="M158" s="599"/>
      <c r="N158" s="599"/>
      <c r="O158" s="599"/>
      <c r="P158" s="599"/>
      <c r="Q158" s="599"/>
      <c r="R158" s="599"/>
      <c r="S158" s="599"/>
      <c r="T158" s="599"/>
      <c r="U158" s="599"/>
      <c r="V158" s="599"/>
      <c r="W158" s="599"/>
      <c r="X158" s="599"/>
      <c r="Y158" s="599"/>
      <c r="Z158" s="599"/>
      <c r="AA158" s="599"/>
      <c r="AB158" s="599"/>
      <c r="AC158" s="599"/>
      <c r="AD158" s="599"/>
      <c r="AE158" s="599"/>
      <c r="AF158" s="599"/>
      <c r="AG158" s="599"/>
      <c r="AH158" s="599"/>
      <c r="AI158" s="599"/>
      <c r="AJ158" s="599"/>
      <c r="AK158" s="599"/>
      <c r="AL158" s="599"/>
      <c r="AM158" s="599"/>
      <c r="AN158" s="599"/>
      <c r="AO158" s="599"/>
      <c r="AP158" s="599"/>
      <c r="AQ158" s="599"/>
      <c r="AR158" s="599"/>
      <c r="AS158" s="599"/>
      <c r="AT158" s="599"/>
      <c r="AU158" s="599"/>
      <c r="AV158" s="599"/>
      <c r="AW158" s="599"/>
      <c r="AX158" s="599"/>
      <c r="AY158" s="599"/>
      <c r="AZ158" s="599"/>
      <c r="BA158" s="599"/>
      <c r="BB158" s="599"/>
      <c r="BC158" s="599"/>
      <c r="BD158" s="599"/>
      <c r="BE158" s="599"/>
      <c r="BF158" s="599"/>
      <c r="BG158" s="599"/>
      <c r="BH158" s="599"/>
      <c r="BI158" s="599"/>
      <c r="BJ158" s="599"/>
      <c r="BK158" s="599"/>
      <c r="BL158" s="599"/>
      <c r="BM158" s="599"/>
      <c r="BN158" s="599"/>
      <c r="BO158" s="599"/>
      <c r="BP158" s="599"/>
      <c r="BQ158" s="599"/>
      <c r="BR158" s="599"/>
      <c r="BS158" s="599"/>
      <c r="BT158" s="599"/>
    </row>
    <row r="159" spans="1:72" s="600" customFormat="1" ht="11.25" customHeight="1" x14ac:dyDescent="0.2">
      <c r="A159" s="337"/>
      <c r="B159" s="338"/>
      <c r="C159" s="356"/>
      <c r="D159" s="339"/>
      <c r="E159" s="339"/>
      <c r="F159" s="349"/>
      <c r="G159" s="350"/>
      <c r="H159" s="599"/>
      <c r="I159" s="599"/>
      <c r="J159" s="599"/>
      <c r="K159" s="599"/>
      <c r="L159" s="599"/>
      <c r="M159" s="599"/>
      <c r="N159" s="599"/>
      <c r="O159" s="599"/>
      <c r="P159" s="599"/>
      <c r="Q159" s="599"/>
      <c r="R159" s="599"/>
      <c r="S159" s="599"/>
      <c r="T159" s="599"/>
      <c r="U159" s="599"/>
      <c r="V159" s="599"/>
      <c r="W159" s="599"/>
      <c r="X159" s="599"/>
      <c r="Y159" s="599"/>
      <c r="Z159" s="599"/>
      <c r="AA159" s="599"/>
      <c r="AB159" s="599"/>
      <c r="AC159" s="599"/>
      <c r="AD159" s="599"/>
      <c r="AE159" s="599"/>
      <c r="AF159" s="599"/>
      <c r="AG159" s="599"/>
      <c r="AH159" s="599"/>
      <c r="AI159" s="599"/>
      <c r="AJ159" s="599"/>
      <c r="AK159" s="599"/>
      <c r="AL159" s="599"/>
      <c r="AM159" s="599"/>
      <c r="AN159" s="599"/>
      <c r="AO159" s="599"/>
      <c r="AP159" s="599"/>
      <c r="AQ159" s="599"/>
      <c r="AR159" s="599"/>
      <c r="AS159" s="599"/>
      <c r="AT159" s="599"/>
      <c r="AU159" s="599"/>
      <c r="AV159" s="599"/>
      <c r="AW159" s="599"/>
      <c r="AX159" s="599"/>
      <c r="AY159" s="599"/>
      <c r="AZ159" s="599"/>
      <c r="BA159" s="599"/>
      <c r="BB159" s="599"/>
      <c r="BC159" s="599"/>
      <c r="BD159" s="599"/>
      <c r="BE159" s="599"/>
      <c r="BF159" s="599"/>
      <c r="BG159" s="599"/>
      <c r="BH159" s="599"/>
      <c r="BI159" s="599"/>
      <c r="BJ159" s="599"/>
      <c r="BK159" s="599"/>
      <c r="BL159" s="599"/>
      <c r="BM159" s="599"/>
      <c r="BN159" s="599"/>
      <c r="BO159" s="599"/>
      <c r="BP159" s="599"/>
      <c r="BQ159" s="599"/>
      <c r="BR159" s="599"/>
      <c r="BS159" s="599"/>
      <c r="BT159" s="599"/>
    </row>
    <row r="160" spans="1:72" s="600" customFormat="1" ht="15.75" customHeight="1" x14ac:dyDescent="0.2">
      <c r="A160" s="337"/>
      <c r="B160" s="605" t="s">
        <v>71</v>
      </c>
      <c r="C160" s="339" t="s">
        <v>362</v>
      </c>
      <c r="D160" s="339" t="s">
        <v>371</v>
      </c>
      <c r="E160" s="345" t="s">
        <v>329</v>
      </c>
      <c r="F160" s="346" t="s">
        <v>329</v>
      </c>
      <c r="G160" s="347">
        <f>SUM(G162)</f>
        <v>46315.78</v>
      </c>
      <c r="H160" s="599"/>
      <c r="I160" s="599"/>
      <c r="J160" s="599"/>
      <c r="K160" s="599"/>
      <c r="L160" s="599"/>
      <c r="M160" s="599"/>
      <c r="N160" s="599"/>
      <c r="O160" s="599"/>
      <c r="P160" s="599"/>
      <c r="Q160" s="599"/>
      <c r="R160" s="599"/>
      <c r="S160" s="599"/>
      <c r="T160" s="599"/>
      <c r="U160" s="599"/>
      <c r="V160" s="599"/>
      <c r="W160" s="599"/>
      <c r="X160" s="599"/>
      <c r="Y160" s="599"/>
      <c r="Z160" s="599"/>
      <c r="AA160" s="599"/>
      <c r="AB160" s="599"/>
      <c r="AC160" s="599"/>
      <c r="AD160" s="599"/>
      <c r="AE160" s="599"/>
      <c r="AF160" s="599"/>
      <c r="AG160" s="599"/>
      <c r="AH160" s="599"/>
      <c r="AI160" s="599"/>
      <c r="AJ160" s="599"/>
      <c r="AK160" s="599"/>
      <c r="AL160" s="599"/>
      <c r="AM160" s="599"/>
      <c r="AN160" s="599"/>
      <c r="AO160" s="599"/>
      <c r="AP160" s="599"/>
      <c r="AQ160" s="599"/>
      <c r="AR160" s="599"/>
      <c r="AS160" s="599"/>
      <c r="AT160" s="599"/>
      <c r="AU160" s="599"/>
      <c r="AV160" s="599"/>
      <c r="AW160" s="599"/>
      <c r="AX160" s="599"/>
      <c r="AY160" s="599"/>
      <c r="AZ160" s="599"/>
      <c r="BA160" s="599"/>
      <c r="BB160" s="599"/>
      <c r="BC160" s="599"/>
      <c r="BD160" s="599"/>
      <c r="BE160" s="599"/>
      <c r="BF160" s="599"/>
      <c r="BG160" s="599"/>
      <c r="BH160" s="599"/>
      <c r="BI160" s="599"/>
      <c r="BJ160" s="599"/>
      <c r="BK160" s="599"/>
      <c r="BL160" s="599"/>
      <c r="BM160" s="599"/>
      <c r="BN160" s="599"/>
      <c r="BO160" s="599"/>
      <c r="BP160" s="599"/>
      <c r="BQ160" s="599"/>
      <c r="BR160" s="599"/>
      <c r="BS160" s="599"/>
      <c r="BT160" s="599"/>
    </row>
    <row r="161" spans="1:72" s="600" customFormat="1" ht="9" customHeight="1" x14ac:dyDescent="0.2">
      <c r="A161" s="337"/>
      <c r="B161" s="338"/>
      <c r="C161" s="356"/>
      <c r="D161" s="339"/>
      <c r="E161" s="339"/>
      <c r="F161" s="349"/>
      <c r="G161" s="350"/>
      <c r="H161" s="599"/>
      <c r="I161" s="599"/>
      <c r="J161" s="599"/>
      <c r="K161" s="599"/>
      <c r="L161" s="599"/>
      <c r="M161" s="599"/>
      <c r="N161" s="599"/>
      <c r="O161" s="599"/>
      <c r="P161" s="599"/>
      <c r="Q161" s="599"/>
      <c r="R161" s="599"/>
      <c r="S161" s="599"/>
      <c r="T161" s="599"/>
      <c r="U161" s="599"/>
      <c r="V161" s="599"/>
      <c r="W161" s="599"/>
      <c r="X161" s="599"/>
      <c r="Y161" s="599"/>
      <c r="Z161" s="599"/>
      <c r="AA161" s="599"/>
      <c r="AB161" s="599"/>
      <c r="AC161" s="599"/>
      <c r="AD161" s="599"/>
      <c r="AE161" s="599"/>
      <c r="AF161" s="599"/>
      <c r="AG161" s="599"/>
      <c r="AH161" s="599"/>
      <c r="AI161" s="599"/>
      <c r="AJ161" s="599"/>
      <c r="AK161" s="599"/>
      <c r="AL161" s="599"/>
      <c r="AM161" s="599"/>
      <c r="AN161" s="599"/>
      <c r="AO161" s="599"/>
      <c r="AP161" s="599"/>
      <c r="AQ161" s="599"/>
      <c r="AR161" s="599"/>
      <c r="AS161" s="599"/>
      <c r="AT161" s="599"/>
      <c r="AU161" s="599"/>
      <c r="AV161" s="599"/>
      <c r="AW161" s="599"/>
      <c r="AX161" s="599"/>
      <c r="AY161" s="599"/>
      <c r="AZ161" s="599"/>
      <c r="BA161" s="599"/>
      <c r="BB161" s="599"/>
      <c r="BC161" s="599"/>
      <c r="BD161" s="599"/>
      <c r="BE161" s="599"/>
      <c r="BF161" s="599"/>
      <c r="BG161" s="599"/>
      <c r="BH161" s="599"/>
      <c r="BI161" s="599"/>
      <c r="BJ161" s="599"/>
      <c r="BK161" s="599"/>
      <c r="BL161" s="599"/>
      <c r="BM161" s="599"/>
      <c r="BN161" s="599"/>
      <c r="BO161" s="599"/>
      <c r="BP161" s="599"/>
      <c r="BQ161" s="599"/>
      <c r="BR161" s="599"/>
      <c r="BS161" s="599"/>
      <c r="BT161" s="599"/>
    </row>
    <row r="162" spans="1:72" s="600" customFormat="1" ht="15.75" customHeight="1" x14ac:dyDescent="0.2">
      <c r="A162" s="337"/>
      <c r="B162" s="338"/>
      <c r="C162" s="356"/>
      <c r="D162" s="339"/>
      <c r="E162" s="601"/>
      <c r="F162" s="602"/>
      <c r="G162" s="603">
        <f>SUM(G163:G167)</f>
        <v>46315.78</v>
      </c>
      <c r="H162" s="599"/>
      <c r="I162" s="599"/>
      <c r="J162" s="599"/>
      <c r="K162" s="599"/>
      <c r="L162" s="599"/>
      <c r="M162" s="599"/>
      <c r="N162" s="599"/>
      <c r="O162" s="599"/>
      <c r="P162" s="599"/>
      <c r="Q162" s="599"/>
      <c r="R162" s="599"/>
      <c r="S162" s="599"/>
      <c r="T162" s="599"/>
      <c r="U162" s="599"/>
      <c r="V162" s="599"/>
      <c r="W162" s="599"/>
      <c r="X162" s="599"/>
      <c r="Y162" s="599"/>
      <c r="Z162" s="599"/>
      <c r="AA162" s="599"/>
      <c r="AB162" s="599"/>
      <c r="AC162" s="599"/>
      <c r="AD162" s="599"/>
      <c r="AE162" s="599"/>
      <c r="AF162" s="599"/>
      <c r="AG162" s="599"/>
      <c r="AH162" s="599"/>
      <c r="AI162" s="599"/>
      <c r="AJ162" s="599"/>
      <c r="AK162" s="599"/>
      <c r="AL162" s="599"/>
      <c r="AM162" s="599"/>
      <c r="AN162" s="599"/>
      <c r="AO162" s="599"/>
      <c r="AP162" s="599"/>
      <c r="AQ162" s="599"/>
      <c r="AR162" s="599"/>
      <c r="AS162" s="599"/>
      <c r="AT162" s="599"/>
      <c r="AU162" s="599"/>
      <c r="AV162" s="599"/>
      <c r="AW162" s="599"/>
      <c r="AX162" s="599"/>
      <c r="AY162" s="599"/>
      <c r="AZ162" s="599"/>
      <c r="BA162" s="599"/>
      <c r="BB162" s="599"/>
      <c r="BC162" s="599"/>
      <c r="BD162" s="599"/>
      <c r="BE162" s="599"/>
      <c r="BF162" s="599"/>
      <c r="BG162" s="599"/>
      <c r="BH162" s="599"/>
      <c r="BI162" s="599"/>
      <c r="BJ162" s="599"/>
      <c r="BK162" s="599"/>
      <c r="BL162" s="599"/>
      <c r="BM162" s="599"/>
      <c r="BN162" s="599"/>
      <c r="BO162" s="599"/>
      <c r="BP162" s="599"/>
      <c r="BQ162" s="599"/>
      <c r="BR162" s="599"/>
      <c r="BS162" s="599"/>
      <c r="BT162" s="599"/>
    </row>
    <row r="163" spans="1:72" s="600" customFormat="1" ht="15.75" customHeight="1" x14ac:dyDescent="0.2">
      <c r="A163" s="337"/>
      <c r="B163" s="338"/>
      <c r="C163" s="356"/>
      <c r="D163" s="339"/>
      <c r="E163" s="339" t="s">
        <v>86</v>
      </c>
      <c r="F163" s="349" t="s">
        <v>329</v>
      </c>
      <c r="G163" s="350">
        <f>461.78+1000+3872+14334+5924</f>
        <v>25591.78</v>
      </c>
      <c r="H163" s="599"/>
      <c r="I163" s="599"/>
      <c r="J163" s="599"/>
      <c r="K163" s="599"/>
      <c r="L163" s="599"/>
      <c r="M163" s="599"/>
      <c r="N163" s="599"/>
      <c r="O163" s="599"/>
      <c r="P163" s="599"/>
      <c r="Q163" s="599"/>
      <c r="R163" s="599"/>
      <c r="S163" s="599"/>
      <c r="T163" s="599"/>
      <c r="U163" s="599"/>
      <c r="V163" s="599"/>
      <c r="W163" s="599"/>
      <c r="X163" s="599"/>
      <c r="Y163" s="599"/>
      <c r="Z163" s="599"/>
      <c r="AA163" s="599"/>
      <c r="AB163" s="599"/>
      <c r="AC163" s="599"/>
      <c r="AD163" s="599"/>
      <c r="AE163" s="599"/>
      <c r="AF163" s="599"/>
      <c r="AG163" s="599"/>
      <c r="AH163" s="599"/>
      <c r="AI163" s="599"/>
      <c r="AJ163" s="599"/>
      <c r="AK163" s="599"/>
      <c r="AL163" s="599"/>
      <c r="AM163" s="599"/>
      <c r="AN163" s="599"/>
      <c r="AO163" s="599"/>
      <c r="AP163" s="599"/>
      <c r="AQ163" s="599"/>
      <c r="AR163" s="599"/>
      <c r="AS163" s="599"/>
      <c r="AT163" s="599"/>
      <c r="AU163" s="599"/>
      <c r="AV163" s="599"/>
      <c r="AW163" s="599"/>
      <c r="AX163" s="599"/>
      <c r="AY163" s="599"/>
      <c r="AZ163" s="599"/>
      <c r="BA163" s="599"/>
      <c r="BB163" s="599"/>
      <c r="BC163" s="599"/>
      <c r="BD163" s="599"/>
      <c r="BE163" s="599"/>
      <c r="BF163" s="599"/>
      <c r="BG163" s="599"/>
      <c r="BH163" s="599"/>
      <c r="BI163" s="599"/>
      <c r="BJ163" s="599"/>
      <c r="BK163" s="599"/>
      <c r="BL163" s="599"/>
      <c r="BM163" s="599"/>
      <c r="BN163" s="599"/>
      <c r="BO163" s="599"/>
      <c r="BP163" s="599"/>
      <c r="BQ163" s="599"/>
      <c r="BR163" s="599"/>
      <c r="BS163" s="599"/>
      <c r="BT163" s="599"/>
    </row>
    <row r="164" spans="1:72" s="600" customFormat="1" ht="15.75" customHeight="1" x14ac:dyDescent="0.2">
      <c r="A164" s="337"/>
      <c r="B164" s="338"/>
      <c r="C164" s="356"/>
      <c r="D164" s="339"/>
      <c r="E164" s="339" t="s">
        <v>348</v>
      </c>
      <c r="F164" s="349" t="s">
        <v>329</v>
      </c>
      <c r="G164" s="350">
        <f>100</f>
        <v>100</v>
      </c>
      <c r="H164" s="599"/>
      <c r="I164" s="599"/>
      <c r="J164" s="599"/>
      <c r="K164" s="599"/>
      <c r="L164" s="599"/>
      <c r="M164" s="599"/>
      <c r="N164" s="599"/>
      <c r="O164" s="599"/>
      <c r="P164" s="599"/>
      <c r="Q164" s="599"/>
      <c r="R164" s="599"/>
      <c r="S164" s="599"/>
      <c r="T164" s="599"/>
      <c r="U164" s="599"/>
      <c r="V164" s="599"/>
      <c r="W164" s="599"/>
      <c r="X164" s="599"/>
      <c r="Y164" s="599"/>
      <c r="Z164" s="599"/>
      <c r="AA164" s="599"/>
      <c r="AB164" s="599"/>
      <c r="AC164" s="599"/>
      <c r="AD164" s="599"/>
      <c r="AE164" s="599"/>
      <c r="AF164" s="599"/>
      <c r="AG164" s="599"/>
      <c r="AH164" s="599"/>
      <c r="AI164" s="599"/>
      <c r="AJ164" s="599"/>
      <c r="AK164" s="599"/>
      <c r="AL164" s="599"/>
      <c r="AM164" s="599"/>
      <c r="AN164" s="599"/>
      <c r="AO164" s="599"/>
      <c r="AP164" s="599"/>
      <c r="AQ164" s="599"/>
      <c r="AR164" s="599"/>
      <c r="AS164" s="599"/>
      <c r="AT164" s="599"/>
      <c r="AU164" s="599"/>
      <c r="AV164" s="599"/>
      <c r="AW164" s="599"/>
      <c r="AX164" s="599"/>
      <c r="AY164" s="599"/>
      <c r="AZ164" s="599"/>
      <c r="BA164" s="599"/>
      <c r="BB164" s="599"/>
      <c r="BC164" s="599"/>
      <c r="BD164" s="599"/>
      <c r="BE164" s="599"/>
      <c r="BF164" s="599"/>
      <c r="BG164" s="599"/>
      <c r="BH164" s="599"/>
      <c r="BI164" s="599"/>
      <c r="BJ164" s="599"/>
      <c r="BK164" s="599"/>
      <c r="BL164" s="599"/>
      <c r="BM164" s="599"/>
      <c r="BN164" s="599"/>
      <c r="BO164" s="599"/>
      <c r="BP164" s="599"/>
      <c r="BQ164" s="599"/>
      <c r="BR164" s="599"/>
      <c r="BS164" s="599"/>
      <c r="BT164" s="599"/>
    </row>
    <row r="165" spans="1:72" s="600" customFormat="1" ht="15.75" customHeight="1" x14ac:dyDescent="0.2">
      <c r="A165" s="337"/>
      <c r="B165" s="338"/>
      <c r="C165" s="356"/>
      <c r="D165" s="339"/>
      <c r="E165" s="339" t="s">
        <v>364</v>
      </c>
      <c r="F165" s="349" t="s">
        <v>329</v>
      </c>
      <c r="G165" s="350">
        <f>4126+4769+4304+1329+4432+2239-7000</f>
        <v>14199</v>
      </c>
      <c r="H165" s="599"/>
      <c r="I165" s="599"/>
      <c r="J165" s="599"/>
      <c r="K165" s="599"/>
      <c r="L165" s="599"/>
      <c r="M165" s="599"/>
      <c r="N165" s="599"/>
      <c r="O165" s="599"/>
      <c r="P165" s="599"/>
      <c r="Q165" s="599"/>
      <c r="R165" s="599"/>
      <c r="S165" s="599"/>
      <c r="T165" s="599"/>
      <c r="U165" s="599"/>
      <c r="V165" s="599"/>
      <c r="W165" s="599"/>
      <c r="X165" s="599"/>
      <c r="Y165" s="599"/>
      <c r="Z165" s="599"/>
      <c r="AA165" s="599"/>
      <c r="AB165" s="599"/>
      <c r="AC165" s="599"/>
      <c r="AD165" s="599"/>
      <c r="AE165" s="599"/>
      <c r="AF165" s="599"/>
      <c r="AG165" s="599"/>
      <c r="AH165" s="599"/>
      <c r="AI165" s="599"/>
      <c r="AJ165" s="599"/>
      <c r="AK165" s="599"/>
      <c r="AL165" s="599"/>
      <c r="AM165" s="599"/>
      <c r="AN165" s="599"/>
      <c r="AO165" s="599"/>
      <c r="AP165" s="599"/>
      <c r="AQ165" s="599"/>
      <c r="AR165" s="599"/>
      <c r="AS165" s="599"/>
      <c r="AT165" s="599"/>
      <c r="AU165" s="599"/>
      <c r="AV165" s="599"/>
      <c r="AW165" s="599"/>
      <c r="AX165" s="599"/>
      <c r="AY165" s="599"/>
      <c r="AZ165" s="599"/>
      <c r="BA165" s="599"/>
      <c r="BB165" s="599"/>
      <c r="BC165" s="599"/>
      <c r="BD165" s="599"/>
      <c r="BE165" s="599"/>
      <c r="BF165" s="599"/>
      <c r="BG165" s="599"/>
      <c r="BH165" s="599"/>
      <c r="BI165" s="599"/>
      <c r="BJ165" s="599"/>
      <c r="BK165" s="599"/>
      <c r="BL165" s="599"/>
      <c r="BM165" s="599"/>
      <c r="BN165" s="599"/>
      <c r="BO165" s="599"/>
      <c r="BP165" s="599"/>
      <c r="BQ165" s="599"/>
      <c r="BR165" s="599"/>
      <c r="BS165" s="599"/>
      <c r="BT165" s="599"/>
    </row>
    <row r="166" spans="1:72" s="600" customFormat="1" ht="15.75" customHeight="1" x14ac:dyDescent="0.2">
      <c r="A166" s="337"/>
      <c r="B166" s="338"/>
      <c r="C166" s="356"/>
      <c r="D166" s="339"/>
      <c r="E166" s="339" t="s">
        <v>338</v>
      </c>
      <c r="F166" s="349" t="s">
        <v>329</v>
      </c>
      <c r="G166" s="350">
        <f>1008+1165+1052+1300-1600</f>
        <v>2925</v>
      </c>
      <c r="H166" s="599"/>
      <c r="I166" s="599"/>
      <c r="J166" s="599"/>
      <c r="K166" s="599"/>
      <c r="L166" s="599"/>
      <c r="M166" s="599"/>
      <c r="N166" s="599"/>
      <c r="O166" s="599"/>
      <c r="P166" s="599"/>
      <c r="Q166" s="599"/>
      <c r="R166" s="599"/>
      <c r="S166" s="599"/>
      <c r="T166" s="599"/>
      <c r="U166" s="599"/>
      <c r="V166" s="599"/>
      <c r="W166" s="599"/>
      <c r="X166" s="599"/>
      <c r="Y166" s="599"/>
      <c r="Z166" s="599"/>
      <c r="AA166" s="599"/>
      <c r="AB166" s="599"/>
      <c r="AC166" s="599"/>
      <c r="AD166" s="599"/>
      <c r="AE166" s="599"/>
      <c r="AF166" s="599"/>
      <c r="AG166" s="599"/>
      <c r="AH166" s="599"/>
      <c r="AI166" s="599"/>
      <c r="AJ166" s="599"/>
      <c r="AK166" s="599"/>
      <c r="AL166" s="599"/>
      <c r="AM166" s="599"/>
      <c r="AN166" s="599"/>
      <c r="AO166" s="599"/>
      <c r="AP166" s="599"/>
      <c r="AQ166" s="599"/>
      <c r="AR166" s="599"/>
      <c r="AS166" s="599"/>
      <c r="AT166" s="599"/>
      <c r="AU166" s="599"/>
      <c r="AV166" s="599"/>
      <c r="AW166" s="599"/>
      <c r="AX166" s="599"/>
      <c r="AY166" s="599"/>
      <c r="AZ166" s="599"/>
      <c r="BA166" s="599"/>
      <c r="BB166" s="599"/>
      <c r="BC166" s="599"/>
      <c r="BD166" s="599"/>
      <c r="BE166" s="599"/>
      <c r="BF166" s="599"/>
      <c r="BG166" s="599"/>
      <c r="BH166" s="599"/>
      <c r="BI166" s="599"/>
      <c r="BJ166" s="599"/>
      <c r="BK166" s="599"/>
      <c r="BL166" s="599"/>
      <c r="BM166" s="599"/>
      <c r="BN166" s="599"/>
      <c r="BO166" s="599"/>
      <c r="BP166" s="599"/>
      <c r="BQ166" s="599"/>
      <c r="BR166" s="599"/>
      <c r="BS166" s="599"/>
      <c r="BT166" s="599"/>
    </row>
    <row r="167" spans="1:72" s="600" customFormat="1" ht="15.75" customHeight="1" x14ac:dyDescent="0.2">
      <c r="A167" s="337"/>
      <c r="B167" s="338"/>
      <c r="C167" s="356"/>
      <c r="D167" s="339"/>
      <c r="E167" s="339" t="s">
        <v>350</v>
      </c>
      <c r="F167" s="349" t="s">
        <v>329</v>
      </c>
      <c r="G167" s="350">
        <f>3500</f>
        <v>3500</v>
      </c>
      <c r="H167" s="599"/>
      <c r="I167" s="599"/>
      <c r="J167" s="599"/>
      <c r="K167" s="599"/>
      <c r="L167" s="599"/>
      <c r="M167" s="599"/>
      <c r="N167" s="599"/>
      <c r="O167" s="599"/>
      <c r="P167" s="599"/>
      <c r="Q167" s="599"/>
      <c r="R167" s="599"/>
      <c r="S167" s="599"/>
      <c r="T167" s="599"/>
      <c r="U167" s="599"/>
      <c r="V167" s="599"/>
      <c r="W167" s="599"/>
      <c r="X167" s="599"/>
      <c r="Y167" s="599"/>
      <c r="Z167" s="599"/>
      <c r="AA167" s="599"/>
      <c r="AB167" s="599"/>
      <c r="AC167" s="599"/>
      <c r="AD167" s="599"/>
      <c r="AE167" s="599"/>
      <c r="AF167" s="599"/>
      <c r="AG167" s="599"/>
      <c r="AH167" s="599"/>
      <c r="AI167" s="599"/>
      <c r="AJ167" s="599"/>
      <c r="AK167" s="599"/>
      <c r="AL167" s="599"/>
      <c r="AM167" s="599"/>
      <c r="AN167" s="599"/>
      <c r="AO167" s="599"/>
      <c r="AP167" s="599"/>
      <c r="AQ167" s="599"/>
      <c r="AR167" s="599"/>
      <c r="AS167" s="599"/>
      <c r="AT167" s="599"/>
      <c r="AU167" s="599"/>
      <c r="AV167" s="599"/>
      <c r="AW167" s="599"/>
      <c r="AX167" s="599"/>
      <c r="AY167" s="599"/>
      <c r="AZ167" s="599"/>
      <c r="BA167" s="599"/>
      <c r="BB167" s="599"/>
      <c r="BC167" s="599"/>
      <c r="BD167" s="599"/>
      <c r="BE167" s="599"/>
      <c r="BF167" s="599"/>
      <c r="BG167" s="599"/>
      <c r="BH167" s="599"/>
      <c r="BI167" s="599"/>
      <c r="BJ167" s="599"/>
      <c r="BK167" s="599"/>
      <c r="BL167" s="599"/>
      <c r="BM167" s="599"/>
      <c r="BN167" s="599"/>
      <c r="BO167" s="599"/>
      <c r="BP167" s="599"/>
      <c r="BQ167" s="599"/>
      <c r="BR167" s="599"/>
      <c r="BS167" s="599"/>
      <c r="BT167" s="599"/>
    </row>
    <row r="168" spans="1:72" s="600" customFormat="1" ht="9.75" customHeight="1" x14ac:dyDescent="0.2">
      <c r="A168" s="337"/>
      <c r="B168" s="338"/>
      <c r="C168" s="356"/>
      <c r="D168" s="339"/>
      <c r="E168" s="339"/>
      <c r="F168" s="349"/>
      <c r="G168" s="350"/>
      <c r="H168" s="599"/>
      <c r="I168" s="599"/>
      <c r="J168" s="599"/>
      <c r="K168" s="599"/>
      <c r="L168" s="599"/>
      <c r="M168" s="599"/>
      <c r="N168" s="599"/>
      <c r="O168" s="599"/>
      <c r="P168" s="599"/>
      <c r="Q168" s="599"/>
      <c r="R168" s="599"/>
      <c r="S168" s="599"/>
      <c r="T168" s="599"/>
      <c r="U168" s="599"/>
      <c r="V168" s="599"/>
      <c r="W168" s="599"/>
      <c r="X168" s="599"/>
      <c r="Y168" s="599"/>
      <c r="Z168" s="599"/>
      <c r="AA168" s="599"/>
      <c r="AB168" s="599"/>
      <c r="AC168" s="599"/>
      <c r="AD168" s="599"/>
      <c r="AE168" s="599"/>
      <c r="AF168" s="599"/>
      <c r="AG168" s="599"/>
      <c r="AH168" s="599"/>
      <c r="AI168" s="599"/>
      <c r="AJ168" s="599"/>
      <c r="AK168" s="599"/>
      <c r="AL168" s="599"/>
      <c r="AM168" s="599"/>
      <c r="AN168" s="599"/>
      <c r="AO168" s="599"/>
      <c r="AP168" s="599"/>
      <c r="AQ168" s="599"/>
      <c r="AR168" s="599"/>
      <c r="AS168" s="599"/>
      <c r="AT168" s="599"/>
      <c r="AU168" s="599"/>
      <c r="AV168" s="599"/>
      <c r="AW168" s="599"/>
      <c r="AX168" s="599"/>
      <c r="AY168" s="599"/>
      <c r="AZ168" s="599"/>
      <c r="BA168" s="599"/>
      <c r="BB168" s="599"/>
      <c r="BC168" s="599"/>
      <c r="BD168" s="599"/>
      <c r="BE168" s="599"/>
      <c r="BF168" s="599"/>
      <c r="BG168" s="599"/>
      <c r="BH168" s="599"/>
      <c r="BI168" s="599"/>
      <c r="BJ168" s="599"/>
      <c r="BK168" s="599"/>
      <c r="BL168" s="599"/>
      <c r="BM168" s="599"/>
      <c r="BN168" s="599"/>
      <c r="BO168" s="599"/>
      <c r="BP168" s="599"/>
      <c r="BQ168" s="599"/>
      <c r="BR168" s="599"/>
      <c r="BS168" s="599"/>
      <c r="BT168" s="599"/>
    </row>
    <row r="169" spans="1:72" s="600" customFormat="1" ht="15.75" customHeight="1" x14ac:dyDescent="0.2">
      <c r="A169" s="337"/>
      <c r="B169" s="605" t="s">
        <v>71</v>
      </c>
      <c r="C169" s="339" t="s">
        <v>362</v>
      </c>
      <c r="D169" s="339" t="s">
        <v>372</v>
      </c>
      <c r="E169" s="345" t="s">
        <v>329</v>
      </c>
      <c r="F169" s="346" t="s">
        <v>329</v>
      </c>
      <c r="G169" s="347">
        <f>SUM(G171)</f>
        <v>12500</v>
      </c>
      <c r="H169" s="599"/>
      <c r="I169" s="599"/>
      <c r="J169" s="599"/>
      <c r="K169" s="599"/>
      <c r="L169" s="599"/>
      <c r="M169" s="599"/>
      <c r="N169" s="599"/>
      <c r="O169" s="599"/>
      <c r="P169" s="599"/>
      <c r="Q169" s="599"/>
      <c r="R169" s="599"/>
      <c r="S169" s="599"/>
      <c r="T169" s="599"/>
      <c r="U169" s="599"/>
      <c r="V169" s="599"/>
      <c r="W169" s="599"/>
      <c r="X169" s="599"/>
      <c r="Y169" s="599"/>
      <c r="Z169" s="599"/>
      <c r="AA169" s="599"/>
      <c r="AB169" s="599"/>
      <c r="AC169" s="599"/>
      <c r="AD169" s="599"/>
      <c r="AE169" s="599"/>
      <c r="AF169" s="599"/>
      <c r="AG169" s="599"/>
      <c r="AH169" s="599"/>
      <c r="AI169" s="599"/>
      <c r="AJ169" s="599"/>
      <c r="AK169" s="599"/>
      <c r="AL169" s="599"/>
      <c r="AM169" s="599"/>
      <c r="AN169" s="599"/>
      <c r="AO169" s="599"/>
      <c r="AP169" s="599"/>
      <c r="AQ169" s="599"/>
      <c r="AR169" s="599"/>
      <c r="AS169" s="599"/>
      <c r="AT169" s="599"/>
      <c r="AU169" s="599"/>
      <c r="AV169" s="599"/>
      <c r="AW169" s="599"/>
      <c r="AX169" s="599"/>
      <c r="AY169" s="599"/>
      <c r="AZ169" s="599"/>
      <c r="BA169" s="599"/>
      <c r="BB169" s="599"/>
      <c r="BC169" s="599"/>
      <c r="BD169" s="599"/>
      <c r="BE169" s="599"/>
      <c r="BF169" s="599"/>
      <c r="BG169" s="599"/>
      <c r="BH169" s="599"/>
      <c r="BI169" s="599"/>
      <c r="BJ169" s="599"/>
      <c r="BK169" s="599"/>
      <c r="BL169" s="599"/>
      <c r="BM169" s="599"/>
      <c r="BN169" s="599"/>
      <c r="BO169" s="599"/>
      <c r="BP169" s="599"/>
      <c r="BQ169" s="599"/>
      <c r="BR169" s="599"/>
      <c r="BS169" s="599"/>
      <c r="BT169" s="599"/>
    </row>
    <row r="170" spans="1:72" s="600" customFormat="1" ht="9" customHeight="1" x14ac:dyDescent="0.2">
      <c r="A170" s="337"/>
      <c r="B170" s="338"/>
      <c r="C170" s="356"/>
      <c r="D170" s="339"/>
      <c r="E170" s="339"/>
      <c r="F170" s="349"/>
      <c r="G170" s="350"/>
      <c r="H170" s="599"/>
      <c r="I170" s="599"/>
      <c r="J170" s="599"/>
      <c r="K170" s="599"/>
      <c r="L170" s="599"/>
      <c r="M170" s="599"/>
      <c r="N170" s="599"/>
      <c r="O170" s="599"/>
      <c r="P170" s="599"/>
      <c r="Q170" s="599"/>
      <c r="R170" s="599"/>
      <c r="S170" s="599"/>
      <c r="T170" s="599"/>
      <c r="U170" s="599"/>
      <c r="V170" s="599"/>
      <c r="W170" s="599"/>
      <c r="X170" s="599"/>
      <c r="Y170" s="599"/>
      <c r="Z170" s="599"/>
      <c r="AA170" s="599"/>
      <c r="AB170" s="599"/>
      <c r="AC170" s="599"/>
      <c r="AD170" s="599"/>
      <c r="AE170" s="599"/>
      <c r="AF170" s="599"/>
      <c r="AG170" s="599"/>
      <c r="AH170" s="599"/>
      <c r="AI170" s="599"/>
      <c r="AJ170" s="599"/>
      <c r="AK170" s="599"/>
      <c r="AL170" s="599"/>
      <c r="AM170" s="599"/>
      <c r="AN170" s="599"/>
      <c r="AO170" s="599"/>
      <c r="AP170" s="599"/>
      <c r="AQ170" s="599"/>
      <c r="AR170" s="599"/>
      <c r="AS170" s="599"/>
      <c r="AT170" s="599"/>
      <c r="AU170" s="599"/>
      <c r="AV170" s="599"/>
      <c r="AW170" s="599"/>
      <c r="AX170" s="599"/>
      <c r="AY170" s="599"/>
      <c r="AZ170" s="599"/>
      <c r="BA170" s="599"/>
      <c r="BB170" s="599"/>
      <c r="BC170" s="599"/>
      <c r="BD170" s="599"/>
      <c r="BE170" s="599"/>
      <c r="BF170" s="599"/>
      <c r="BG170" s="599"/>
      <c r="BH170" s="599"/>
      <c r="BI170" s="599"/>
      <c r="BJ170" s="599"/>
      <c r="BK170" s="599"/>
      <c r="BL170" s="599"/>
      <c r="BM170" s="599"/>
      <c r="BN170" s="599"/>
      <c r="BO170" s="599"/>
      <c r="BP170" s="599"/>
      <c r="BQ170" s="599"/>
      <c r="BR170" s="599"/>
      <c r="BS170" s="599"/>
      <c r="BT170" s="599"/>
    </row>
    <row r="171" spans="1:72" s="600" customFormat="1" ht="15.75" customHeight="1" x14ac:dyDescent="0.2">
      <c r="A171" s="337"/>
      <c r="B171" s="338"/>
      <c r="C171" s="356"/>
      <c r="D171" s="339"/>
      <c r="E171" s="601"/>
      <c r="F171" s="602"/>
      <c r="G171" s="603">
        <f>SUM(G172:G172)</f>
        <v>12500</v>
      </c>
      <c r="H171" s="599"/>
      <c r="I171" s="599"/>
      <c r="J171" s="599"/>
      <c r="K171" s="599"/>
      <c r="L171" s="599"/>
      <c r="M171" s="599"/>
      <c r="N171" s="599"/>
      <c r="O171" s="599"/>
      <c r="P171" s="599"/>
      <c r="Q171" s="599"/>
      <c r="R171" s="599"/>
      <c r="S171" s="599"/>
      <c r="T171" s="599"/>
      <c r="U171" s="599"/>
      <c r="V171" s="599"/>
      <c r="W171" s="599"/>
      <c r="X171" s="599"/>
      <c r="Y171" s="599"/>
      <c r="Z171" s="599"/>
      <c r="AA171" s="599"/>
      <c r="AB171" s="599"/>
      <c r="AC171" s="599"/>
      <c r="AD171" s="599"/>
      <c r="AE171" s="599"/>
      <c r="AF171" s="599"/>
      <c r="AG171" s="599"/>
      <c r="AH171" s="599"/>
      <c r="AI171" s="599"/>
      <c r="AJ171" s="599"/>
      <c r="AK171" s="599"/>
      <c r="AL171" s="599"/>
      <c r="AM171" s="599"/>
      <c r="AN171" s="599"/>
      <c r="AO171" s="599"/>
      <c r="AP171" s="599"/>
      <c r="AQ171" s="599"/>
      <c r="AR171" s="599"/>
      <c r="AS171" s="599"/>
      <c r="AT171" s="599"/>
      <c r="AU171" s="599"/>
      <c r="AV171" s="599"/>
      <c r="AW171" s="599"/>
      <c r="AX171" s="599"/>
      <c r="AY171" s="599"/>
      <c r="AZ171" s="599"/>
      <c r="BA171" s="599"/>
      <c r="BB171" s="599"/>
      <c r="BC171" s="599"/>
      <c r="BD171" s="599"/>
      <c r="BE171" s="599"/>
      <c r="BF171" s="599"/>
      <c r="BG171" s="599"/>
      <c r="BH171" s="599"/>
      <c r="BI171" s="599"/>
      <c r="BJ171" s="599"/>
      <c r="BK171" s="599"/>
      <c r="BL171" s="599"/>
      <c r="BM171" s="599"/>
      <c r="BN171" s="599"/>
      <c r="BO171" s="599"/>
      <c r="BP171" s="599"/>
      <c r="BQ171" s="599"/>
      <c r="BR171" s="599"/>
      <c r="BS171" s="599"/>
      <c r="BT171" s="599"/>
    </row>
    <row r="172" spans="1:72" s="600" customFormat="1" ht="15.75" customHeight="1" x14ac:dyDescent="0.2">
      <c r="A172" s="337"/>
      <c r="B172" s="338"/>
      <c r="C172" s="356"/>
      <c r="D172" s="339"/>
      <c r="E172" s="339" t="s">
        <v>86</v>
      </c>
      <c r="F172" s="349" t="s">
        <v>329</v>
      </c>
      <c r="G172" s="350">
        <f>12500</f>
        <v>12500</v>
      </c>
      <c r="H172" s="599"/>
      <c r="I172" s="599"/>
      <c r="J172" s="599"/>
      <c r="K172" s="599"/>
      <c r="L172" s="599"/>
      <c r="M172" s="599"/>
      <c r="N172" s="599"/>
      <c r="O172" s="599"/>
      <c r="P172" s="599"/>
      <c r="Q172" s="599"/>
      <c r="R172" s="599"/>
      <c r="S172" s="599"/>
      <c r="T172" s="599"/>
      <c r="U172" s="599"/>
      <c r="V172" s="599"/>
      <c r="W172" s="599"/>
      <c r="X172" s="599"/>
      <c r="Y172" s="599"/>
      <c r="Z172" s="599"/>
      <c r="AA172" s="599"/>
      <c r="AB172" s="599"/>
      <c r="AC172" s="599"/>
      <c r="AD172" s="599"/>
      <c r="AE172" s="599"/>
      <c r="AF172" s="599"/>
      <c r="AG172" s="599"/>
      <c r="AH172" s="599"/>
      <c r="AI172" s="599"/>
      <c r="AJ172" s="599"/>
      <c r="AK172" s="599"/>
      <c r="AL172" s="599"/>
      <c r="AM172" s="599"/>
      <c r="AN172" s="599"/>
      <c r="AO172" s="599"/>
      <c r="AP172" s="599"/>
      <c r="AQ172" s="599"/>
      <c r="AR172" s="599"/>
      <c r="AS172" s="599"/>
      <c r="AT172" s="599"/>
      <c r="AU172" s="599"/>
      <c r="AV172" s="599"/>
      <c r="AW172" s="599"/>
      <c r="AX172" s="599"/>
      <c r="AY172" s="599"/>
      <c r="AZ172" s="599"/>
      <c r="BA172" s="599"/>
      <c r="BB172" s="599"/>
      <c r="BC172" s="599"/>
      <c r="BD172" s="599"/>
      <c r="BE172" s="599"/>
      <c r="BF172" s="599"/>
      <c r="BG172" s="599"/>
      <c r="BH172" s="599"/>
      <c r="BI172" s="599"/>
      <c r="BJ172" s="599"/>
      <c r="BK172" s="599"/>
      <c r="BL172" s="599"/>
      <c r="BM172" s="599"/>
      <c r="BN172" s="599"/>
      <c r="BO172" s="599"/>
      <c r="BP172" s="599"/>
      <c r="BQ172" s="599"/>
      <c r="BR172" s="599"/>
      <c r="BS172" s="599"/>
      <c r="BT172" s="599"/>
    </row>
    <row r="173" spans="1:72" s="600" customFormat="1" ht="9" customHeight="1" x14ac:dyDescent="0.2">
      <c r="A173" s="337"/>
      <c r="B173" s="338"/>
      <c r="C173" s="356"/>
      <c r="D173" s="339"/>
      <c r="E173" s="339"/>
      <c r="F173" s="349"/>
      <c r="G173" s="350"/>
      <c r="H173" s="599"/>
      <c r="I173" s="599"/>
      <c r="J173" s="599"/>
      <c r="K173" s="599"/>
      <c r="L173" s="599"/>
      <c r="M173" s="599"/>
      <c r="N173" s="599"/>
      <c r="O173" s="599"/>
      <c r="P173" s="599"/>
      <c r="Q173" s="599"/>
      <c r="R173" s="599"/>
      <c r="S173" s="599"/>
      <c r="T173" s="599"/>
      <c r="U173" s="599"/>
      <c r="V173" s="599"/>
      <c r="W173" s="599"/>
      <c r="X173" s="599"/>
      <c r="Y173" s="599"/>
      <c r="Z173" s="599"/>
      <c r="AA173" s="599"/>
      <c r="AB173" s="599"/>
      <c r="AC173" s="599"/>
      <c r="AD173" s="599"/>
      <c r="AE173" s="599"/>
      <c r="AF173" s="599"/>
      <c r="AG173" s="599"/>
      <c r="AH173" s="599"/>
      <c r="AI173" s="599"/>
      <c r="AJ173" s="599"/>
      <c r="AK173" s="599"/>
      <c r="AL173" s="599"/>
      <c r="AM173" s="599"/>
      <c r="AN173" s="599"/>
      <c r="AO173" s="599"/>
      <c r="AP173" s="599"/>
      <c r="AQ173" s="599"/>
      <c r="AR173" s="599"/>
      <c r="AS173" s="599"/>
      <c r="AT173" s="599"/>
      <c r="AU173" s="599"/>
      <c r="AV173" s="599"/>
      <c r="AW173" s="599"/>
      <c r="AX173" s="599"/>
      <c r="AY173" s="599"/>
      <c r="AZ173" s="599"/>
      <c r="BA173" s="599"/>
      <c r="BB173" s="599"/>
      <c r="BC173" s="599"/>
      <c r="BD173" s="599"/>
      <c r="BE173" s="599"/>
      <c r="BF173" s="599"/>
      <c r="BG173" s="599"/>
      <c r="BH173" s="599"/>
      <c r="BI173" s="599"/>
      <c r="BJ173" s="599"/>
      <c r="BK173" s="599"/>
      <c r="BL173" s="599"/>
      <c r="BM173" s="599"/>
      <c r="BN173" s="599"/>
      <c r="BO173" s="599"/>
      <c r="BP173" s="599"/>
      <c r="BQ173" s="599"/>
      <c r="BR173" s="599"/>
      <c r="BS173" s="599"/>
      <c r="BT173" s="599"/>
    </row>
    <row r="174" spans="1:72" s="600" customFormat="1" ht="15.75" customHeight="1" x14ac:dyDescent="0.2">
      <c r="A174" s="337"/>
      <c r="B174" s="605" t="s">
        <v>71</v>
      </c>
      <c r="C174" s="339" t="s">
        <v>373</v>
      </c>
      <c r="D174" s="339" t="s">
        <v>374</v>
      </c>
      <c r="E174" s="345" t="s">
        <v>329</v>
      </c>
      <c r="F174" s="346" t="s">
        <v>329</v>
      </c>
      <c r="G174" s="347">
        <f>SUM(G176)</f>
        <v>37036.43</v>
      </c>
      <c r="H174" s="599"/>
      <c r="I174" s="599"/>
      <c r="J174" s="599"/>
      <c r="K174" s="599"/>
      <c r="L174" s="599"/>
      <c r="M174" s="599"/>
      <c r="N174" s="599"/>
      <c r="O174" s="599"/>
      <c r="P174" s="599"/>
      <c r="Q174" s="599"/>
      <c r="R174" s="599"/>
      <c r="S174" s="599"/>
      <c r="T174" s="599"/>
      <c r="U174" s="599"/>
      <c r="V174" s="599"/>
      <c r="W174" s="599"/>
      <c r="X174" s="599"/>
      <c r="Y174" s="599"/>
      <c r="Z174" s="599"/>
      <c r="AA174" s="599"/>
      <c r="AB174" s="599"/>
      <c r="AC174" s="599"/>
      <c r="AD174" s="599"/>
      <c r="AE174" s="599"/>
      <c r="AF174" s="599"/>
      <c r="AG174" s="599"/>
      <c r="AH174" s="599"/>
      <c r="AI174" s="599"/>
      <c r="AJ174" s="599"/>
      <c r="AK174" s="599"/>
      <c r="AL174" s="599"/>
      <c r="AM174" s="599"/>
      <c r="AN174" s="599"/>
      <c r="AO174" s="599"/>
      <c r="AP174" s="599"/>
      <c r="AQ174" s="599"/>
      <c r="AR174" s="599"/>
      <c r="AS174" s="599"/>
      <c r="AT174" s="599"/>
      <c r="AU174" s="599"/>
      <c r="AV174" s="599"/>
      <c r="AW174" s="599"/>
      <c r="AX174" s="599"/>
      <c r="AY174" s="599"/>
      <c r="AZ174" s="599"/>
      <c r="BA174" s="599"/>
      <c r="BB174" s="599"/>
      <c r="BC174" s="599"/>
      <c r="BD174" s="599"/>
      <c r="BE174" s="599"/>
      <c r="BF174" s="599"/>
      <c r="BG174" s="599"/>
      <c r="BH174" s="599"/>
      <c r="BI174" s="599"/>
      <c r="BJ174" s="599"/>
      <c r="BK174" s="599"/>
      <c r="BL174" s="599"/>
      <c r="BM174" s="599"/>
      <c r="BN174" s="599"/>
      <c r="BO174" s="599"/>
      <c r="BP174" s="599"/>
      <c r="BQ174" s="599"/>
      <c r="BR174" s="599"/>
      <c r="BS174" s="599"/>
      <c r="BT174" s="599"/>
    </row>
    <row r="175" spans="1:72" s="600" customFormat="1" ht="4.5" customHeight="1" x14ac:dyDescent="0.2">
      <c r="A175" s="337"/>
      <c r="B175" s="338"/>
      <c r="C175" s="356"/>
      <c r="D175" s="339"/>
      <c r="E175" s="339"/>
      <c r="F175" s="349"/>
      <c r="G175" s="350"/>
      <c r="H175" s="599"/>
      <c r="I175" s="599"/>
      <c r="J175" s="599"/>
      <c r="K175" s="599"/>
      <c r="L175" s="599"/>
      <c r="M175" s="599"/>
      <c r="N175" s="599"/>
      <c r="O175" s="599"/>
      <c r="P175" s="599"/>
      <c r="Q175" s="599"/>
      <c r="R175" s="599"/>
      <c r="S175" s="599"/>
      <c r="T175" s="599"/>
      <c r="U175" s="599"/>
      <c r="V175" s="599"/>
      <c r="W175" s="599"/>
      <c r="X175" s="599"/>
      <c r="Y175" s="599"/>
      <c r="Z175" s="599"/>
      <c r="AA175" s="599"/>
      <c r="AB175" s="599"/>
      <c r="AC175" s="599"/>
      <c r="AD175" s="599"/>
      <c r="AE175" s="599"/>
      <c r="AF175" s="599"/>
      <c r="AG175" s="599"/>
      <c r="AH175" s="599"/>
      <c r="AI175" s="599"/>
      <c r="AJ175" s="599"/>
      <c r="AK175" s="599"/>
      <c r="AL175" s="599"/>
      <c r="AM175" s="599"/>
      <c r="AN175" s="599"/>
      <c r="AO175" s="599"/>
      <c r="AP175" s="599"/>
      <c r="AQ175" s="599"/>
      <c r="AR175" s="599"/>
      <c r="AS175" s="599"/>
      <c r="AT175" s="599"/>
      <c r="AU175" s="599"/>
      <c r="AV175" s="599"/>
      <c r="AW175" s="599"/>
      <c r="AX175" s="599"/>
      <c r="AY175" s="599"/>
      <c r="AZ175" s="599"/>
      <c r="BA175" s="599"/>
      <c r="BB175" s="599"/>
      <c r="BC175" s="599"/>
      <c r="BD175" s="599"/>
      <c r="BE175" s="599"/>
      <c r="BF175" s="599"/>
      <c r="BG175" s="599"/>
      <c r="BH175" s="599"/>
      <c r="BI175" s="599"/>
      <c r="BJ175" s="599"/>
      <c r="BK175" s="599"/>
      <c r="BL175" s="599"/>
      <c r="BM175" s="599"/>
      <c r="BN175" s="599"/>
      <c r="BO175" s="599"/>
      <c r="BP175" s="599"/>
      <c r="BQ175" s="599"/>
      <c r="BR175" s="599"/>
      <c r="BS175" s="599"/>
      <c r="BT175" s="599"/>
    </row>
    <row r="176" spans="1:72" s="600" customFormat="1" ht="15.75" customHeight="1" x14ac:dyDescent="0.2">
      <c r="A176" s="337"/>
      <c r="B176" s="338"/>
      <c r="C176" s="356"/>
      <c r="D176" s="339"/>
      <c r="E176" s="601"/>
      <c r="F176" s="602"/>
      <c r="G176" s="603">
        <f>SUM(G177:G179)</f>
        <v>37036.43</v>
      </c>
      <c r="H176" s="599"/>
      <c r="I176" s="599"/>
      <c r="J176" s="599"/>
      <c r="K176" s="599"/>
      <c r="L176" s="599"/>
      <c r="M176" s="599"/>
      <c r="N176" s="599"/>
      <c r="O176" s="599"/>
      <c r="P176" s="599"/>
      <c r="Q176" s="599"/>
      <c r="R176" s="599"/>
      <c r="S176" s="599"/>
      <c r="T176" s="599"/>
      <c r="U176" s="599"/>
      <c r="V176" s="599"/>
      <c r="W176" s="599"/>
      <c r="X176" s="599"/>
      <c r="Y176" s="599"/>
      <c r="Z176" s="599"/>
      <c r="AA176" s="599"/>
      <c r="AB176" s="599"/>
      <c r="AC176" s="599"/>
      <c r="AD176" s="599"/>
      <c r="AE176" s="599"/>
      <c r="AF176" s="599"/>
      <c r="AG176" s="599"/>
      <c r="AH176" s="599"/>
      <c r="AI176" s="599"/>
      <c r="AJ176" s="599"/>
      <c r="AK176" s="599"/>
      <c r="AL176" s="599"/>
      <c r="AM176" s="599"/>
      <c r="AN176" s="599"/>
      <c r="AO176" s="599"/>
      <c r="AP176" s="599"/>
      <c r="AQ176" s="599"/>
      <c r="AR176" s="599"/>
      <c r="AS176" s="599"/>
      <c r="AT176" s="599"/>
      <c r="AU176" s="599"/>
      <c r="AV176" s="599"/>
      <c r="AW176" s="599"/>
      <c r="AX176" s="599"/>
      <c r="AY176" s="599"/>
      <c r="AZ176" s="599"/>
      <c r="BA176" s="599"/>
      <c r="BB176" s="599"/>
      <c r="BC176" s="599"/>
      <c r="BD176" s="599"/>
      <c r="BE176" s="599"/>
      <c r="BF176" s="599"/>
      <c r="BG176" s="599"/>
      <c r="BH176" s="599"/>
      <c r="BI176" s="599"/>
      <c r="BJ176" s="599"/>
      <c r="BK176" s="599"/>
      <c r="BL176" s="599"/>
      <c r="BM176" s="599"/>
      <c r="BN176" s="599"/>
      <c r="BO176" s="599"/>
      <c r="BP176" s="599"/>
      <c r="BQ176" s="599"/>
      <c r="BR176" s="599"/>
      <c r="BS176" s="599"/>
      <c r="BT176" s="599"/>
    </row>
    <row r="177" spans="1:72" s="600" customFormat="1" ht="15.75" customHeight="1" x14ac:dyDescent="0.2">
      <c r="A177" s="337"/>
      <c r="B177" s="338"/>
      <c r="C177" s="356"/>
      <c r="D177" s="339"/>
      <c r="E177" s="339" t="s">
        <v>86</v>
      </c>
      <c r="F177" s="349" t="s">
        <v>329</v>
      </c>
      <c r="G177" s="350">
        <f>4842+5477+3551.43+4947+750+5127+5992</f>
        <v>30686.43</v>
      </c>
      <c r="H177" s="599"/>
      <c r="I177" s="599"/>
      <c r="J177" s="599"/>
      <c r="K177" s="599"/>
      <c r="L177" s="599"/>
      <c r="M177" s="599"/>
      <c r="N177" s="599"/>
      <c r="O177" s="599"/>
      <c r="P177" s="599"/>
      <c r="Q177" s="599"/>
      <c r="R177" s="599"/>
      <c r="S177" s="599"/>
      <c r="T177" s="599"/>
      <c r="U177" s="599"/>
      <c r="V177" s="599"/>
      <c r="W177" s="599"/>
      <c r="X177" s="599"/>
      <c r="Y177" s="599"/>
      <c r="Z177" s="599"/>
      <c r="AA177" s="599"/>
      <c r="AB177" s="599"/>
      <c r="AC177" s="599"/>
      <c r="AD177" s="599"/>
      <c r="AE177" s="599"/>
      <c r="AF177" s="599"/>
      <c r="AG177" s="599"/>
      <c r="AH177" s="599"/>
      <c r="AI177" s="599"/>
      <c r="AJ177" s="599"/>
      <c r="AK177" s="599"/>
      <c r="AL177" s="599"/>
      <c r="AM177" s="599"/>
      <c r="AN177" s="599"/>
      <c r="AO177" s="599"/>
      <c r="AP177" s="599"/>
      <c r="AQ177" s="599"/>
      <c r="AR177" s="599"/>
      <c r="AS177" s="599"/>
      <c r="AT177" s="599"/>
      <c r="AU177" s="599"/>
      <c r="AV177" s="599"/>
      <c r="AW177" s="599"/>
      <c r="AX177" s="599"/>
      <c r="AY177" s="599"/>
      <c r="AZ177" s="599"/>
      <c r="BA177" s="599"/>
      <c r="BB177" s="599"/>
      <c r="BC177" s="599"/>
      <c r="BD177" s="599"/>
      <c r="BE177" s="599"/>
      <c r="BF177" s="599"/>
      <c r="BG177" s="599"/>
      <c r="BH177" s="599"/>
      <c r="BI177" s="599"/>
      <c r="BJ177" s="599"/>
      <c r="BK177" s="599"/>
      <c r="BL177" s="599"/>
      <c r="BM177" s="599"/>
      <c r="BN177" s="599"/>
      <c r="BO177" s="599"/>
      <c r="BP177" s="599"/>
      <c r="BQ177" s="599"/>
      <c r="BR177" s="599"/>
      <c r="BS177" s="599"/>
      <c r="BT177" s="599"/>
    </row>
    <row r="178" spans="1:72" s="600" customFormat="1" ht="15.75" customHeight="1" x14ac:dyDescent="0.2">
      <c r="A178" s="337"/>
      <c r="B178" s="338"/>
      <c r="C178" s="356"/>
      <c r="D178" s="339"/>
      <c r="E178" s="339" t="s">
        <v>348</v>
      </c>
      <c r="F178" s="349" t="s">
        <v>329</v>
      </c>
      <c r="G178" s="350">
        <v>750</v>
      </c>
      <c r="H178" s="599"/>
      <c r="I178" s="599"/>
      <c r="J178" s="599"/>
      <c r="K178" s="599"/>
      <c r="L178" s="599"/>
      <c r="M178" s="599"/>
      <c r="N178" s="599"/>
      <c r="O178" s="599"/>
      <c r="P178" s="599"/>
      <c r="Q178" s="599"/>
      <c r="R178" s="599"/>
      <c r="S178" s="599"/>
      <c r="T178" s="599"/>
      <c r="U178" s="599"/>
      <c r="V178" s="599"/>
      <c r="W178" s="599"/>
      <c r="X178" s="599"/>
      <c r="Y178" s="599"/>
      <c r="Z178" s="599"/>
      <c r="AA178" s="599"/>
      <c r="AB178" s="599"/>
      <c r="AC178" s="599"/>
      <c r="AD178" s="599"/>
      <c r="AE178" s="599"/>
      <c r="AF178" s="599"/>
      <c r="AG178" s="599"/>
      <c r="AH178" s="599"/>
      <c r="AI178" s="599"/>
      <c r="AJ178" s="599"/>
      <c r="AK178" s="599"/>
      <c r="AL178" s="599"/>
      <c r="AM178" s="599"/>
      <c r="AN178" s="599"/>
      <c r="AO178" s="599"/>
      <c r="AP178" s="599"/>
      <c r="AQ178" s="599"/>
      <c r="AR178" s="599"/>
      <c r="AS178" s="599"/>
      <c r="AT178" s="599"/>
      <c r="AU178" s="599"/>
      <c r="AV178" s="599"/>
      <c r="AW178" s="599"/>
      <c r="AX178" s="599"/>
      <c r="AY178" s="599"/>
      <c r="AZ178" s="599"/>
      <c r="BA178" s="599"/>
      <c r="BB178" s="599"/>
      <c r="BC178" s="599"/>
      <c r="BD178" s="599"/>
      <c r="BE178" s="599"/>
      <c r="BF178" s="599"/>
      <c r="BG178" s="599"/>
      <c r="BH178" s="599"/>
      <c r="BI178" s="599"/>
      <c r="BJ178" s="599"/>
      <c r="BK178" s="599"/>
      <c r="BL178" s="599"/>
      <c r="BM178" s="599"/>
      <c r="BN178" s="599"/>
      <c r="BO178" s="599"/>
      <c r="BP178" s="599"/>
      <c r="BQ178" s="599"/>
      <c r="BR178" s="599"/>
      <c r="BS178" s="599"/>
      <c r="BT178" s="599"/>
    </row>
    <row r="179" spans="1:72" s="600" customFormat="1" ht="15.75" customHeight="1" x14ac:dyDescent="0.2">
      <c r="A179" s="337"/>
      <c r="B179" s="338"/>
      <c r="C179" s="356"/>
      <c r="D179" s="339"/>
      <c r="E179" s="339" t="s">
        <v>350</v>
      </c>
      <c r="F179" s="349" t="s">
        <v>329</v>
      </c>
      <c r="G179" s="350">
        <f>5586+2914-2900</f>
        <v>5600</v>
      </c>
      <c r="H179" s="599"/>
      <c r="I179" s="599"/>
      <c r="J179" s="599"/>
      <c r="K179" s="599"/>
      <c r="L179" s="599"/>
      <c r="M179" s="599"/>
      <c r="N179" s="599"/>
      <c r="O179" s="599"/>
      <c r="P179" s="599"/>
      <c r="Q179" s="599"/>
      <c r="R179" s="599"/>
      <c r="S179" s="599"/>
      <c r="T179" s="599"/>
      <c r="U179" s="599"/>
      <c r="V179" s="599"/>
      <c r="W179" s="599"/>
      <c r="X179" s="599"/>
      <c r="Y179" s="599"/>
      <c r="Z179" s="599"/>
      <c r="AA179" s="599"/>
      <c r="AB179" s="599"/>
      <c r="AC179" s="599"/>
      <c r="AD179" s="599"/>
      <c r="AE179" s="599"/>
      <c r="AF179" s="599"/>
      <c r="AG179" s="599"/>
      <c r="AH179" s="599"/>
      <c r="AI179" s="599"/>
      <c r="AJ179" s="599"/>
      <c r="AK179" s="599"/>
      <c r="AL179" s="599"/>
      <c r="AM179" s="599"/>
      <c r="AN179" s="599"/>
      <c r="AO179" s="599"/>
      <c r="AP179" s="599"/>
      <c r="AQ179" s="599"/>
      <c r="AR179" s="599"/>
      <c r="AS179" s="599"/>
      <c r="AT179" s="599"/>
      <c r="AU179" s="599"/>
      <c r="AV179" s="599"/>
      <c r="AW179" s="599"/>
      <c r="AX179" s="599"/>
      <c r="AY179" s="599"/>
      <c r="AZ179" s="599"/>
      <c r="BA179" s="599"/>
      <c r="BB179" s="599"/>
      <c r="BC179" s="599"/>
      <c r="BD179" s="599"/>
      <c r="BE179" s="599"/>
      <c r="BF179" s="599"/>
      <c r="BG179" s="599"/>
      <c r="BH179" s="599"/>
      <c r="BI179" s="599"/>
      <c r="BJ179" s="599"/>
      <c r="BK179" s="599"/>
      <c r="BL179" s="599"/>
      <c r="BM179" s="599"/>
      <c r="BN179" s="599"/>
      <c r="BO179" s="599"/>
      <c r="BP179" s="599"/>
      <c r="BQ179" s="599"/>
      <c r="BR179" s="599"/>
      <c r="BS179" s="599"/>
      <c r="BT179" s="599"/>
    </row>
    <row r="180" spans="1:72" s="600" customFormat="1" ht="12.75" customHeight="1" x14ac:dyDescent="0.2">
      <c r="A180" s="351"/>
      <c r="B180" s="352"/>
      <c r="C180" s="353"/>
      <c r="D180" s="340"/>
      <c r="E180" s="340"/>
      <c r="F180" s="342"/>
      <c r="G180" s="354"/>
      <c r="H180" s="599"/>
      <c r="I180" s="599"/>
      <c r="J180" s="599"/>
      <c r="K180" s="599"/>
      <c r="L180" s="599"/>
      <c r="M180" s="599"/>
      <c r="N180" s="599"/>
      <c r="O180" s="599"/>
      <c r="P180" s="599"/>
      <c r="Q180" s="599"/>
      <c r="R180" s="599"/>
      <c r="S180" s="599"/>
      <c r="T180" s="599"/>
      <c r="U180" s="599"/>
      <c r="V180" s="599"/>
      <c r="W180" s="599"/>
      <c r="X180" s="599"/>
      <c r="Y180" s="599"/>
      <c r="Z180" s="599"/>
      <c r="AA180" s="599"/>
      <c r="AB180" s="599"/>
      <c r="AC180" s="599"/>
      <c r="AD180" s="599"/>
      <c r="AE180" s="599"/>
      <c r="AF180" s="599"/>
      <c r="AG180" s="599"/>
      <c r="AH180" s="599"/>
      <c r="AI180" s="599"/>
      <c r="AJ180" s="599"/>
      <c r="AK180" s="599"/>
      <c r="AL180" s="599"/>
      <c r="AM180" s="599"/>
      <c r="AN180" s="599"/>
      <c r="AO180" s="599"/>
      <c r="AP180" s="599"/>
      <c r="AQ180" s="599"/>
      <c r="AR180" s="599"/>
      <c r="AS180" s="599"/>
      <c r="AT180" s="599"/>
      <c r="AU180" s="599"/>
      <c r="AV180" s="599"/>
      <c r="AW180" s="599"/>
      <c r="AX180" s="599"/>
      <c r="AY180" s="599"/>
      <c r="AZ180" s="599"/>
      <c r="BA180" s="599"/>
      <c r="BB180" s="599"/>
      <c r="BC180" s="599"/>
      <c r="BD180" s="599"/>
      <c r="BE180" s="599"/>
      <c r="BF180" s="599"/>
      <c r="BG180" s="599"/>
      <c r="BH180" s="599"/>
      <c r="BI180" s="599"/>
      <c r="BJ180" s="599"/>
      <c r="BK180" s="599"/>
      <c r="BL180" s="599"/>
      <c r="BM180" s="599"/>
      <c r="BN180" s="599"/>
      <c r="BO180" s="599"/>
      <c r="BP180" s="599"/>
      <c r="BQ180" s="599"/>
      <c r="BR180" s="599"/>
      <c r="BS180" s="599"/>
      <c r="BT180" s="599"/>
    </row>
    <row r="181" spans="1:72" s="600" customFormat="1" ht="18.75" customHeight="1" x14ac:dyDescent="0.2">
      <c r="A181" s="337"/>
      <c r="B181" s="338"/>
      <c r="C181" s="339" t="s">
        <v>362</v>
      </c>
      <c r="D181" s="339" t="s">
        <v>375</v>
      </c>
      <c r="E181" s="340" t="s">
        <v>24</v>
      </c>
      <c r="F181" s="341">
        <f>23088.67+942.17</f>
        <v>24030.839999999997</v>
      </c>
      <c r="G181" s="342" t="s">
        <v>329</v>
      </c>
      <c r="H181" s="599"/>
      <c r="I181" s="599"/>
      <c r="J181" s="599"/>
      <c r="K181" s="599"/>
      <c r="L181" s="599"/>
      <c r="M181" s="599"/>
      <c r="N181" s="599"/>
      <c r="O181" s="599"/>
      <c r="P181" s="599"/>
      <c r="Q181" s="599"/>
      <c r="R181" s="599"/>
      <c r="S181" s="599"/>
      <c r="T181" s="599"/>
      <c r="U181" s="599"/>
      <c r="V181" s="599"/>
      <c r="W181" s="599"/>
      <c r="X181" s="599"/>
      <c r="Y181" s="599"/>
      <c r="Z181" s="599"/>
      <c r="AA181" s="599"/>
      <c r="AB181" s="599"/>
      <c r="AC181" s="599"/>
      <c r="AD181" s="599"/>
      <c r="AE181" s="599"/>
      <c r="AF181" s="599"/>
      <c r="AG181" s="599"/>
      <c r="AH181" s="599"/>
      <c r="AI181" s="599"/>
      <c r="AJ181" s="599"/>
      <c r="AK181" s="599"/>
      <c r="AL181" s="599"/>
      <c r="AM181" s="599"/>
      <c r="AN181" s="599"/>
      <c r="AO181" s="599"/>
      <c r="AP181" s="599"/>
      <c r="AQ181" s="599"/>
      <c r="AR181" s="599"/>
      <c r="AS181" s="599"/>
      <c r="AT181" s="599"/>
      <c r="AU181" s="599"/>
      <c r="AV181" s="599"/>
      <c r="AW181" s="599"/>
      <c r="AX181" s="599"/>
      <c r="AY181" s="599"/>
      <c r="AZ181" s="599"/>
      <c r="BA181" s="599"/>
      <c r="BB181" s="599"/>
      <c r="BC181" s="599"/>
      <c r="BD181" s="599"/>
      <c r="BE181" s="599"/>
      <c r="BF181" s="599"/>
      <c r="BG181" s="599"/>
      <c r="BH181" s="599"/>
      <c r="BI181" s="599"/>
      <c r="BJ181" s="599"/>
      <c r="BK181" s="599"/>
      <c r="BL181" s="599"/>
      <c r="BM181" s="599"/>
      <c r="BN181" s="599"/>
      <c r="BO181" s="599"/>
      <c r="BP181" s="599"/>
      <c r="BQ181" s="599"/>
      <c r="BR181" s="599"/>
      <c r="BS181" s="599"/>
      <c r="BT181" s="599"/>
    </row>
    <row r="182" spans="1:72" s="600" customFormat="1" ht="62.25" customHeight="1" x14ac:dyDescent="0.2">
      <c r="A182" s="343" t="s">
        <v>317</v>
      </c>
      <c r="B182" s="344" t="s">
        <v>376</v>
      </c>
      <c r="C182" s="339"/>
      <c r="D182" s="339"/>
      <c r="E182" s="345" t="s">
        <v>329</v>
      </c>
      <c r="F182" s="346" t="s">
        <v>329</v>
      </c>
      <c r="G182" s="347">
        <f>SUM(G184,G189)</f>
        <v>24030.84</v>
      </c>
      <c r="H182" s="599"/>
      <c r="I182" s="599"/>
      <c r="J182" s="599"/>
      <c r="K182" s="599"/>
      <c r="L182" s="599"/>
      <c r="M182" s="599"/>
      <c r="N182" s="599"/>
      <c r="O182" s="599"/>
      <c r="P182" s="599"/>
      <c r="Q182" s="599"/>
      <c r="R182" s="599"/>
      <c r="S182" s="599"/>
      <c r="T182" s="599"/>
      <c r="U182" s="599"/>
      <c r="V182" s="599"/>
      <c r="W182" s="599"/>
      <c r="X182" s="599"/>
      <c r="Y182" s="599"/>
      <c r="Z182" s="599"/>
      <c r="AA182" s="599"/>
      <c r="AB182" s="599"/>
      <c r="AC182" s="599"/>
      <c r="AD182" s="599"/>
      <c r="AE182" s="599"/>
      <c r="AF182" s="599"/>
      <c r="AG182" s="599"/>
      <c r="AH182" s="599"/>
      <c r="AI182" s="599"/>
      <c r="AJ182" s="599"/>
      <c r="AK182" s="599"/>
      <c r="AL182" s="599"/>
      <c r="AM182" s="599"/>
      <c r="AN182" s="599"/>
      <c r="AO182" s="599"/>
      <c r="AP182" s="599"/>
      <c r="AQ182" s="599"/>
      <c r="AR182" s="599"/>
      <c r="AS182" s="599"/>
      <c r="AT182" s="599"/>
      <c r="AU182" s="599"/>
      <c r="AV182" s="599"/>
      <c r="AW182" s="599"/>
      <c r="AX182" s="599"/>
      <c r="AY182" s="599"/>
      <c r="AZ182" s="599"/>
      <c r="BA182" s="599"/>
      <c r="BB182" s="599"/>
      <c r="BC182" s="599"/>
      <c r="BD182" s="599"/>
      <c r="BE182" s="599"/>
      <c r="BF182" s="599"/>
      <c r="BG182" s="599"/>
      <c r="BH182" s="599"/>
      <c r="BI182" s="599"/>
      <c r="BJ182" s="599"/>
      <c r="BK182" s="599"/>
      <c r="BL182" s="599"/>
      <c r="BM182" s="599"/>
      <c r="BN182" s="599"/>
      <c r="BO182" s="599"/>
      <c r="BP182" s="599"/>
      <c r="BQ182" s="599"/>
      <c r="BR182" s="599"/>
      <c r="BS182" s="599"/>
      <c r="BT182" s="599"/>
    </row>
    <row r="183" spans="1:72" s="600" customFormat="1" ht="15.75" customHeight="1" x14ac:dyDescent="0.2">
      <c r="A183" s="337"/>
      <c r="B183" s="338"/>
      <c r="C183" s="356"/>
      <c r="D183" s="339"/>
      <c r="E183" s="339"/>
      <c r="F183" s="349"/>
      <c r="G183" s="350"/>
      <c r="H183" s="599"/>
      <c r="I183" s="599"/>
      <c r="J183" s="599"/>
      <c r="K183" s="599"/>
      <c r="L183" s="599"/>
      <c r="M183" s="599"/>
      <c r="N183" s="599"/>
      <c r="O183" s="599"/>
      <c r="P183" s="599"/>
      <c r="Q183" s="599"/>
      <c r="R183" s="599"/>
      <c r="S183" s="599"/>
      <c r="T183" s="599"/>
      <c r="U183" s="599"/>
      <c r="V183" s="599"/>
      <c r="W183" s="599"/>
      <c r="X183" s="599"/>
      <c r="Y183" s="599"/>
      <c r="Z183" s="599"/>
      <c r="AA183" s="599"/>
      <c r="AB183" s="599"/>
      <c r="AC183" s="599"/>
      <c r="AD183" s="599"/>
      <c r="AE183" s="599"/>
      <c r="AF183" s="599"/>
      <c r="AG183" s="599"/>
      <c r="AH183" s="599"/>
      <c r="AI183" s="599"/>
      <c r="AJ183" s="599"/>
      <c r="AK183" s="599"/>
      <c r="AL183" s="599"/>
      <c r="AM183" s="599"/>
      <c r="AN183" s="599"/>
      <c r="AO183" s="599"/>
      <c r="AP183" s="599"/>
      <c r="AQ183" s="599"/>
      <c r="AR183" s="599"/>
      <c r="AS183" s="599"/>
      <c r="AT183" s="599"/>
      <c r="AU183" s="599"/>
      <c r="AV183" s="599"/>
      <c r="AW183" s="599"/>
      <c r="AX183" s="599"/>
      <c r="AY183" s="599"/>
      <c r="AZ183" s="599"/>
      <c r="BA183" s="599"/>
      <c r="BB183" s="599"/>
      <c r="BC183" s="599"/>
      <c r="BD183" s="599"/>
      <c r="BE183" s="599"/>
      <c r="BF183" s="599"/>
      <c r="BG183" s="599"/>
      <c r="BH183" s="599"/>
      <c r="BI183" s="599"/>
      <c r="BJ183" s="599"/>
      <c r="BK183" s="599"/>
      <c r="BL183" s="599"/>
      <c r="BM183" s="599"/>
      <c r="BN183" s="599"/>
      <c r="BO183" s="599"/>
      <c r="BP183" s="599"/>
      <c r="BQ183" s="599"/>
      <c r="BR183" s="599"/>
      <c r="BS183" s="599"/>
      <c r="BT183" s="599"/>
    </row>
    <row r="184" spans="1:72" s="600" customFormat="1" ht="15.75" customHeight="1" x14ac:dyDescent="0.2">
      <c r="A184" s="337"/>
      <c r="B184" s="605" t="s">
        <v>71</v>
      </c>
      <c r="C184" s="339"/>
      <c r="D184" s="339"/>
      <c r="E184" s="345" t="s">
        <v>329</v>
      </c>
      <c r="F184" s="346" t="s">
        <v>329</v>
      </c>
      <c r="G184" s="347">
        <f>SUM(G186)</f>
        <v>23765.71</v>
      </c>
      <c r="H184" s="599"/>
      <c r="I184" s="599"/>
      <c r="J184" s="599"/>
      <c r="K184" s="599"/>
      <c r="L184" s="599"/>
      <c r="M184" s="599"/>
      <c r="N184" s="599"/>
      <c r="O184" s="599"/>
      <c r="P184" s="599"/>
      <c r="Q184" s="599"/>
      <c r="R184" s="599"/>
      <c r="S184" s="599"/>
      <c r="T184" s="599"/>
      <c r="U184" s="599"/>
      <c r="V184" s="599"/>
      <c r="W184" s="599"/>
      <c r="X184" s="599"/>
      <c r="Y184" s="599"/>
      <c r="Z184" s="599"/>
      <c r="AA184" s="599"/>
      <c r="AB184" s="599"/>
      <c r="AC184" s="599"/>
      <c r="AD184" s="599"/>
      <c r="AE184" s="599"/>
      <c r="AF184" s="599"/>
      <c r="AG184" s="599"/>
      <c r="AH184" s="599"/>
      <c r="AI184" s="599"/>
      <c r="AJ184" s="599"/>
      <c r="AK184" s="599"/>
      <c r="AL184" s="599"/>
      <c r="AM184" s="599"/>
      <c r="AN184" s="599"/>
      <c r="AO184" s="599"/>
      <c r="AP184" s="599"/>
      <c r="AQ184" s="599"/>
      <c r="AR184" s="599"/>
      <c r="AS184" s="599"/>
      <c r="AT184" s="599"/>
      <c r="AU184" s="599"/>
      <c r="AV184" s="599"/>
      <c r="AW184" s="599"/>
      <c r="AX184" s="599"/>
      <c r="AY184" s="599"/>
      <c r="AZ184" s="599"/>
      <c r="BA184" s="599"/>
      <c r="BB184" s="599"/>
      <c r="BC184" s="599"/>
      <c r="BD184" s="599"/>
      <c r="BE184" s="599"/>
      <c r="BF184" s="599"/>
      <c r="BG184" s="599"/>
      <c r="BH184" s="599"/>
      <c r="BI184" s="599"/>
      <c r="BJ184" s="599"/>
      <c r="BK184" s="599"/>
      <c r="BL184" s="599"/>
      <c r="BM184" s="599"/>
      <c r="BN184" s="599"/>
      <c r="BO184" s="599"/>
      <c r="BP184" s="599"/>
      <c r="BQ184" s="599"/>
      <c r="BR184" s="599"/>
      <c r="BS184" s="599"/>
      <c r="BT184" s="599"/>
    </row>
    <row r="185" spans="1:72" s="600" customFormat="1" ht="9.75" customHeight="1" x14ac:dyDescent="0.2">
      <c r="A185" s="337"/>
      <c r="B185" s="338"/>
      <c r="C185" s="356"/>
      <c r="D185" s="339"/>
      <c r="E185" s="339"/>
      <c r="F185" s="349"/>
      <c r="G185" s="350"/>
      <c r="H185" s="599"/>
      <c r="I185" s="599"/>
      <c r="J185" s="599"/>
      <c r="K185" s="599"/>
      <c r="L185" s="599"/>
      <c r="M185" s="599"/>
      <c r="N185" s="599"/>
      <c r="O185" s="599"/>
      <c r="P185" s="599"/>
      <c r="Q185" s="599"/>
      <c r="R185" s="599"/>
      <c r="S185" s="599"/>
      <c r="T185" s="599"/>
      <c r="U185" s="599"/>
      <c r="V185" s="599"/>
      <c r="W185" s="599"/>
      <c r="X185" s="599"/>
      <c r="Y185" s="599"/>
      <c r="Z185" s="599"/>
      <c r="AA185" s="599"/>
      <c r="AB185" s="599"/>
      <c r="AC185" s="599"/>
      <c r="AD185" s="599"/>
      <c r="AE185" s="599"/>
      <c r="AF185" s="599"/>
      <c r="AG185" s="599"/>
      <c r="AH185" s="599"/>
      <c r="AI185" s="599"/>
      <c r="AJ185" s="599"/>
      <c r="AK185" s="599"/>
      <c r="AL185" s="599"/>
      <c r="AM185" s="599"/>
      <c r="AN185" s="599"/>
      <c r="AO185" s="599"/>
      <c r="AP185" s="599"/>
      <c r="AQ185" s="599"/>
      <c r="AR185" s="599"/>
      <c r="AS185" s="599"/>
      <c r="AT185" s="599"/>
      <c r="AU185" s="599"/>
      <c r="AV185" s="599"/>
      <c r="AW185" s="599"/>
      <c r="AX185" s="599"/>
      <c r="AY185" s="599"/>
      <c r="AZ185" s="599"/>
      <c r="BA185" s="599"/>
      <c r="BB185" s="599"/>
      <c r="BC185" s="599"/>
      <c r="BD185" s="599"/>
      <c r="BE185" s="599"/>
      <c r="BF185" s="599"/>
      <c r="BG185" s="599"/>
      <c r="BH185" s="599"/>
      <c r="BI185" s="599"/>
      <c r="BJ185" s="599"/>
      <c r="BK185" s="599"/>
      <c r="BL185" s="599"/>
      <c r="BM185" s="599"/>
      <c r="BN185" s="599"/>
      <c r="BO185" s="599"/>
      <c r="BP185" s="599"/>
      <c r="BQ185" s="599"/>
      <c r="BR185" s="599"/>
      <c r="BS185" s="599"/>
      <c r="BT185" s="599"/>
    </row>
    <row r="186" spans="1:72" s="600" customFormat="1" ht="15.75" customHeight="1" x14ac:dyDescent="0.2">
      <c r="A186" s="337"/>
      <c r="B186" s="338"/>
      <c r="C186" s="356"/>
      <c r="D186" s="339"/>
      <c r="E186" s="601"/>
      <c r="F186" s="602"/>
      <c r="G186" s="603">
        <f>SUM(G187:G187)</f>
        <v>23765.71</v>
      </c>
      <c r="H186" s="599"/>
      <c r="I186" s="599"/>
      <c r="J186" s="599"/>
      <c r="K186" s="599"/>
      <c r="L186" s="599"/>
      <c r="M186" s="599"/>
      <c r="N186" s="599"/>
      <c r="O186" s="599"/>
      <c r="P186" s="599"/>
      <c r="Q186" s="599"/>
      <c r="R186" s="599"/>
      <c r="S186" s="599"/>
      <c r="T186" s="599"/>
      <c r="U186" s="599"/>
      <c r="V186" s="599"/>
      <c r="W186" s="599"/>
      <c r="X186" s="599"/>
      <c r="Y186" s="599"/>
      <c r="Z186" s="599"/>
      <c r="AA186" s="599"/>
      <c r="AB186" s="599"/>
      <c r="AC186" s="599"/>
      <c r="AD186" s="599"/>
      <c r="AE186" s="599"/>
      <c r="AF186" s="599"/>
      <c r="AG186" s="599"/>
      <c r="AH186" s="599"/>
      <c r="AI186" s="599"/>
      <c r="AJ186" s="599"/>
      <c r="AK186" s="599"/>
      <c r="AL186" s="599"/>
      <c r="AM186" s="599"/>
      <c r="AN186" s="599"/>
      <c r="AO186" s="599"/>
      <c r="AP186" s="599"/>
      <c r="AQ186" s="599"/>
      <c r="AR186" s="599"/>
      <c r="AS186" s="599"/>
      <c r="AT186" s="599"/>
      <c r="AU186" s="599"/>
      <c r="AV186" s="599"/>
      <c r="AW186" s="599"/>
      <c r="AX186" s="599"/>
      <c r="AY186" s="599"/>
      <c r="AZ186" s="599"/>
      <c r="BA186" s="599"/>
      <c r="BB186" s="599"/>
      <c r="BC186" s="599"/>
      <c r="BD186" s="599"/>
      <c r="BE186" s="599"/>
      <c r="BF186" s="599"/>
      <c r="BG186" s="599"/>
      <c r="BH186" s="599"/>
      <c r="BI186" s="599"/>
      <c r="BJ186" s="599"/>
      <c r="BK186" s="599"/>
      <c r="BL186" s="599"/>
      <c r="BM186" s="599"/>
      <c r="BN186" s="599"/>
      <c r="BO186" s="599"/>
      <c r="BP186" s="599"/>
      <c r="BQ186" s="599"/>
      <c r="BR186" s="599"/>
      <c r="BS186" s="599"/>
      <c r="BT186" s="599"/>
    </row>
    <row r="187" spans="1:72" s="600" customFormat="1" ht="15.75" customHeight="1" x14ac:dyDescent="0.2">
      <c r="A187" s="337"/>
      <c r="B187" s="338"/>
      <c r="C187" s="356"/>
      <c r="D187" s="339"/>
      <c r="E187" s="339" t="s">
        <v>86</v>
      </c>
      <c r="F187" s="349" t="s">
        <v>329</v>
      </c>
      <c r="G187" s="350">
        <f>22832.85+932.86</f>
        <v>23765.71</v>
      </c>
      <c r="H187" s="599"/>
      <c r="I187" s="599"/>
      <c r="J187" s="599"/>
      <c r="K187" s="599"/>
      <c r="L187" s="599"/>
      <c r="M187" s="599"/>
      <c r="N187" s="599"/>
      <c r="O187" s="599"/>
      <c r="P187" s="599"/>
      <c r="Q187" s="599"/>
      <c r="R187" s="599"/>
      <c r="S187" s="599"/>
      <c r="T187" s="599"/>
      <c r="U187" s="599"/>
      <c r="V187" s="599"/>
      <c r="W187" s="599"/>
      <c r="X187" s="599"/>
      <c r="Y187" s="599"/>
      <c r="Z187" s="599"/>
      <c r="AA187" s="599"/>
      <c r="AB187" s="599"/>
      <c r="AC187" s="599"/>
      <c r="AD187" s="599"/>
      <c r="AE187" s="599"/>
      <c r="AF187" s="599"/>
      <c r="AG187" s="599"/>
      <c r="AH187" s="599"/>
      <c r="AI187" s="599"/>
      <c r="AJ187" s="599"/>
      <c r="AK187" s="599"/>
      <c r="AL187" s="599"/>
      <c r="AM187" s="599"/>
      <c r="AN187" s="599"/>
      <c r="AO187" s="599"/>
      <c r="AP187" s="599"/>
      <c r="AQ187" s="599"/>
      <c r="AR187" s="599"/>
      <c r="AS187" s="599"/>
      <c r="AT187" s="599"/>
      <c r="AU187" s="599"/>
      <c r="AV187" s="599"/>
      <c r="AW187" s="599"/>
      <c r="AX187" s="599"/>
      <c r="AY187" s="599"/>
      <c r="AZ187" s="599"/>
      <c r="BA187" s="599"/>
      <c r="BB187" s="599"/>
      <c r="BC187" s="599"/>
      <c r="BD187" s="599"/>
      <c r="BE187" s="599"/>
      <c r="BF187" s="599"/>
      <c r="BG187" s="599"/>
      <c r="BH187" s="599"/>
      <c r="BI187" s="599"/>
      <c r="BJ187" s="599"/>
      <c r="BK187" s="599"/>
      <c r="BL187" s="599"/>
      <c r="BM187" s="599"/>
      <c r="BN187" s="599"/>
      <c r="BO187" s="599"/>
      <c r="BP187" s="599"/>
      <c r="BQ187" s="599"/>
      <c r="BR187" s="599"/>
      <c r="BS187" s="599"/>
      <c r="BT187" s="599"/>
    </row>
    <row r="188" spans="1:72" s="600" customFormat="1" ht="9" customHeight="1" x14ac:dyDescent="0.2">
      <c r="A188" s="337"/>
      <c r="B188" s="338"/>
      <c r="C188" s="356"/>
      <c r="D188" s="339"/>
      <c r="E188" s="340"/>
      <c r="F188" s="342"/>
      <c r="G188" s="354"/>
      <c r="H188" s="599"/>
      <c r="I188" s="599"/>
      <c r="J188" s="599"/>
      <c r="K188" s="599"/>
      <c r="L188" s="599"/>
      <c r="M188" s="599"/>
      <c r="N188" s="599"/>
      <c r="O188" s="599"/>
      <c r="P188" s="599"/>
      <c r="Q188" s="599"/>
      <c r="R188" s="599"/>
      <c r="S188" s="599"/>
      <c r="T188" s="599"/>
      <c r="U188" s="599"/>
      <c r="V188" s="599"/>
      <c r="W188" s="599"/>
      <c r="X188" s="599"/>
      <c r="Y188" s="599"/>
      <c r="Z188" s="599"/>
      <c r="AA188" s="599"/>
      <c r="AB188" s="599"/>
      <c r="AC188" s="599"/>
      <c r="AD188" s="599"/>
      <c r="AE188" s="599"/>
      <c r="AF188" s="599"/>
      <c r="AG188" s="599"/>
      <c r="AH188" s="599"/>
      <c r="AI188" s="599"/>
      <c r="AJ188" s="599"/>
      <c r="AK188" s="599"/>
      <c r="AL188" s="599"/>
      <c r="AM188" s="599"/>
      <c r="AN188" s="599"/>
      <c r="AO188" s="599"/>
      <c r="AP188" s="599"/>
      <c r="AQ188" s="599"/>
      <c r="AR188" s="599"/>
      <c r="AS188" s="599"/>
      <c r="AT188" s="599"/>
      <c r="AU188" s="599"/>
      <c r="AV188" s="599"/>
      <c r="AW188" s="599"/>
      <c r="AX188" s="599"/>
      <c r="AY188" s="599"/>
      <c r="AZ188" s="599"/>
      <c r="BA188" s="599"/>
      <c r="BB188" s="599"/>
      <c r="BC188" s="599"/>
      <c r="BD188" s="599"/>
      <c r="BE188" s="599"/>
      <c r="BF188" s="599"/>
      <c r="BG188" s="599"/>
      <c r="BH188" s="599"/>
      <c r="BI188" s="599"/>
      <c r="BJ188" s="599"/>
      <c r="BK188" s="599"/>
      <c r="BL188" s="599"/>
      <c r="BM188" s="599"/>
      <c r="BN188" s="599"/>
      <c r="BO188" s="599"/>
      <c r="BP188" s="599"/>
      <c r="BQ188" s="599"/>
      <c r="BR188" s="599"/>
      <c r="BS188" s="599"/>
      <c r="BT188" s="599"/>
    </row>
    <row r="189" spans="1:72" s="600" customFormat="1" ht="20.25" customHeight="1" x14ac:dyDescent="0.2">
      <c r="A189" s="337"/>
      <c r="B189" s="605" t="s">
        <v>105</v>
      </c>
      <c r="C189" s="339"/>
      <c r="D189" s="339"/>
      <c r="E189" s="340" t="s">
        <v>329</v>
      </c>
      <c r="F189" s="342" t="s">
        <v>329</v>
      </c>
      <c r="G189" s="341">
        <f>SUM(G191)</f>
        <v>265.13</v>
      </c>
      <c r="H189" s="599"/>
      <c r="I189" s="599"/>
      <c r="J189" s="599"/>
      <c r="K189" s="599"/>
      <c r="L189" s="599"/>
      <c r="M189" s="599"/>
      <c r="N189" s="599"/>
      <c r="O189" s="599"/>
      <c r="P189" s="599"/>
      <c r="Q189" s="599"/>
      <c r="R189" s="599"/>
      <c r="S189" s="599"/>
      <c r="T189" s="599"/>
      <c r="U189" s="599"/>
      <c r="V189" s="599"/>
      <c r="W189" s="599"/>
      <c r="X189" s="599"/>
      <c r="Y189" s="599"/>
      <c r="Z189" s="599"/>
      <c r="AA189" s="599"/>
      <c r="AB189" s="599"/>
      <c r="AC189" s="599"/>
      <c r="AD189" s="599"/>
      <c r="AE189" s="599"/>
      <c r="AF189" s="599"/>
      <c r="AG189" s="599"/>
      <c r="AH189" s="599"/>
      <c r="AI189" s="599"/>
      <c r="AJ189" s="599"/>
      <c r="AK189" s="599"/>
      <c r="AL189" s="599"/>
      <c r="AM189" s="599"/>
      <c r="AN189" s="599"/>
      <c r="AO189" s="599"/>
      <c r="AP189" s="599"/>
      <c r="AQ189" s="599"/>
      <c r="AR189" s="599"/>
      <c r="AS189" s="599"/>
      <c r="AT189" s="599"/>
      <c r="AU189" s="599"/>
      <c r="AV189" s="599"/>
      <c r="AW189" s="599"/>
      <c r="AX189" s="599"/>
      <c r="AY189" s="599"/>
      <c r="AZ189" s="599"/>
      <c r="BA189" s="599"/>
      <c r="BB189" s="599"/>
      <c r="BC189" s="599"/>
      <c r="BD189" s="599"/>
      <c r="BE189" s="599"/>
      <c r="BF189" s="599"/>
      <c r="BG189" s="599"/>
      <c r="BH189" s="599"/>
      <c r="BI189" s="599"/>
      <c r="BJ189" s="599"/>
      <c r="BK189" s="599"/>
      <c r="BL189" s="599"/>
      <c r="BM189" s="599"/>
      <c r="BN189" s="599"/>
      <c r="BO189" s="599"/>
      <c r="BP189" s="599"/>
      <c r="BQ189" s="599"/>
      <c r="BR189" s="599"/>
      <c r="BS189" s="599"/>
      <c r="BT189" s="599"/>
    </row>
    <row r="190" spans="1:72" s="600" customFormat="1" ht="9.75" customHeight="1" x14ac:dyDescent="0.2">
      <c r="A190" s="337"/>
      <c r="B190" s="338"/>
      <c r="C190" s="356"/>
      <c r="D190" s="339"/>
      <c r="E190" s="339"/>
      <c r="F190" s="349"/>
      <c r="G190" s="350"/>
      <c r="H190" s="599"/>
      <c r="I190" s="599"/>
      <c r="J190" s="599"/>
      <c r="K190" s="599"/>
      <c r="L190" s="599"/>
      <c r="M190" s="599"/>
      <c r="N190" s="599"/>
      <c r="O190" s="599"/>
      <c r="P190" s="599"/>
      <c r="Q190" s="599"/>
      <c r="R190" s="599"/>
      <c r="S190" s="599"/>
      <c r="T190" s="599"/>
      <c r="U190" s="599"/>
      <c r="V190" s="599"/>
      <c r="W190" s="599"/>
      <c r="X190" s="599"/>
      <c r="Y190" s="599"/>
      <c r="Z190" s="599"/>
      <c r="AA190" s="599"/>
      <c r="AB190" s="599"/>
      <c r="AC190" s="599"/>
      <c r="AD190" s="599"/>
      <c r="AE190" s="599"/>
      <c r="AF190" s="599"/>
      <c r="AG190" s="599"/>
      <c r="AH190" s="599"/>
      <c r="AI190" s="599"/>
      <c r="AJ190" s="599"/>
      <c r="AK190" s="599"/>
      <c r="AL190" s="599"/>
      <c r="AM190" s="599"/>
      <c r="AN190" s="599"/>
      <c r="AO190" s="599"/>
      <c r="AP190" s="599"/>
      <c r="AQ190" s="599"/>
      <c r="AR190" s="599"/>
      <c r="AS190" s="599"/>
      <c r="AT190" s="599"/>
      <c r="AU190" s="599"/>
      <c r="AV190" s="599"/>
      <c r="AW190" s="599"/>
      <c r="AX190" s="599"/>
      <c r="AY190" s="599"/>
      <c r="AZ190" s="599"/>
      <c r="BA190" s="599"/>
      <c r="BB190" s="599"/>
      <c r="BC190" s="599"/>
      <c r="BD190" s="599"/>
      <c r="BE190" s="599"/>
      <c r="BF190" s="599"/>
      <c r="BG190" s="599"/>
      <c r="BH190" s="599"/>
      <c r="BI190" s="599"/>
      <c r="BJ190" s="599"/>
      <c r="BK190" s="599"/>
      <c r="BL190" s="599"/>
      <c r="BM190" s="599"/>
      <c r="BN190" s="599"/>
      <c r="BO190" s="599"/>
      <c r="BP190" s="599"/>
      <c r="BQ190" s="599"/>
      <c r="BR190" s="599"/>
      <c r="BS190" s="599"/>
      <c r="BT190" s="599"/>
    </row>
    <row r="191" spans="1:72" s="600" customFormat="1" ht="15.75" customHeight="1" x14ac:dyDescent="0.2">
      <c r="A191" s="337"/>
      <c r="B191" s="338"/>
      <c r="C191" s="356"/>
      <c r="D191" s="339"/>
      <c r="E191" s="601"/>
      <c r="F191" s="602"/>
      <c r="G191" s="603">
        <f>SUM(G192:G193)</f>
        <v>265.13</v>
      </c>
      <c r="H191" s="599"/>
      <c r="I191" s="599"/>
      <c r="J191" s="599"/>
      <c r="K191" s="599"/>
      <c r="L191" s="599"/>
      <c r="M191" s="599"/>
      <c r="N191" s="599"/>
      <c r="O191" s="599"/>
      <c r="P191" s="599"/>
      <c r="Q191" s="599"/>
      <c r="R191" s="599"/>
      <c r="S191" s="599"/>
      <c r="T191" s="599"/>
      <c r="U191" s="599"/>
      <c r="V191" s="599"/>
      <c r="W191" s="599"/>
      <c r="X191" s="599"/>
      <c r="Y191" s="599"/>
      <c r="Z191" s="599"/>
      <c r="AA191" s="599"/>
      <c r="AB191" s="599"/>
      <c r="AC191" s="599"/>
      <c r="AD191" s="599"/>
      <c r="AE191" s="599"/>
      <c r="AF191" s="599"/>
      <c r="AG191" s="599"/>
      <c r="AH191" s="599"/>
      <c r="AI191" s="599"/>
      <c r="AJ191" s="599"/>
      <c r="AK191" s="599"/>
      <c r="AL191" s="599"/>
      <c r="AM191" s="599"/>
      <c r="AN191" s="599"/>
      <c r="AO191" s="599"/>
      <c r="AP191" s="599"/>
      <c r="AQ191" s="599"/>
      <c r="AR191" s="599"/>
      <c r="AS191" s="599"/>
      <c r="AT191" s="599"/>
      <c r="AU191" s="599"/>
      <c r="AV191" s="599"/>
      <c r="AW191" s="599"/>
      <c r="AX191" s="599"/>
      <c r="AY191" s="599"/>
      <c r="AZ191" s="599"/>
      <c r="BA191" s="599"/>
      <c r="BB191" s="599"/>
      <c r="BC191" s="599"/>
      <c r="BD191" s="599"/>
      <c r="BE191" s="599"/>
      <c r="BF191" s="599"/>
      <c r="BG191" s="599"/>
      <c r="BH191" s="599"/>
      <c r="BI191" s="599"/>
      <c r="BJ191" s="599"/>
      <c r="BK191" s="599"/>
      <c r="BL191" s="599"/>
      <c r="BM191" s="599"/>
      <c r="BN191" s="599"/>
      <c r="BO191" s="599"/>
      <c r="BP191" s="599"/>
      <c r="BQ191" s="599"/>
      <c r="BR191" s="599"/>
      <c r="BS191" s="599"/>
      <c r="BT191" s="599"/>
    </row>
    <row r="192" spans="1:72" s="600" customFormat="1" ht="15.75" customHeight="1" x14ac:dyDescent="0.2">
      <c r="A192" s="337"/>
      <c r="B192" s="338"/>
      <c r="C192" s="356"/>
      <c r="D192" s="339"/>
      <c r="E192" s="339" t="s">
        <v>93</v>
      </c>
      <c r="F192" s="349" t="s">
        <v>329</v>
      </c>
      <c r="G192" s="350">
        <f>27.23</f>
        <v>27.23</v>
      </c>
      <c r="H192" s="599"/>
      <c r="I192" s="599"/>
      <c r="J192" s="599"/>
      <c r="K192" s="599"/>
      <c r="L192" s="599"/>
      <c r="M192" s="599"/>
      <c r="N192" s="599"/>
      <c r="O192" s="599"/>
      <c r="P192" s="599"/>
      <c r="Q192" s="599"/>
      <c r="R192" s="599"/>
      <c r="S192" s="599"/>
      <c r="T192" s="599"/>
      <c r="U192" s="599"/>
      <c r="V192" s="599"/>
      <c r="W192" s="599"/>
      <c r="X192" s="599"/>
      <c r="Y192" s="599"/>
      <c r="Z192" s="599"/>
      <c r="AA192" s="599"/>
      <c r="AB192" s="599"/>
      <c r="AC192" s="599"/>
      <c r="AD192" s="599"/>
      <c r="AE192" s="599"/>
      <c r="AF192" s="599"/>
      <c r="AG192" s="599"/>
      <c r="AH192" s="599"/>
      <c r="AI192" s="599"/>
      <c r="AJ192" s="599"/>
      <c r="AK192" s="599"/>
      <c r="AL192" s="599"/>
      <c r="AM192" s="599"/>
      <c r="AN192" s="599"/>
      <c r="AO192" s="599"/>
      <c r="AP192" s="599"/>
      <c r="AQ192" s="599"/>
      <c r="AR192" s="599"/>
      <c r="AS192" s="599"/>
      <c r="AT192" s="599"/>
      <c r="AU192" s="599"/>
      <c r="AV192" s="599"/>
      <c r="AW192" s="599"/>
      <c r="AX192" s="599"/>
      <c r="AY192" s="599"/>
      <c r="AZ192" s="599"/>
      <c r="BA192" s="599"/>
      <c r="BB192" s="599"/>
      <c r="BC192" s="599"/>
      <c r="BD192" s="599"/>
      <c r="BE192" s="599"/>
      <c r="BF192" s="599"/>
      <c r="BG192" s="599"/>
      <c r="BH192" s="599"/>
      <c r="BI192" s="599"/>
      <c r="BJ192" s="599"/>
      <c r="BK192" s="599"/>
      <c r="BL192" s="599"/>
      <c r="BM192" s="599"/>
      <c r="BN192" s="599"/>
      <c r="BO192" s="599"/>
      <c r="BP192" s="599"/>
      <c r="BQ192" s="599"/>
      <c r="BR192" s="599"/>
      <c r="BS192" s="599"/>
      <c r="BT192" s="599"/>
    </row>
    <row r="193" spans="1:16135" s="600" customFormat="1" ht="15.75" customHeight="1" x14ac:dyDescent="0.2">
      <c r="A193" s="337"/>
      <c r="B193" s="338"/>
      <c r="C193" s="356"/>
      <c r="D193" s="339"/>
      <c r="E193" s="339" t="s">
        <v>86</v>
      </c>
      <c r="F193" s="349" t="s">
        <v>329</v>
      </c>
      <c r="G193" s="350">
        <f>228.59+9.31</f>
        <v>237.9</v>
      </c>
      <c r="H193" s="599"/>
      <c r="I193" s="599"/>
      <c r="J193" s="599"/>
      <c r="K193" s="599"/>
      <c r="L193" s="599"/>
      <c r="M193" s="599"/>
      <c r="N193" s="599"/>
      <c r="O193" s="599"/>
      <c r="P193" s="599"/>
      <c r="Q193" s="599"/>
      <c r="R193" s="599"/>
      <c r="S193" s="599"/>
      <c r="T193" s="599"/>
      <c r="U193" s="599"/>
      <c r="V193" s="599"/>
      <c r="W193" s="599"/>
      <c r="X193" s="599"/>
      <c r="Y193" s="599"/>
      <c r="Z193" s="599"/>
      <c r="AA193" s="599"/>
      <c r="AB193" s="599"/>
      <c r="AC193" s="599"/>
      <c r="AD193" s="599"/>
      <c r="AE193" s="599"/>
      <c r="AF193" s="599"/>
      <c r="AG193" s="599"/>
      <c r="AH193" s="599"/>
      <c r="AI193" s="599"/>
      <c r="AJ193" s="599"/>
      <c r="AK193" s="599"/>
      <c r="AL193" s="599"/>
      <c r="AM193" s="599"/>
      <c r="AN193" s="599"/>
      <c r="AO193" s="599"/>
      <c r="AP193" s="599"/>
      <c r="AQ193" s="599"/>
      <c r="AR193" s="599"/>
      <c r="AS193" s="599"/>
      <c r="AT193" s="599"/>
      <c r="AU193" s="599"/>
      <c r="AV193" s="599"/>
      <c r="AW193" s="599"/>
      <c r="AX193" s="599"/>
      <c r="AY193" s="599"/>
      <c r="AZ193" s="599"/>
      <c r="BA193" s="599"/>
      <c r="BB193" s="599"/>
      <c r="BC193" s="599"/>
      <c r="BD193" s="599"/>
      <c r="BE193" s="599"/>
      <c r="BF193" s="599"/>
      <c r="BG193" s="599"/>
      <c r="BH193" s="599"/>
      <c r="BI193" s="599"/>
      <c r="BJ193" s="599"/>
      <c r="BK193" s="599"/>
      <c r="BL193" s="599"/>
      <c r="BM193" s="599"/>
      <c r="BN193" s="599"/>
      <c r="BO193" s="599"/>
      <c r="BP193" s="599"/>
      <c r="BQ193" s="599"/>
      <c r="BR193" s="599"/>
      <c r="BS193" s="599"/>
      <c r="BT193" s="599"/>
    </row>
    <row r="194" spans="1:16135" s="600" customFormat="1" ht="12" customHeight="1" x14ac:dyDescent="0.2">
      <c r="A194" s="351"/>
      <c r="B194" s="352"/>
      <c r="C194" s="353"/>
      <c r="D194" s="340"/>
      <c r="E194" s="340"/>
      <c r="F194" s="342"/>
      <c r="G194" s="354"/>
      <c r="H194" s="599"/>
      <c r="I194" s="599"/>
      <c r="J194" s="599"/>
      <c r="K194" s="599"/>
      <c r="L194" s="599"/>
      <c r="M194" s="599"/>
      <c r="N194" s="599"/>
      <c r="O194" s="599"/>
      <c r="P194" s="599"/>
      <c r="Q194" s="599"/>
      <c r="R194" s="599"/>
      <c r="S194" s="599"/>
      <c r="T194" s="599"/>
      <c r="U194" s="599"/>
      <c r="V194" s="599"/>
      <c r="W194" s="599"/>
      <c r="X194" s="599"/>
      <c r="Y194" s="599"/>
      <c r="Z194" s="599"/>
      <c r="AA194" s="599"/>
      <c r="AB194" s="599"/>
      <c r="AC194" s="599"/>
      <c r="AD194" s="599"/>
      <c r="AE194" s="599"/>
      <c r="AF194" s="599"/>
      <c r="AG194" s="599"/>
      <c r="AH194" s="599"/>
      <c r="AI194" s="599"/>
      <c r="AJ194" s="599"/>
      <c r="AK194" s="599"/>
      <c r="AL194" s="599"/>
      <c r="AM194" s="599"/>
      <c r="AN194" s="599"/>
      <c r="AO194" s="599"/>
      <c r="AP194" s="599"/>
      <c r="AQ194" s="599"/>
      <c r="AR194" s="599"/>
      <c r="AS194" s="599"/>
      <c r="AT194" s="599"/>
      <c r="AU194" s="599"/>
      <c r="AV194" s="599"/>
      <c r="AW194" s="599"/>
      <c r="AX194" s="599"/>
      <c r="AY194" s="599"/>
      <c r="AZ194" s="599"/>
      <c r="BA194" s="599"/>
      <c r="BB194" s="599"/>
      <c r="BC194" s="599"/>
      <c r="BD194" s="599"/>
      <c r="BE194" s="599"/>
      <c r="BF194" s="599"/>
      <c r="BG194" s="599"/>
      <c r="BH194" s="599"/>
      <c r="BI194" s="599"/>
      <c r="BJ194" s="599"/>
      <c r="BK194" s="599"/>
      <c r="BL194" s="599"/>
      <c r="BM194" s="599"/>
      <c r="BN194" s="599"/>
      <c r="BO194" s="599"/>
      <c r="BP194" s="599"/>
      <c r="BQ194" s="599"/>
      <c r="BR194" s="599"/>
      <c r="BS194" s="599"/>
      <c r="BT194" s="599"/>
    </row>
    <row r="195" spans="1:16135" s="621" customFormat="1" ht="27" customHeight="1" x14ac:dyDescent="0.2">
      <c r="A195" s="615"/>
      <c r="B195" s="616" t="s">
        <v>185</v>
      </c>
      <c r="C195" s="617"/>
      <c r="D195" s="618"/>
      <c r="E195" s="619"/>
      <c r="F195" s="619">
        <f>SUM(F12,F18,F26,F34,F42,F52,F60,F66,F73,F181)</f>
        <v>4397088.8899999997</v>
      </c>
      <c r="G195" s="619">
        <f>SUM(G13,G19,G27,G35,G43,G53,G61,G67,G74,G182)</f>
        <v>4550416.7</v>
      </c>
      <c r="H195" s="620"/>
      <c r="I195" s="620"/>
      <c r="J195" s="620"/>
      <c r="K195" s="620"/>
      <c r="L195" s="620"/>
      <c r="M195" s="620"/>
      <c r="N195" s="620"/>
      <c r="O195" s="620"/>
      <c r="P195" s="620"/>
      <c r="Q195" s="620"/>
      <c r="R195" s="620"/>
      <c r="S195" s="620"/>
      <c r="T195" s="620"/>
      <c r="U195" s="620"/>
      <c r="V195" s="620"/>
      <c r="W195" s="620"/>
      <c r="X195" s="620"/>
      <c r="Y195" s="620"/>
      <c r="Z195" s="620"/>
      <c r="AA195" s="620"/>
      <c r="AB195" s="620"/>
      <c r="AC195" s="620"/>
      <c r="AD195" s="620"/>
      <c r="AE195" s="620"/>
      <c r="AF195" s="620"/>
      <c r="AG195" s="620"/>
      <c r="AH195" s="620"/>
      <c r="AI195" s="620"/>
      <c r="AJ195" s="620"/>
      <c r="AK195" s="620"/>
      <c r="AL195" s="620"/>
      <c r="AM195" s="620"/>
      <c r="AN195" s="620"/>
      <c r="AO195" s="620"/>
      <c r="AP195" s="620"/>
      <c r="AQ195" s="620"/>
      <c r="AR195" s="620"/>
      <c r="AS195" s="620"/>
      <c r="AT195" s="620"/>
      <c r="AU195" s="620"/>
      <c r="AV195" s="620"/>
      <c r="AW195" s="620"/>
      <c r="AX195" s="620"/>
      <c r="AY195" s="620"/>
      <c r="AZ195" s="620"/>
      <c r="BA195" s="620"/>
      <c r="BB195" s="620"/>
      <c r="BC195" s="620"/>
      <c r="BD195" s="620"/>
      <c r="BE195" s="620"/>
      <c r="BF195" s="620"/>
      <c r="BG195" s="620"/>
      <c r="BH195" s="620"/>
      <c r="BI195" s="620"/>
      <c r="BJ195" s="620"/>
      <c r="BK195" s="620"/>
      <c r="BL195" s="620"/>
      <c r="BM195" s="620"/>
      <c r="BN195" s="620"/>
      <c r="BO195" s="620"/>
      <c r="BP195" s="620"/>
      <c r="BQ195" s="620"/>
      <c r="BR195" s="620"/>
      <c r="BS195" s="620"/>
      <c r="BT195" s="620"/>
    </row>
    <row r="196" spans="1:16135" x14ac:dyDescent="0.25">
      <c r="F196" s="362"/>
      <c r="G196" s="362"/>
    </row>
    <row r="197" spans="1:16135" customFormat="1" x14ac:dyDescent="0.25">
      <c r="A197" s="622"/>
      <c r="B197" s="360"/>
      <c r="C197" s="360"/>
      <c r="D197" s="360"/>
      <c r="E197" s="360"/>
      <c r="F197" s="362"/>
      <c r="G197" s="362"/>
      <c r="I197" s="48"/>
      <c r="BY197" s="360"/>
      <c r="BZ197" s="360"/>
      <c r="CA197" s="360"/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  <c r="DF197" s="360"/>
      <c r="DG197" s="360"/>
      <c r="DH197" s="360"/>
      <c r="DI197" s="360"/>
      <c r="DJ197" s="360"/>
      <c r="DK197" s="360"/>
      <c r="DL197" s="360"/>
      <c r="DM197" s="360"/>
      <c r="DN197" s="360"/>
      <c r="DO197" s="360"/>
      <c r="DP197" s="360"/>
      <c r="DQ197" s="360"/>
      <c r="DR197" s="360"/>
      <c r="DS197" s="360"/>
      <c r="DT197" s="360"/>
      <c r="DU197" s="360"/>
      <c r="DV197" s="360"/>
      <c r="DW197" s="360"/>
      <c r="DX197" s="360"/>
      <c r="DY197" s="360"/>
      <c r="DZ197" s="360"/>
      <c r="EA197" s="360"/>
      <c r="EB197" s="360"/>
      <c r="EC197" s="360"/>
      <c r="ED197" s="360"/>
      <c r="EE197" s="360"/>
      <c r="EF197" s="360"/>
      <c r="EG197" s="360"/>
      <c r="EH197" s="360"/>
      <c r="EI197" s="360"/>
      <c r="EJ197" s="360"/>
      <c r="EK197" s="360"/>
      <c r="EL197" s="360"/>
      <c r="EM197" s="360"/>
      <c r="EN197" s="360"/>
      <c r="EO197" s="360"/>
      <c r="EP197" s="360"/>
      <c r="EQ197" s="360"/>
      <c r="ER197" s="360"/>
      <c r="ES197" s="360"/>
      <c r="ET197" s="360"/>
      <c r="EU197" s="360"/>
      <c r="EV197" s="360"/>
      <c r="EW197" s="360"/>
      <c r="EX197" s="360"/>
      <c r="EY197" s="360"/>
      <c r="EZ197" s="360"/>
      <c r="FA197" s="360"/>
      <c r="FB197" s="360"/>
      <c r="FC197" s="360"/>
      <c r="FD197" s="360"/>
      <c r="FE197" s="360"/>
      <c r="FF197" s="360"/>
      <c r="FG197" s="360"/>
      <c r="FH197" s="360"/>
      <c r="FI197" s="360"/>
      <c r="FJ197" s="360"/>
      <c r="FK197" s="360"/>
      <c r="FL197" s="360"/>
      <c r="FM197" s="360"/>
      <c r="FN197" s="360"/>
      <c r="FO197" s="360"/>
      <c r="FP197" s="360"/>
      <c r="FQ197" s="360"/>
      <c r="FR197" s="360"/>
      <c r="FS197" s="360"/>
      <c r="FT197" s="360"/>
      <c r="FU197" s="360"/>
      <c r="FV197" s="360"/>
      <c r="FW197" s="360"/>
      <c r="FX197" s="360"/>
      <c r="FY197" s="360"/>
      <c r="FZ197" s="360"/>
      <c r="GA197" s="360"/>
      <c r="GB197" s="360"/>
      <c r="GC197" s="360"/>
      <c r="GD197" s="360"/>
      <c r="GE197" s="360"/>
      <c r="GF197" s="360"/>
      <c r="GG197" s="360"/>
      <c r="GH197" s="360"/>
      <c r="GI197" s="360"/>
      <c r="GJ197" s="360"/>
      <c r="GK197" s="360"/>
      <c r="GL197" s="360"/>
      <c r="GM197" s="360"/>
      <c r="GN197" s="360"/>
      <c r="GO197" s="360"/>
      <c r="GP197" s="360"/>
      <c r="GQ197" s="360"/>
      <c r="GR197" s="360"/>
      <c r="GS197" s="360"/>
      <c r="GT197" s="360"/>
      <c r="GU197" s="360"/>
      <c r="GV197" s="360"/>
      <c r="GW197" s="360"/>
      <c r="GX197" s="360"/>
      <c r="GY197" s="360"/>
      <c r="GZ197" s="360"/>
      <c r="HA197" s="360"/>
      <c r="HB197" s="360"/>
      <c r="HC197" s="360"/>
      <c r="HD197" s="360"/>
      <c r="HE197" s="360"/>
      <c r="HF197" s="360"/>
      <c r="HG197" s="360"/>
      <c r="HH197" s="360"/>
      <c r="HI197" s="360"/>
      <c r="HJ197" s="360"/>
      <c r="HK197" s="360"/>
      <c r="HL197" s="360"/>
      <c r="HM197" s="360"/>
      <c r="HN197" s="360"/>
      <c r="HO197" s="360"/>
      <c r="HP197" s="360"/>
      <c r="HQ197" s="360"/>
      <c r="HR197" s="360"/>
      <c r="HS197" s="360"/>
      <c r="HT197" s="360"/>
      <c r="HU197" s="360"/>
      <c r="HV197" s="360"/>
      <c r="HW197" s="360"/>
      <c r="HX197" s="360"/>
      <c r="HY197" s="360"/>
      <c r="HZ197" s="360"/>
      <c r="IA197" s="360"/>
      <c r="IB197" s="360"/>
      <c r="IC197" s="360"/>
      <c r="ID197" s="360"/>
      <c r="IE197" s="360"/>
      <c r="IF197" s="360"/>
      <c r="IG197" s="360"/>
      <c r="IH197" s="360"/>
      <c r="II197" s="360"/>
      <c r="IJ197" s="360"/>
      <c r="IK197" s="360"/>
      <c r="IL197" s="360"/>
      <c r="IM197" s="360"/>
      <c r="IN197" s="360"/>
      <c r="IO197" s="360"/>
      <c r="IP197" s="360"/>
      <c r="IQ197" s="360"/>
      <c r="IR197" s="360"/>
      <c r="IS197" s="360"/>
      <c r="IT197" s="360"/>
      <c r="IU197" s="360"/>
      <c r="IV197" s="360"/>
      <c r="IW197" s="360"/>
      <c r="IX197" s="360"/>
      <c r="IY197" s="360"/>
      <c r="IZ197" s="360"/>
      <c r="JA197" s="360"/>
      <c r="JB197" s="360"/>
      <c r="JC197" s="360"/>
      <c r="JD197" s="360"/>
      <c r="JE197" s="360"/>
      <c r="JF197" s="360"/>
      <c r="JG197" s="360"/>
      <c r="JH197" s="360"/>
      <c r="JI197" s="360"/>
      <c r="JJ197" s="360"/>
      <c r="JK197" s="360"/>
      <c r="JL197" s="360"/>
      <c r="JM197" s="360"/>
      <c r="JN197" s="360"/>
      <c r="JO197" s="360"/>
      <c r="JP197" s="360"/>
      <c r="JQ197" s="360"/>
      <c r="JR197" s="360"/>
      <c r="JS197" s="360"/>
      <c r="JT197" s="360"/>
      <c r="JU197" s="360"/>
      <c r="JV197" s="360"/>
      <c r="JW197" s="360"/>
      <c r="JX197" s="360"/>
      <c r="JY197" s="360"/>
      <c r="JZ197" s="360"/>
      <c r="KA197" s="360"/>
      <c r="KB197" s="360"/>
      <c r="KC197" s="360"/>
      <c r="KD197" s="360"/>
      <c r="KE197" s="360"/>
      <c r="KF197" s="360"/>
      <c r="KG197" s="360"/>
      <c r="KH197" s="360"/>
      <c r="KI197" s="360"/>
      <c r="KJ197" s="360"/>
      <c r="KK197" s="360"/>
      <c r="KL197" s="360"/>
      <c r="KM197" s="360"/>
      <c r="KN197" s="360"/>
      <c r="KO197" s="360"/>
      <c r="KP197" s="360"/>
      <c r="KQ197" s="360"/>
      <c r="KR197" s="360"/>
      <c r="KS197" s="360"/>
      <c r="KT197" s="360"/>
      <c r="KU197" s="360"/>
      <c r="KV197" s="360"/>
      <c r="KW197" s="360"/>
      <c r="KX197" s="360"/>
      <c r="KY197" s="360"/>
      <c r="KZ197" s="360"/>
      <c r="LA197" s="360"/>
      <c r="LB197" s="360"/>
      <c r="LC197" s="360"/>
      <c r="LD197" s="360"/>
      <c r="LE197" s="360"/>
      <c r="LF197" s="360"/>
      <c r="LG197" s="360"/>
      <c r="LH197" s="360"/>
      <c r="LI197" s="360"/>
      <c r="LJ197" s="360"/>
      <c r="LK197" s="360"/>
      <c r="LL197" s="360"/>
      <c r="LM197" s="360"/>
      <c r="LN197" s="360"/>
      <c r="LO197" s="360"/>
      <c r="LP197" s="360"/>
      <c r="LQ197" s="360"/>
      <c r="LR197" s="360"/>
      <c r="LS197" s="360"/>
      <c r="LT197" s="360"/>
      <c r="LU197" s="360"/>
      <c r="LV197" s="360"/>
      <c r="LW197" s="360"/>
      <c r="LX197" s="360"/>
      <c r="LY197" s="360"/>
      <c r="LZ197" s="360"/>
      <c r="MA197" s="360"/>
      <c r="MB197" s="360"/>
      <c r="MC197" s="360"/>
      <c r="MD197" s="360"/>
      <c r="ME197" s="360"/>
      <c r="MF197" s="360"/>
      <c r="MG197" s="360"/>
      <c r="MH197" s="360"/>
      <c r="MI197" s="360"/>
      <c r="MJ197" s="360"/>
      <c r="MK197" s="360"/>
      <c r="ML197" s="360"/>
      <c r="MM197" s="360"/>
      <c r="MN197" s="360"/>
      <c r="MO197" s="360"/>
      <c r="MP197" s="360"/>
      <c r="MQ197" s="360"/>
      <c r="MR197" s="360"/>
      <c r="MS197" s="360"/>
      <c r="MT197" s="360"/>
      <c r="MU197" s="360"/>
      <c r="MV197" s="360"/>
      <c r="MW197" s="360"/>
      <c r="MX197" s="360"/>
      <c r="MY197" s="360"/>
      <c r="MZ197" s="360"/>
      <c r="NA197" s="360"/>
      <c r="NB197" s="360"/>
      <c r="NC197" s="360"/>
      <c r="ND197" s="360"/>
      <c r="NE197" s="360"/>
      <c r="NF197" s="360"/>
      <c r="NG197" s="360"/>
      <c r="NH197" s="360"/>
      <c r="NI197" s="360"/>
      <c r="NJ197" s="360"/>
      <c r="NK197" s="360"/>
      <c r="NL197" s="360"/>
      <c r="NM197" s="360"/>
      <c r="NN197" s="360"/>
      <c r="NO197" s="360"/>
      <c r="NP197" s="360"/>
      <c r="NQ197" s="360"/>
      <c r="NR197" s="360"/>
      <c r="NS197" s="360"/>
      <c r="NT197" s="360"/>
      <c r="NU197" s="360"/>
      <c r="NV197" s="360"/>
      <c r="NW197" s="360"/>
      <c r="NX197" s="360"/>
      <c r="NY197" s="360"/>
      <c r="NZ197" s="360"/>
      <c r="OA197" s="360"/>
      <c r="OB197" s="360"/>
      <c r="OC197" s="360"/>
      <c r="OD197" s="360"/>
      <c r="OE197" s="360"/>
      <c r="OF197" s="360"/>
      <c r="OG197" s="360"/>
      <c r="OH197" s="360"/>
      <c r="OI197" s="360"/>
      <c r="OJ197" s="360"/>
      <c r="OK197" s="360"/>
      <c r="OL197" s="360"/>
      <c r="OM197" s="360"/>
      <c r="ON197" s="360"/>
      <c r="OO197" s="360"/>
      <c r="OP197" s="360"/>
      <c r="OQ197" s="360"/>
      <c r="OR197" s="360"/>
      <c r="OS197" s="360"/>
      <c r="OT197" s="360"/>
      <c r="OU197" s="360"/>
      <c r="OV197" s="360"/>
      <c r="OW197" s="360"/>
      <c r="OX197" s="360"/>
      <c r="OY197" s="360"/>
      <c r="OZ197" s="360"/>
      <c r="PA197" s="360"/>
      <c r="PB197" s="360"/>
      <c r="PC197" s="360"/>
      <c r="PD197" s="360"/>
      <c r="PE197" s="360"/>
      <c r="PF197" s="360"/>
      <c r="PG197" s="360"/>
      <c r="PH197" s="360"/>
      <c r="PI197" s="360"/>
      <c r="PJ197" s="360"/>
      <c r="PK197" s="360"/>
      <c r="PL197" s="360"/>
      <c r="PM197" s="360"/>
      <c r="PN197" s="360"/>
      <c r="PO197" s="360"/>
      <c r="PP197" s="360"/>
      <c r="PQ197" s="360"/>
      <c r="PR197" s="360"/>
      <c r="PS197" s="360"/>
      <c r="PT197" s="360"/>
      <c r="PU197" s="360"/>
      <c r="PV197" s="360"/>
      <c r="PW197" s="360"/>
      <c r="PX197" s="360"/>
      <c r="PY197" s="360"/>
      <c r="PZ197" s="360"/>
      <c r="QA197" s="360"/>
      <c r="QB197" s="360"/>
      <c r="QC197" s="360"/>
      <c r="QD197" s="360"/>
      <c r="QE197" s="360"/>
      <c r="QF197" s="360"/>
      <c r="QG197" s="360"/>
      <c r="QH197" s="360"/>
      <c r="QI197" s="360"/>
      <c r="QJ197" s="360"/>
      <c r="QK197" s="360"/>
      <c r="QL197" s="360"/>
      <c r="QM197" s="360"/>
      <c r="QN197" s="360"/>
      <c r="QO197" s="360"/>
      <c r="QP197" s="360"/>
      <c r="QQ197" s="360"/>
      <c r="QR197" s="360"/>
      <c r="QS197" s="360"/>
      <c r="QT197" s="360"/>
      <c r="QU197" s="360"/>
      <c r="QV197" s="360"/>
      <c r="QW197" s="360"/>
      <c r="QX197" s="360"/>
      <c r="QY197" s="360"/>
      <c r="QZ197" s="360"/>
      <c r="RA197" s="360"/>
      <c r="RB197" s="360"/>
      <c r="RC197" s="360"/>
      <c r="RD197" s="360"/>
      <c r="RE197" s="360"/>
      <c r="RF197" s="360"/>
      <c r="RG197" s="360"/>
      <c r="RH197" s="360"/>
      <c r="RI197" s="360"/>
      <c r="RJ197" s="360"/>
      <c r="RK197" s="360"/>
      <c r="RL197" s="360"/>
      <c r="RM197" s="360"/>
      <c r="RN197" s="360"/>
      <c r="RO197" s="360"/>
      <c r="RP197" s="360"/>
      <c r="RQ197" s="360"/>
      <c r="RR197" s="360"/>
      <c r="RS197" s="360"/>
      <c r="RT197" s="360"/>
      <c r="RU197" s="360"/>
      <c r="RV197" s="360"/>
      <c r="RW197" s="360"/>
      <c r="RX197" s="360"/>
      <c r="RY197" s="360"/>
      <c r="RZ197" s="360"/>
      <c r="SA197" s="360"/>
      <c r="SB197" s="360"/>
      <c r="SC197" s="360"/>
      <c r="SD197" s="360"/>
      <c r="SE197" s="360"/>
      <c r="SF197" s="360"/>
      <c r="SG197" s="360"/>
      <c r="SH197" s="360"/>
      <c r="SI197" s="360"/>
      <c r="SJ197" s="360"/>
      <c r="SK197" s="360"/>
      <c r="SL197" s="360"/>
      <c r="SM197" s="360"/>
      <c r="SN197" s="360"/>
      <c r="SO197" s="360"/>
      <c r="SP197" s="360"/>
      <c r="SQ197" s="360"/>
      <c r="SR197" s="360"/>
      <c r="SS197" s="360"/>
      <c r="ST197" s="360"/>
      <c r="SU197" s="360"/>
      <c r="SV197" s="360"/>
      <c r="SW197" s="360"/>
      <c r="SX197" s="360"/>
      <c r="SY197" s="360"/>
      <c r="SZ197" s="360"/>
      <c r="TA197" s="360"/>
      <c r="TB197" s="360"/>
      <c r="TC197" s="360"/>
      <c r="TD197" s="360"/>
      <c r="TE197" s="360"/>
      <c r="TF197" s="360"/>
      <c r="TG197" s="360"/>
      <c r="TH197" s="360"/>
      <c r="TI197" s="360"/>
      <c r="TJ197" s="360"/>
      <c r="TK197" s="360"/>
      <c r="TL197" s="360"/>
      <c r="TM197" s="360"/>
      <c r="TN197" s="360"/>
      <c r="TO197" s="360"/>
      <c r="TP197" s="360"/>
      <c r="TQ197" s="360"/>
      <c r="TR197" s="360"/>
      <c r="TS197" s="360"/>
      <c r="TT197" s="360"/>
      <c r="TU197" s="360"/>
      <c r="TV197" s="360"/>
      <c r="TW197" s="360"/>
      <c r="TX197" s="360"/>
      <c r="TY197" s="360"/>
      <c r="TZ197" s="360"/>
      <c r="UA197" s="360"/>
      <c r="UB197" s="360"/>
      <c r="UC197" s="360"/>
      <c r="UD197" s="360"/>
      <c r="UE197" s="360"/>
      <c r="UF197" s="360"/>
      <c r="UG197" s="360"/>
      <c r="UH197" s="360"/>
      <c r="UI197" s="360"/>
      <c r="UJ197" s="360"/>
      <c r="UK197" s="360"/>
      <c r="UL197" s="360"/>
      <c r="UM197" s="360"/>
      <c r="UN197" s="360"/>
      <c r="UO197" s="360"/>
      <c r="UP197" s="360"/>
      <c r="UQ197" s="360"/>
      <c r="UR197" s="360"/>
      <c r="US197" s="360"/>
      <c r="UT197" s="360"/>
      <c r="UU197" s="360"/>
      <c r="UV197" s="360"/>
      <c r="UW197" s="360"/>
      <c r="UX197" s="360"/>
      <c r="UY197" s="360"/>
      <c r="UZ197" s="360"/>
      <c r="VA197" s="360"/>
      <c r="VB197" s="360"/>
      <c r="VC197" s="360"/>
      <c r="VD197" s="360"/>
      <c r="VE197" s="360"/>
      <c r="VF197" s="360"/>
      <c r="VG197" s="360"/>
      <c r="VH197" s="360"/>
      <c r="VI197" s="360"/>
      <c r="VJ197" s="360"/>
      <c r="VK197" s="360"/>
      <c r="VL197" s="360"/>
      <c r="VM197" s="360"/>
      <c r="VN197" s="360"/>
      <c r="VO197" s="360"/>
      <c r="VP197" s="360"/>
      <c r="VQ197" s="360"/>
      <c r="VR197" s="360"/>
      <c r="VS197" s="360"/>
      <c r="VT197" s="360"/>
      <c r="VU197" s="360"/>
      <c r="VV197" s="360"/>
      <c r="VW197" s="360"/>
      <c r="VX197" s="360"/>
      <c r="VY197" s="360"/>
      <c r="VZ197" s="360"/>
      <c r="WA197" s="360"/>
      <c r="WB197" s="360"/>
      <c r="WC197" s="360"/>
      <c r="WD197" s="360"/>
      <c r="WE197" s="360"/>
      <c r="WF197" s="360"/>
      <c r="WG197" s="360"/>
      <c r="WH197" s="360"/>
      <c r="WI197" s="360"/>
      <c r="WJ197" s="360"/>
      <c r="WK197" s="360"/>
      <c r="WL197" s="360"/>
      <c r="WM197" s="360"/>
      <c r="WN197" s="360"/>
      <c r="WO197" s="360"/>
      <c r="WP197" s="360"/>
      <c r="WQ197" s="360"/>
      <c r="WR197" s="360"/>
      <c r="WS197" s="360"/>
      <c r="WT197" s="360"/>
      <c r="WU197" s="360"/>
      <c r="WV197" s="360"/>
      <c r="WW197" s="360"/>
      <c r="WX197" s="360"/>
      <c r="WY197" s="360"/>
      <c r="WZ197" s="360"/>
      <c r="XA197" s="360"/>
      <c r="XB197" s="360"/>
      <c r="XC197" s="360"/>
      <c r="XD197" s="360"/>
      <c r="XE197" s="360"/>
      <c r="XF197" s="360"/>
      <c r="XG197" s="360"/>
      <c r="XH197" s="360"/>
      <c r="XI197" s="360"/>
      <c r="XJ197" s="360"/>
      <c r="XK197" s="360"/>
      <c r="XL197" s="360"/>
      <c r="XM197" s="360"/>
      <c r="XN197" s="360"/>
      <c r="XO197" s="360"/>
      <c r="XP197" s="360"/>
      <c r="XQ197" s="360"/>
      <c r="XR197" s="360"/>
      <c r="XS197" s="360"/>
      <c r="XT197" s="360"/>
      <c r="XU197" s="360"/>
      <c r="XV197" s="360"/>
      <c r="XW197" s="360"/>
      <c r="XX197" s="360"/>
      <c r="XY197" s="360"/>
      <c r="XZ197" s="360"/>
      <c r="YA197" s="360"/>
      <c r="YB197" s="360"/>
      <c r="YC197" s="360"/>
      <c r="YD197" s="360"/>
      <c r="YE197" s="360"/>
      <c r="YF197" s="360"/>
      <c r="YG197" s="360"/>
      <c r="YH197" s="360"/>
      <c r="YI197" s="360"/>
      <c r="YJ197" s="360"/>
      <c r="YK197" s="360"/>
      <c r="YL197" s="360"/>
      <c r="YM197" s="360"/>
      <c r="YN197" s="360"/>
      <c r="YO197" s="360"/>
      <c r="YP197" s="360"/>
      <c r="YQ197" s="360"/>
      <c r="YR197" s="360"/>
      <c r="YS197" s="360"/>
      <c r="YT197" s="360"/>
      <c r="YU197" s="360"/>
      <c r="YV197" s="360"/>
      <c r="YW197" s="360"/>
      <c r="YX197" s="360"/>
      <c r="YY197" s="360"/>
      <c r="YZ197" s="360"/>
      <c r="ZA197" s="360"/>
      <c r="ZB197" s="360"/>
      <c r="ZC197" s="360"/>
      <c r="ZD197" s="360"/>
      <c r="ZE197" s="360"/>
      <c r="ZF197" s="360"/>
      <c r="ZG197" s="360"/>
      <c r="ZH197" s="360"/>
      <c r="ZI197" s="360"/>
      <c r="ZJ197" s="360"/>
      <c r="ZK197" s="360"/>
      <c r="ZL197" s="360"/>
      <c r="ZM197" s="360"/>
      <c r="ZN197" s="360"/>
      <c r="ZO197" s="360"/>
      <c r="ZP197" s="360"/>
      <c r="ZQ197" s="360"/>
      <c r="ZR197" s="360"/>
      <c r="ZS197" s="360"/>
      <c r="ZT197" s="360"/>
      <c r="ZU197" s="360"/>
      <c r="ZV197" s="360"/>
      <c r="ZW197" s="360"/>
      <c r="ZX197" s="360"/>
      <c r="ZY197" s="360"/>
      <c r="ZZ197" s="360"/>
      <c r="AAA197" s="360"/>
      <c r="AAB197" s="360"/>
      <c r="AAC197" s="360"/>
      <c r="AAD197" s="360"/>
      <c r="AAE197" s="360"/>
      <c r="AAF197" s="360"/>
      <c r="AAG197" s="360"/>
      <c r="AAH197" s="360"/>
      <c r="AAI197" s="360"/>
      <c r="AAJ197" s="360"/>
      <c r="AAK197" s="360"/>
      <c r="AAL197" s="360"/>
      <c r="AAM197" s="360"/>
      <c r="AAN197" s="360"/>
      <c r="AAO197" s="360"/>
      <c r="AAP197" s="360"/>
      <c r="AAQ197" s="360"/>
      <c r="AAR197" s="360"/>
      <c r="AAS197" s="360"/>
      <c r="AAT197" s="360"/>
      <c r="AAU197" s="360"/>
      <c r="AAV197" s="360"/>
      <c r="AAW197" s="360"/>
      <c r="AAX197" s="360"/>
      <c r="AAY197" s="360"/>
      <c r="AAZ197" s="360"/>
      <c r="ABA197" s="360"/>
      <c r="ABB197" s="360"/>
      <c r="ABC197" s="360"/>
      <c r="ABD197" s="360"/>
      <c r="ABE197" s="360"/>
      <c r="ABF197" s="360"/>
      <c r="ABG197" s="360"/>
      <c r="ABH197" s="360"/>
      <c r="ABI197" s="360"/>
      <c r="ABJ197" s="360"/>
      <c r="ABK197" s="360"/>
      <c r="ABL197" s="360"/>
      <c r="ABM197" s="360"/>
      <c r="ABN197" s="360"/>
      <c r="ABO197" s="360"/>
      <c r="ABP197" s="360"/>
      <c r="ABQ197" s="360"/>
      <c r="ABR197" s="360"/>
      <c r="ABS197" s="360"/>
      <c r="ABT197" s="360"/>
      <c r="ABU197" s="360"/>
      <c r="ABV197" s="360"/>
      <c r="ABW197" s="360"/>
      <c r="ABX197" s="360"/>
      <c r="ABY197" s="360"/>
      <c r="ABZ197" s="360"/>
      <c r="ACA197" s="360"/>
      <c r="ACB197" s="360"/>
      <c r="ACC197" s="360"/>
      <c r="ACD197" s="360"/>
      <c r="ACE197" s="360"/>
      <c r="ACF197" s="360"/>
      <c r="ACG197" s="360"/>
      <c r="ACH197" s="360"/>
      <c r="ACI197" s="360"/>
      <c r="ACJ197" s="360"/>
      <c r="ACK197" s="360"/>
      <c r="ACL197" s="360"/>
      <c r="ACM197" s="360"/>
      <c r="ACN197" s="360"/>
      <c r="ACO197" s="360"/>
      <c r="ACP197" s="360"/>
      <c r="ACQ197" s="360"/>
      <c r="ACR197" s="360"/>
      <c r="ACS197" s="360"/>
      <c r="ACT197" s="360"/>
      <c r="ACU197" s="360"/>
      <c r="ACV197" s="360"/>
      <c r="ACW197" s="360"/>
      <c r="ACX197" s="360"/>
      <c r="ACY197" s="360"/>
      <c r="ACZ197" s="360"/>
      <c r="ADA197" s="360"/>
      <c r="ADB197" s="360"/>
      <c r="ADC197" s="360"/>
      <c r="ADD197" s="360"/>
      <c r="ADE197" s="360"/>
      <c r="ADF197" s="360"/>
      <c r="ADG197" s="360"/>
      <c r="ADH197" s="360"/>
      <c r="ADI197" s="360"/>
      <c r="ADJ197" s="360"/>
      <c r="ADK197" s="360"/>
      <c r="ADL197" s="360"/>
      <c r="ADM197" s="360"/>
      <c r="ADN197" s="360"/>
      <c r="ADO197" s="360"/>
      <c r="ADP197" s="360"/>
      <c r="ADQ197" s="360"/>
      <c r="ADR197" s="360"/>
      <c r="ADS197" s="360"/>
      <c r="ADT197" s="360"/>
      <c r="ADU197" s="360"/>
      <c r="ADV197" s="360"/>
      <c r="ADW197" s="360"/>
      <c r="ADX197" s="360"/>
      <c r="ADY197" s="360"/>
      <c r="ADZ197" s="360"/>
      <c r="AEA197" s="360"/>
      <c r="AEB197" s="360"/>
      <c r="AEC197" s="360"/>
      <c r="AED197" s="360"/>
      <c r="AEE197" s="360"/>
      <c r="AEF197" s="360"/>
      <c r="AEG197" s="360"/>
      <c r="AEH197" s="360"/>
      <c r="AEI197" s="360"/>
      <c r="AEJ197" s="360"/>
      <c r="AEK197" s="360"/>
      <c r="AEL197" s="360"/>
      <c r="AEM197" s="360"/>
      <c r="AEN197" s="360"/>
      <c r="AEO197" s="360"/>
      <c r="AEP197" s="360"/>
      <c r="AEQ197" s="360"/>
      <c r="AER197" s="360"/>
      <c r="AES197" s="360"/>
      <c r="AET197" s="360"/>
      <c r="AEU197" s="360"/>
      <c r="AEV197" s="360"/>
      <c r="AEW197" s="360"/>
      <c r="AEX197" s="360"/>
      <c r="AEY197" s="360"/>
      <c r="AEZ197" s="360"/>
      <c r="AFA197" s="360"/>
      <c r="AFB197" s="360"/>
      <c r="AFC197" s="360"/>
      <c r="AFD197" s="360"/>
      <c r="AFE197" s="360"/>
      <c r="AFF197" s="360"/>
      <c r="AFG197" s="360"/>
      <c r="AFH197" s="360"/>
      <c r="AFI197" s="360"/>
      <c r="AFJ197" s="360"/>
      <c r="AFK197" s="360"/>
      <c r="AFL197" s="360"/>
      <c r="AFM197" s="360"/>
      <c r="AFN197" s="360"/>
      <c r="AFO197" s="360"/>
      <c r="AFP197" s="360"/>
      <c r="AFQ197" s="360"/>
      <c r="AFR197" s="360"/>
      <c r="AFS197" s="360"/>
      <c r="AFT197" s="360"/>
      <c r="AFU197" s="360"/>
      <c r="AFV197" s="360"/>
      <c r="AFW197" s="360"/>
      <c r="AFX197" s="360"/>
      <c r="AFY197" s="360"/>
      <c r="AFZ197" s="360"/>
      <c r="AGA197" s="360"/>
      <c r="AGB197" s="360"/>
      <c r="AGC197" s="360"/>
      <c r="AGD197" s="360"/>
      <c r="AGE197" s="360"/>
      <c r="AGF197" s="360"/>
      <c r="AGG197" s="360"/>
      <c r="AGH197" s="360"/>
      <c r="AGI197" s="360"/>
      <c r="AGJ197" s="360"/>
      <c r="AGK197" s="360"/>
      <c r="AGL197" s="360"/>
      <c r="AGM197" s="360"/>
      <c r="AGN197" s="360"/>
      <c r="AGO197" s="360"/>
      <c r="AGP197" s="360"/>
      <c r="AGQ197" s="360"/>
      <c r="AGR197" s="360"/>
      <c r="AGS197" s="360"/>
      <c r="AGT197" s="360"/>
      <c r="AGU197" s="360"/>
      <c r="AGV197" s="360"/>
      <c r="AGW197" s="360"/>
      <c r="AGX197" s="360"/>
      <c r="AGY197" s="360"/>
      <c r="AGZ197" s="360"/>
      <c r="AHA197" s="360"/>
      <c r="AHB197" s="360"/>
      <c r="AHC197" s="360"/>
      <c r="AHD197" s="360"/>
      <c r="AHE197" s="360"/>
      <c r="AHF197" s="360"/>
      <c r="AHG197" s="360"/>
      <c r="AHH197" s="360"/>
      <c r="AHI197" s="360"/>
      <c r="AHJ197" s="360"/>
      <c r="AHK197" s="360"/>
      <c r="AHL197" s="360"/>
      <c r="AHM197" s="360"/>
      <c r="AHN197" s="360"/>
      <c r="AHO197" s="360"/>
      <c r="AHP197" s="360"/>
      <c r="AHQ197" s="360"/>
      <c r="AHR197" s="360"/>
      <c r="AHS197" s="360"/>
      <c r="AHT197" s="360"/>
      <c r="AHU197" s="360"/>
      <c r="AHV197" s="360"/>
      <c r="AHW197" s="360"/>
      <c r="AHX197" s="360"/>
      <c r="AHY197" s="360"/>
      <c r="AHZ197" s="360"/>
      <c r="AIA197" s="360"/>
      <c r="AIB197" s="360"/>
      <c r="AIC197" s="360"/>
      <c r="AID197" s="360"/>
      <c r="AIE197" s="360"/>
      <c r="AIF197" s="360"/>
      <c r="AIG197" s="360"/>
      <c r="AIH197" s="360"/>
      <c r="AII197" s="360"/>
      <c r="AIJ197" s="360"/>
      <c r="AIK197" s="360"/>
      <c r="AIL197" s="360"/>
      <c r="AIM197" s="360"/>
      <c r="AIN197" s="360"/>
      <c r="AIO197" s="360"/>
      <c r="AIP197" s="360"/>
      <c r="AIQ197" s="360"/>
      <c r="AIR197" s="360"/>
      <c r="AIS197" s="360"/>
      <c r="AIT197" s="360"/>
      <c r="AIU197" s="360"/>
      <c r="AIV197" s="360"/>
      <c r="AIW197" s="360"/>
      <c r="AIX197" s="360"/>
      <c r="AIY197" s="360"/>
      <c r="AIZ197" s="360"/>
      <c r="AJA197" s="360"/>
      <c r="AJB197" s="360"/>
      <c r="AJC197" s="360"/>
      <c r="AJD197" s="360"/>
      <c r="AJE197" s="360"/>
      <c r="AJF197" s="360"/>
      <c r="AJG197" s="360"/>
      <c r="AJH197" s="360"/>
      <c r="AJI197" s="360"/>
      <c r="AJJ197" s="360"/>
      <c r="AJK197" s="360"/>
      <c r="AJL197" s="360"/>
      <c r="AJM197" s="360"/>
      <c r="AJN197" s="360"/>
      <c r="AJO197" s="360"/>
      <c r="AJP197" s="360"/>
      <c r="AJQ197" s="360"/>
      <c r="AJR197" s="360"/>
      <c r="AJS197" s="360"/>
      <c r="AJT197" s="360"/>
      <c r="AJU197" s="360"/>
      <c r="AJV197" s="360"/>
      <c r="AJW197" s="360"/>
      <c r="AJX197" s="360"/>
      <c r="AJY197" s="360"/>
      <c r="AJZ197" s="360"/>
      <c r="AKA197" s="360"/>
      <c r="AKB197" s="360"/>
      <c r="AKC197" s="360"/>
      <c r="AKD197" s="360"/>
      <c r="AKE197" s="360"/>
      <c r="AKF197" s="360"/>
      <c r="AKG197" s="360"/>
      <c r="AKH197" s="360"/>
      <c r="AKI197" s="360"/>
      <c r="AKJ197" s="360"/>
      <c r="AKK197" s="360"/>
      <c r="AKL197" s="360"/>
      <c r="AKM197" s="360"/>
      <c r="AKN197" s="360"/>
      <c r="AKO197" s="360"/>
      <c r="AKP197" s="360"/>
      <c r="AKQ197" s="360"/>
      <c r="AKR197" s="360"/>
      <c r="AKS197" s="360"/>
      <c r="AKT197" s="360"/>
      <c r="AKU197" s="360"/>
      <c r="AKV197" s="360"/>
      <c r="AKW197" s="360"/>
      <c r="AKX197" s="360"/>
      <c r="AKY197" s="360"/>
      <c r="AKZ197" s="360"/>
      <c r="ALA197" s="360"/>
      <c r="ALB197" s="360"/>
      <c r="ALC197" s="360"/>
      <c r="ALD197" s="360"/>
      <c r="ALE197" s="360"/>
      <c r="ALF197" s="360"/>
      <c r="ALG197" s="360"/>
      <c r="ALH197" s="360"/>
      <c r="ALI197" s="360"/>
      <c r="ALJ197" s="360"/>
      <c r="ALK197" s="360"/>
      <c r="ALL197" s="360"/>
      <c r="ALM197" s="360"/>
      <c r="ALN197" s="360"/>
      <c r="ALO197" s="360"/>
      <c r="ALP197" s="360"/>
      <c r="ALQ197" s="360"/>
      <c r="ALR197" s="360"/>
      <c r="ALS197" s="360"/>
      <c r="ALT197" s="360"/>
      <c r="ALU197" s="360"/>
      <c r="ALV197" s="360"/>
      <c r="ALW197" s="360"/>
      <c r="ALX197" s="360"/>
      <c r="ALY197" s="360"/>
      <c r="ALZ197" s="360"/>
      <c r="AMA197" s="360"/>
      <c r="AMB197" s="360"/>
      <c r="AMC197" s="360"/>
      <c r="AMD197" s="360"/>
      <c r="AME197" s="360"/>
      <c r="AMF197" s="360"/>
      <c r="AMG197" s="360"/>
      <c r="AMH197" s="360"/>
      <c r="AMI197" s="360"/>
      <c r="AMJ197" s="360"/>
      <c r="AMK197" s="360"/>
      <c r="AML197" s="360"/>
      <c r="AMM197" s="360"/>
      <c r="AMN197" s="360"/>
      <c r="AMO197" s="360"/>
      <c r="AMP197" s="360"/>
      <c r="AMQ197" s="360"/>
      <c r="AMR197" s="360"/>
      <c r="AMS197" s="360"/>
      <c r="AMT197" s="360"/>
      <c r="AMU197" s="360"/>
      <c r="AMV197" s="360"/>
      <c r="AMW197" s="360"/>
      <c r="AMX197" s="360"/>
      <c r="AMY197" s="360"/>
      <c r="AMZ197" s="360"/>
      <c r="ANA197" s="360"/>
      <c r="ANB197" s="360"/>
      <c r="ANC197" s="360"/>
      <c r="AND197" s="360"/>
      <c r="ANE197" s="360"/>
      <c r="ANF197" s="360"/>
      <c r="ANG197" s="360"/>
      <c r="ANH197" s="360"/>
      <c r="ANI197" s="360"/>
      <c r="ANJ197" s="360"/>
      <c r="ANK197" s="360"/>
      <c r="ANL197" s="360"/>
      <c r="ANM197" s="360"/>
      <c r="ANN197" s="360"/>
      <c r="ANO197" s="360"/>
      <c r="ANP197" s="360"/>
      <c r="ANQ197" s="360"/>
      <c r="ANR197" s="360"/>
      <c r="ANS197" s="360"/>
      <c r="ANT197" s="360"/>
      <c r="ANU197" s="360"/>
      <c r="ANV197" s="360"/>
      <c r="ANW197" s="360"/>
      <c r="ANX197" s="360"/>
      <c r="ANY197" s="360"/>
      <c r="ANZ197" s="360"/>
      <c r="AOA197" s="360"/>
      <c r="AOB197" s="360"/>
      <c r="AOC197" s="360"/>
      <c r="AOD197" s="360"/>
      <c r="AOE197" s="360"/>
      <c r="AOF197" s="360"/>
      <c r="AOG197" s="360"/>
      <c r="AOH197" s="360"/>
      <c r="AOI197" s="360"/>
      <c r="AOJ197" s="360"/>
      <c r="AOK197" s="360"/>
      <c r="AOL197" s="360"/>
      <c r="AOM197" s="360"/>
      <c r="AON197" s="360"/>
      <c r="AOO197" s="360"/>
      <c r="AOP197" s="360"/>
      <c r="AOQ197" s="360"/>
      <c r="AOR197" s="360"/>
      <c r="AOS197" s="360"/>
      <c r="AOT197" s="360"/>
      <c r="AOU197" s="360"/>
      <c r="AOV197" s="360"/>
      <c r="AOW197" s="360"/>
      <c r="AOX197" s="360"/>
      <c r="AOY197" s="360"/>
      <c r="AOZ197" s="360"/>
      <c r="APA197" s="360"/>
      <c r="APB197" s="360"/>
      <c r="APC197" s="360"/>
      <c r="APD197" s="360"/>
      <c r="APE197" s="360"/>
      <c r="APF197" s="360"/>
      <c r="APG197" s="360"/>
      <c r="APH197" s="360"/>
      <c r="API197" s="360"/>
      <c r="APJ197" s="360"/>
      <c r="APK197" s="360"/>
      <c r="APL197" s="360"/>
      <c r="APM197" s="360"/>
      <c r="APN197" s="360"/>
      <c r="APO197" s="360"/>
      <c r="APP197" s="360"/>
      <c r="APQ197" s="360"/>
      <c r="APR197" s="360"/>
      <c r="APS197" s="360"/>
      <c r="APT197" s="360"/>
      <c r="APU197" s="360"/>
      <c r="APV197" s="360"/>
      <c r="APW197" s="360"/>
      <c r="APX197" s="360"/>
      <c r="APY197" s="360"/>
      <c r="APZ197" s="360"/>
      <c r="AQA197" s="360"/>
      <c r="AQB197" s="360"/>
      <c r="AQC197" s="360"/>
      <c r="AQD197" s="360"/>
      <c r="AQE197" s="360"/>
      <c r="AQF197" s="360"/>
      <c r="AQG197" s="360"/>
      <c r="AQH197" s="360"/>
      <c r="AQI197" s="360"/>
      <c r="AQJ197" s="360"/>
      <c r="AQK197" s="360"/>
      <c r="AQL197" s="360"/>
      <c r="AQM197" s="360"/>
      <c r="AQN197" s="360"/>
      <c r="AQO197" s="360"/>
      <c r="AQP197" s="360"/>
      <c r="AQQ197" s="360"/>
      <c r="AQR197" s="360"/>
      <c r="AQS197" s="360"/>
      <c r="AQT197" s="360"/>
      <c r="AQU197" s="360"/>
      <c r="AQV197" s="360"/>
      <c r="AQW197" s="360"/>
      <c r="AQX197" s="360"/>
      <c r="AQY197" s="360"/>
      <c r="AQZ197" s="360"/>
      <c r="ARA197" s="360"/>
      <c r="ARB197" s="360"/>
      <c r="ARC197" s="360"/>
      <c r="ARD197" s="360"/>
      <c r="ARE197" s="360"/>
      <c r="ARF197" s="360"/>
      <c r="ARG197" s="360"/>
      <c r="ARH197" s="360"/>
      <c r="ARI197" s="360"/>
      <c r="ARJ197" s="360"/>
      <c r="ARK197" s="360"/>
      <c r="ARL197" s="360"/>
      <c r="ARM197" s="360"/>
      <c r="ARN197" s="360"/>
      <c r="ARO197" s="360"/>
      <c r="ARP197" s="360"/>
      <c r="ARQ197" s="360"/>
      <c r="ARR197" s="360"/>
      <c r="ARS197" s="360"/>
      <c r="ART197" s="360"/>
      <c r="ARU197" s="360"/>
      <c r="ARV197" s="360"/>
      <c r="ARW197" s="360"/>
      <c r="ARX197" s="360"/>
      <c r="ARY197" s="360"/>
      <c r="ARZ197" s="360"/>
      <c r="ASA197" s="360"/>
      <c r="ASB197" s="360"/>
      <c r="ASC197" s="360"/>
      <c r="ASD197" s="360"/>
      <c r="ASE197" s="360"/>
      <c r="ASF197" s="360"/>
      <c r="ASG197" s="360"/>
      <c r="ASH197" s="360"/>
      <c r="ASI197" s="360"/>
      <c r="ASJ197" s="360"/>
      <c r="ASK197" s="360"/>
      <c r="ASL197" s="360"/>
      <c r="ASM197" s="360"/>
      <c r="ASN197" s="360"/>
      <c r="ASO197" s="360"/>
      <c r="ASP197" s="360"/>
      <c r="ASQ197" s="360"/>
      <c r="ASR197" s="360"/>
      <c r="ASS197" s="360"/>
      <c r="AST197" s="360"/>
      <c r="ASU197" s="360"/>
      <c r="ASV197" s="360"/>
      <c r="ASW197" s="360"/>
      <c r="ASX197" s="360"/>
      <c r="ASY197" s="360"/>
      <c r="ASZ197" s="360"/>
      <c r="ATA197" s="360"/>
      <c r="ATB197" s="360"/>
      <c r="ATC197" s="360"/>
      <c r="ATD197" s="360"/>
      <c r="ATE197" s="360"/>
      <c r="ATF197" s="360"/>
      <c r="ATG197" s="360"/>
      <c r="ATH197" s="360"/>
      <c r="ATI197" s="360"/>
      <c r="ATJ197" s="360"/>
      <c r="ATK197" s="360"/>
      <c r="ATL197" s="360"/>
      <c r="ATM197" s="360"/>
      <c r="ATN197" s="360"/>
      <c r="ATO197" s="360"/>
      <c r="ATP197" s="360"/>
      <c r="ATQ197" s="360"/>
      <c r="ATR197" s="360"/>
      <c r="ATS197" s="360"/>
      <c r="ATT197" s="360"/>
      <c r="ATU197" s="360"/>
      <c r="ATV197" s="360"/>
      <c r="ATW197" s="360"/>
      <c r="ATX197" s="360"/>
      <c r="ATY197" s="360"/>
      <c r="ATZ197" s="360"/>
      <c r="AUA197" s="360"/>
      <c r="AUB197" s="360"/>
      <c r="AUC197" s="360"/>
      <c r="AUD197" s="360"/>
      <c r="AUE197" s="360"/>
      <c r="AUF197" s="360"/>
      <c r="AUG197" s="360"/>
      <c r="AUH197" s="360"/>
      <c r="AUI197" s="360"/>
      <c r="AUJ197" s="360"/>
      <c r="AUK197" s="360"/>
      <c r="AUL197" s="360"/>
      <c r="AUM197" s="360"/>
      <c r="AUN197" s="360"/>
      <c r="AUO197" s="360"/>
      <c r="AUP197" s="360"/>
      <c r="AUQ197" s="360"/>
      <c r="AUR197" s="360"/>
      <c r="AUS197" s="360"/>
      <c r="AUT197" s="360"/>
      <c r="AUU197" s="360"/>
      <c r="AUV197" s="360"/>
      <c r="AUW197" s="360"/>
      <c r="AUX197" s="360"/>
      <c r="AUY197" s="360"/>
      <c r="AUZ197" s="360"/>
      <c r="AVA197" s="360"/>
      <c r="AVB197" s="360"/>
      <c r="AVC197" s="360"/>
      <c r="AVD197" s="360"/>
      <c r="AVE197" s="360"/>
      <c r="AVF197" s="360"/>
      <c r="AVG197" s="360"/>
      <c r="AVH197" s="360"/>
      <c r="AVI197" s="360"/>
      <c r="AVJ197" s="360"/>
      <c r="AVK197" s="360"/>
      <c r="AVL197" s="360"/>
      <c r="AVM197" s="360"/>
      <c r="AVN197" s="360"/>
      <c r="AVO197" s="360"/>
      <c r="AVP197" s="360"/>
      <c r="AVQ197" s="360"/>
      <c r="AVR197" s="360"/>
      <c r="AVS197" s="360"/>
      <c r="AVT197" s="360"/>
      <c r="AVU197" s="360"/>
      <c r="AVV197" s="360"/>
      <c r="AVW197" s="360"/>
      <c r="AVX197" s="360"/>
      <c r="AVY197" s="360"/>
      <c r="AVZ197" s="360"/>
      <c r="AWA197" s="360"/>
      <c r="AWB197" s="360"/>
      <c r="AWC197" s="360"/>
      <c r="AWD197" s="360"/>
      <c r="AWE197" s="360"/>
      <c r="AWF197" s="360"/>
      <c r="AWG197" s="360"/>
      <c r="AWH197" s="360"/>
      <c r="AWI197" s="360"/>
      <c r="AWJ197" s="360"/>
      <c r="AWK197" s="360"/>
      <c r="AWL197" s="360"/>
      <c r="AWM197" s="360"/>
      <c r="AWN197" s="360"/>
      <c r="AWO197" s="360"/>
      <c r="AWP197" s="360"/>
      <c r="AWQ197" s="360"/>
      <c r="AWR197" s="360"/>
      <c r="AWS197" s="360"/>
      <c r="AWT197" s="360"/>
      <c r="AWU197" s="360"/>
      <c r="AWV197" s="360"/>
      <c r="AWW197" s="360"/>
      <c r="AWX197" s="360"/>
      <c r="AWY197" s="360"/>
      <c r="AWZ197" s="360"/>
      <c r="AXA197" s="360"/>
      <c r="AXB197" s="360"/>
      <c r="AXC197" s="360"/>
      <c r="AXD197" s="360"/>
      <c r="AXE197" s="360"/>
      <c r="AXF197" s="360"/>
      <c r="AXG197" s="360"/>
      <c r="AXH197" s="360"/>
      <c r="AXI197" s="360"/>
      <c r="AXJ197" s="360"/>
      <c r="AXK197" s="360"/>
      <c r="AXL197" s="360"/>
      <c r="AXM197" s="360"/>
      <c r="AXN197" s="360"/>
      <c r="AXO197" s="360"/>
      <c r="AXP197" s="360"/>
      <c r="AXQ197" s="360"/>
      <c r="AXR197" s="360"/>
      <c r="AXS197" s="360"/>
      <c r="AXT197" s="360"/>
      <c r="AXU197" s="360"/>
      <c r="AXV197" s="360"/>
      <c r="AXW197" s="360"/>
      <c r="AXX197" s="360"/>
      <c r="AXY197" s="360"/>
      <c r="AXZ197" s="360"/>
      <c r="AYA197" s="360"/>
      <c r="AYB197" s="360"/>
      <c r="AYC197" s="360"/>
      <c r="AYD197" s="360"/>
      <c r="AYE197" s="360"/>
      <c r="AYF197" s="360"/>
      <c r="AYG197" s="360"/>
      <c r="AYH197" s="360"/>
      <c r="AYI197" s="360"/>
      <c r="AYJ197" s="360"/>
      <c r="AYK197" s="360"/>
      <c r="AYL197" s="360"/>
      <c r="AYM197" s="360"/>
      <c r="AYN197" s="360"/>
      <c r="AYO197" s="360"/>
      <c r="AYP197" s="360"/>
      <c r="AYQ197" s="360"/>
      <c r="AYR197" s="360"/>
      <c r="AYS197" s="360"/>
      <c r="AYT197" s="360"/>
      <c r="AYU197" s="360"/>
      <c r="AYV197" s="360"/>
      <c r="AYW197" s="360"/>
      <c r="AYX197" s="360"/>
      <c r="AYY197" s="360"/>
      <c r="AYZ197" s="360"/>
      <c r="AZA197" s="360"/>
      <c r="AZB197" s="360"/>
      <c r="AZC197" s="360"/>
      <c r="AZD197" s="360"/>
      <c r="AZE197" s="360"/>
      <c r="AZF197" s="360"/>
      <c r="AZG197" s="360"/>
      <c r="AZH197" s="360"/>
      <c r="AZI197" s="360"/>
      <c r="AZJ197" s="360"/>
      <c r="AZK197" s="360"/>
      <c r="AZL197" s="360"/>
      <c r="AZM197" s="360"/>
      <c r="AZN197" s="360"/>
      <c r="AZO197" s="360"/>
      <c r="AZP197" s="360"/>
      <c r="AZQ197" s="360"/>
      <c r="AZR197" s="360"/>
      <c r="AZS197" s="360"/>
      <c r="AZT197" s="360"/>
      <c r="AZU197" s="360"/>
      <c r="AZV197" s="360"/>
      <c r="AZW197" s="360"/>
      <c r="AZX197" s="360"/>
      <c r="AZY197" s="360"/>
      <c r="AZZ197" s="360"/>
      <c r="BAA197" s="360"/>
      <c r="BAB197" s="360"/>
      <c r="BAC197" s="360"/>
      <c r="BAD197" s="360"/>
      <c r="BAE197" s="360"/>
      <c r="BAF197" s="360"/>
      <c r="BAG197" s="360"/>
      <c r="BAH197" s="360"/>
      <c r="BAI197" s="360"/>
      <c r="BAJ197" s="360"/>
      <c r="BAK197" s="360"/>
      <c r="BAL197" s="360"/>
      <c r="BAM197" s="360"/>
      <c r="BAN197" s="360"/>
      <c r="BAO197" s="360"/>
      <c r="BAP197" s="360"/>
      <c r="BAQ197" s="360"/>
      <c r="BAR197" s="360"/>
      <c r="BAS197" s="360"/>
      <c r="BAT197" s="360"/>
      <c r="BAU197" s="360"/>
      <c r="BAV197" s="360"/>
      <c r="BAW197" s="360"/>
      <c r="BAX197" s="360"/>
      <c r="BAY197" s="360"/>
      <c r="BAZ197" s="360"/>
      <c r="BBA197" s="360"/>
      <c r="BBB197" s="360"/>
      <c r="BBC197" s="360"/>
      <c r="BBD197" s="360"/>
      <c r="BBE197" s="360"/>
      <c r="BBF197" s="360"/>
      <c r="BBG197" s="360"/>
      <c r="BBH197" s="360"/>
      <c r="BBI197" s="360"/>
      <c r="BBJ197" s="360"/>
      <c r="BBK197" s="360"/>
      <c r="BBL197" s="360"/>
      <c r="BBM197" s="360"/>
      <c r="BBN197" s="360"/>
      <c r="BBO197" s="360"/>
      <c r="BBP197" s="360"/>
      <c r="BBQ197" s="360"/>
      <c r="BBR197" s="360"/>
      <c r="BBS197" s="360"/>
      <c r="BBT197" s="360"/>
      <c r="BBU197" s="360"/>
      <c r="BBV197" s="360"/>
      <c r="BBW197" s="360"/>
      <c r="BBX197" s="360"/>
      <c r="BBY197" s="360"/>
      <c r="BBZ197" s="360"/>
      <c r="BCA197" s="360"/>
      <c r="BCB197" s="360"/>
      <c r="BCC197" s="360"/>
      <c r="BCD197" s="360"/>
      <c r="BCE197" s="360"/>
      <c r="BCF197" s="360"/>
      <c r="BCG197" s="360"/>
      <c r="BCH197" s="360"/>
      <c r="BCI197" s="360"/>
      <c r="BCJ197" s="360"/>
      <c r="BCK197" s="360"/>
      <c r="BCL197" s="360"/>
      <c r="BCM197" s="360"/>
      <c r="BCN197" s="360"/>
      <c r="BCO197" s="360"/>
      <c r="BCP197" s="360"/>
      <c r="BCQ197" s="360"/>
      <c r="BCR197" s="360"/>
      <c r="BCS197" s="360"/>
      <c r="BCT197" s="360"/>
      <c r="BCU197" s="360"/>
      <c r="BCV197" s="360"/>
      <c r="BCW197" s="360"/>
      <c r="BCX197" s="360"/>
      <c r="BCY197" s="360"/>
      <c r="BCZ197" s="360"/>
      <c r="BDA197" s="360"/>
      <c r="BDB197" s="360"/>
      <c r="BDC197" s="360"/>
      <c r="BDD197" s="360"/>
      <c r="BDE197" s="360"/>
      <c r="BDF197" s="360"/>
      <c r="BDG197" s="360"/>
      <c r="BDH197" s="360"/>
      <c r="BDI197" s="360"/>
      <c r="BDJ197" s="360"/>
      <c r="BDK197" s="360"/>
      <c r="BDL197" s="360"/>
      <c r="BDM197" s="360"/>
      <c r="BDN197" s="360"/>
      <c r="BDO197" s="360"/>
      <c r="BDP197" s="360"/>
      <c r="BDQ197" s="360"/>
      <c r="BDR197" s="360"/>
      <c r="BDS197" s="360"/>
      <c r="BDT197" s="360"/>
      <c r="BDU197" s="360"/>
      <c r="BDV197" s="360"/>
      <c r="BDW197" s="360"/>
      <c r="BDX197" s="360"/>
      <c r="BDY197" s="360"/>
      <c r="BDZ197" s="360"/>
      <c r="BEA197" s="360"/>
      <c r="BEB197" s="360"/>
      <c r="BEC197" s="360"/>
      <c r="BED197" s="360"/>
      <c r="BEE197" s="360"/>
      <c r="BEF197" s="360"/>
      <c r="BEG197" s="360"/>
      <c r="BEH197" s="360"/>
      <c r="BEI197" s="360"/>
      <c r="BEJ197" s="360"/>
      <c r="BEK197" s="360"/>
      <c r="BEL197" s="360"/>
      <c r="BEM197" s="360"/>
      <c r="BEN197" s="360"/>
      <c r="BEO197" s="360"/>
      <c r="BEP197" s="360"/>
      <c r="BEQ197" s="360"/>
      <c r="BER197" s="360"/>
      <c r="BES197" s="360"/>
      <c r="BET197" s="360"/>
      <c r="BEU197" s="360"/>
      <c r="BEV197" s="360"/>
      <c r="BEW197" s="360"/>
      <c r="BEX197" s="360"/>
      <c r="BEY197" s="360"/>
      <c r="BEZ197" s="360"/>
      <c r="BFA197" s="360"/>
      <c r="BFB197" s="360"/>
      <c r="BFC197" s="360"/>
      <c r="BFD197" s="360"/>
      <c r="BFE197" s="360"/>
      <c r="BFF197" s="360"/>
      <c r="BFG197" s="360"/>
      <c r="BFH197" s="360"/>
      <c r="BFI197" s="360"/>
      <c r="BFJ197" s="360"/>
      <c r="BFK197" s="360"/>
      <c r="BFL197" s="360"/>
      <c r="BFM197" s="360"/>
      <c r="BFN197" s="360"/>
      <c r="BFO197" s="360"/>
      <c r="BFP197" s="360"/>
      <c r="BFQ197" s="360"/>
      <c r="BFR197" s="360"/>
      <c r="BFS197" s="360"/>
      <c r="BFT197" s="360"/>
      <c r="BFU197" s="360"/>
      <c r="BFV197" s="360"/>
      <c r="BFW197" s="360"/>
      <c r="BFX197" s="360"/>
      <c r="BFY197" s="360"/>
      <c r="BFZ197" s="360"/>
      <c r="BGA197" s="360"/>
      <c r="BGB197" s="360"/>
      <c r="BGC197" s="360"/>
      <c r="BGD197" s="360"/>
      <c r="BGE197" s="360"/>
      <c r="BGF197" s="360"/>
      <c r="BGG197" s="360"/>
      <c r="BGH197" s="360"/>
      <c r="BGI197" s="360"/>
      <c r="BGJ197" s="360"/>
      <c r="BGK197" s="360"/>
      <c r="BGL197" s="360"/>
      <c r="BGM197" s="360"/>
      <c r="BGN197" s="360"/>
      <c r="BGO197" s="360"/>
      <c r="BGP197" s="360"/>
      <c r="BGQ197" s="360"/>
      <c r="BGR197" s="360"/>
      <c r="BGS197" s="360"/>
      <c r="BGT197" s="360"/>
      <c r="BGU197" s="360"/>
      <c r="BGV197" s="360"/>
      <c r="BGW197" s="360"/>
      <c r="BGX197" s="360"/>
      <c r="BGY197" s="360"/>
      <c r="BGZ197" s="360"/>
      <c r="BHA197" s="360"/>
      <c r="BHB197" s="360"/>
      <c r="BHC197" s="360"/>
      <c r="BHD197" s="360"/>
      <c r="BHE197" s="360"/>
      <c r="BHF197" s="360"/>
      <c r="BHG197" s="360"/>
      <c r="BHH197" s="360"/>
      <c r="BHI197" s="360"/>
      <c r="BHJ197" s="360"/>
      <c r="BHK197" s="360"/>
      <c r="BHL197" s="360"/>
      <c r="BHM197" s="360"/>
      <c r="BHN197" s="360"/>
      <c r="BHO197" s="360"/>
      <c r="BHP197" s="360"/>
      <c r="BHQ197" s="360"/>
      <c r="BHR197" s="360"/>
      <c r="BHS197" s="360"/>
      <c r="BHT197" s="360"/>
      <c r="BHU197" s="360"/>
      <c r="BHV197" s="360"/>
      <c r="BHW197" s="360"/>
      <c r="BHX197" s="360"/>
      <c r="BHY197" s="360"/>
      <c r="BHZ197" s="360"/>
      <c r="BIA197" s="360"/>
      <c r="BIB197" s="360"/>
      <c r="BIC197" s="360"/>
      <c r="BID197" s="360"/>
      <c r="BIE197" s="360"/>
      <c r="BIF197" s="360"/>
      <c r="BIG197" s="360"/>
      <c r="BIH197" s="360"/>
      <c r="BII197" s="360"/>
      <c r="BIJ197" s="360"/>
      <c r="BIK197" s="360"/>
      <c r="BIL197" s="360"/>
      <c r="BIM197" s="360"/>
      <c r="BIN197" s="360"/>
      <c r="BIO197" s="360"/>
      <c r="BIP197" s="360"/>
      <c r="BIQ197" s="360"/>
      <c r="BIR197" s="360"/>
      <c r="BIS197" s="360"/>
      <c r="BIT197" s="360"/>
      <c r="BIU197" s="360"/>
      <c r="BIV197" s="360"/>
      <c r="BIW197" s="360"/>
      <c r="BIX197" s="360"/>
      <c r="BIY197" s="360"/>
      <c r="BIZ197" s="360"/>
      <c r="BJA197" s="360"/>
      <c r="BJB197" s="360"/>
      <c r="BJC197" s="360"/>
      <c r="BJD197" s="360"/>
      <c r="BJE197" s="360"/>
      <c r="BJF197" s="360"/>
      <c r="BJG197" s="360"/>
      <c r="BJH197" s="360"/>
      <c r="BJI197" s="360"/>
      <c r="BJJ197" s="360"/>
      <c r="BJK197" s="360"/>
      <c r="BJL197" s="360"/>
      <c r="BJM197" s="360"/>
      <c r="BJN197" s="360"/>
      <c r="BJO197" s="360"/>
      <c r="BJP197" s="360"/>
      <c r="BJQ197" s="360"/>
      <c r="BJR197" s="360"/>
      <c r="BJS197" s="360"/>
      <c r="BJT197" s="360"/>
      <c r="BJU197" s="360"/>
      <c r="BJV197" s="360"/>
      <c r="BJW197" s="360"/>
      <c r="BJX197" s="360"/>
      <c r="BJY197" s="360"/>
      <c r="BJZ197" s="360"/>
      <c r="BKA197" s="360"/>
      <c r="BKB197" s="360"/>
      <c r="BKC197" s="360"/>
      <c r="BKD197" s="360"/>
      <c r="BKE197" s="360"/>
      <c r="BKF197" s="360"/>
      <c r="BKG197" s="360"/>
      <c r="BKH197" s="360"/>
      <c r="BKI197" s="360"/>
      <c r="BKJ197" s="360"/>
      <c r="BKK197" s="360"/>
      <c r="BKL197" s="360"/>
      <c r="BKM197" s="360"/>
      <c r="BKN197" s="360"/>
      <c r="BKO197" s="360"/>
      <c r="BKP197" s="360"/>
      <c r="BKQ197" s="360"/>
      <c r="BKR197" s="360"/>
      <c r="BKS197" s="360"/>
      <c r="BKT197" s="360"/>
      <c r="BKU197" s="360"/>
      <c r="BKV197" s="360"/>
      <c r="BKW197" s="360"/>
      <c r="BKX197" s="360"/>
      <c r="BKY197" s="360"/>
      <c r="BKZ197" s="360"/>
      <c r="BLA197" s="360"/>
      <c r="BLB197" s="360"/>
      <c r="BLC197" s="360"/>
      <c r="BLD197" s="360"/>
      <c r="BLE197" s="360"/>
      <c r="BLF197" s="360"/>
      <c r="BLG197" s="360"/>
      <c r="BLH197" s="360"/>
      <c r="BLI197" s="360"/>
      <c r="BLJ197" s="360"/>
      <c r="BLK197" s="360"/>
      <c r="BLL197" s="360"/>
      <c r="BLM197" s="360"/>
      <c r="BLN197" s="360"/>
      <c r="BLO197" s="360"/>
      <c r="BLP197" s="360"/>
      <c r="BLQ197" s="360"/>
      <c r="BLR197" s="360"/>
      <c r="BLS197" s="360"/>
      <c r="BLT197" s="360"/>
      <c r="BLU197" s="360"/>
      <c r="BLV197" s="360"/>
      <c r="BLW197" s="360"/>
      <c r="BLX197" s="360"/>
      <c r="BLY197" s="360"/>
      <c r="BLZ197" s="360"/>
      <c r="BMA197" s="360"/>
      <c r="BMB197" s="360"/>
      <c r="BMC197" s="360"/>
      <c r="BMD197" s="360"/>
      <c r="BME197" s="360"/>
      <c r="BMF197" s="360"/>
      <c r="BMG197" s="360"/>
      <c r="BMH197" s="360"/>
      <c r="BMI197" s="360"/>
      <c r="BMJ197" s="360"/>
      <c r="BMK197" s="360"/>
      <c r="BML197" s="360"/>
      <c r="BMM197" s="360"/>
      <c r="BMN197" s="360"/>
      <c r="BMO197" s="360"/>
      <c r="BMP197" s="360"/>
      <c r="BMQ197" s="360"/>
      <c r="BMR197" s="360"/>
      <c r="BMS197" s="360"/>
      <c r="BMT197" s="360"/>
      <c r="BMU197" s="360"/>
      <c r="BMV197" s="360"/>
      <c r="BMW197" s="360"/>
      <c r="BMX197" s="360"/>
      <c r="BMY197" s="360"/>
      <c r="BMZ197" s="360"/>
      <c r="BNA197" s="360"/>
      <c r="BNB197" s="360"/>
      <c r="BNC197" s="360"/>
      <c r="BND197" s="360"/>
      <c r="BNE197" s="360"/>
      <c r="BNF197" s="360"/>
      <c r="BNG197" s="360"/>
      <c r="BNH197" s="360"/>
      <c r="BNI197" s="360"/>
      <c r="BNJ197" s="360"/>
      <c r="BNK197" s="360"/>
      <c r="BNL197" s="360"/>
      <c r="BNM197" s="360"/>
      <c r="BNN197" s="360"/>
      <c r="BNO197" s="360"/>
      <c r="BNP197" s="360"/>
      <c r="BNQ197" s="360"/>
      <c r="BNR197" s="360"/>
      <c r="BNS197" s="360"/>
      <c r="BNT197" s="360"/>
      <c r="BNU197" s="360"/>
      <c r="BNV197" s="360"/>
      <c r="BNW197" s="360"/>
      <c r="BNX197" s="360"/>
      <c r="BNY197" s="360"/>
      <c r="BNZ197" s="360"/>
      <c r="BOA197" s="360"/>
      <c r="BOB197" s="360"/>
      <c r="BOC197" s="360"/>
      <c r="BOD197" s="360"/>
      <c r="BOE197" s="360"/>
      <c r="BOF197" s="360"/>
      <c r="BOG197" s="360"/>
      <c r="BOH197" s="360"/>
      <c r="BOI197" s="360"/>
      <c r="BOJ197" s="360"/>
      <c r="BOK197" s="360"/>
      <c r="BOL197" s="360"/>
      <c r="BOM197" s="360"/>
      <c r="BON197" s="360"/>
      <c r="BOO197" s="360"/>
      <c r="BOP197" s="360"/>
      <c r="BOQ197" s="360"/>
      <c r="BOR197" s="360"/>
      <c r="BOS197" s="360"/>
      <c r="BOT197" s="360"/>
      <c r="BOU197" s="360"/>
      <c r="BOV197" s="360"/>
      <c r="BOW197" s="360"/>
      <c r="BOX197" s="360"/>
      <c r="BOY197" s="360"/>
      <c r="BOZ197" s="360"/>
      <c r="BPA197" s="360"/>
      <c r="BPB197" s="360"/>
      <c r="BPC197" s="360"/>
      <c r="BPD197" s="360"/>
      <c r="BPE197" s="360"/>
      <c r="BPF197" s="360"/>
      <c r="BPG197" s="360"/>
      <c r="BPH197" s="360"/>
      <c r="BPI197" s="360"/>
      <c r="BPJ197" s="360"/>
      <c r="BPK197" s="360"/>
      <c r="BPL197" s="360"/>
      <c r="BPM197" s="360"/>
      <c r="BPN197" s="360"/>
      <c r="BPO197" s="360"/>
      <c r="BPP197" s="360"/>
      <c r="BPQ197" s="360"/>
      <c r="BPR197" s="360"/>
      <c r="BPS197" s="360"/>
      <c r="BPT197" s="360"/>
      <c r="BPU197" s="360"/>
      <c r="BPV197" s="360"/>
      <c r="BPW197" s="360"/>
      <c r="BPX197" s="360"/>
      <c r="BPY197" s="360"/>
      <c r="BPZ197" s="360"/>
      <c r="BQA197" s="360"/>
      <c r="BQB197" s="360"/>
      <c r="BQC197" s="360"/>
      <c r="BQD197" s="360"/>
      <c r="BQE197" s="360"/>
      <c r="BQF197" s="360"/>
      <c r="BQG197" s="360"/>
      <c r="BQH197" s="360"/>
      <c r="BQI197" s="360"/>
      <c r="BQJ197" s="360"/>
      <c r="BQK197" s="360"/>
      <c r="BQL197" s="360"/>
      <c r="BQM197" s="360"/>
      <c r="BQN197" s="360"/>
      <c r="BQO197" s="360"/>
      <c r="BQP197" s="360"/>
      <c r="BQQ197" s="360"/>
      <c r="BQR197" s="360"/>
      <c r="BQS197" s="360"/>
      <c r="BQT197" s="360"/>
      <c r="BQU197" s="360"/>
      <c r="BQV197" s="360"/>
      <c r="BQW197" s="360"/>
      <c r="BQX197" s="360"/>
      <c r="BQY197" s="360"/>
      <c r="BQZ197" s="360"/>
      <c r="BRA197" s="360"/>
      <c r="BRB197" s="360"/>
      <c r="BRC197" s="360"/>
      <c r="BRD197" s="360"/>
      <c r="BRE197" s="360"/>
      <c r="BRF197" s="360"/>
      <c r="BRG197" s="360"/>
      <c r="BRH197" s="360"/>
      <c r="BRI197" s="360"/>
      <c r="BRJ197" s="360"/>
      <c r="BRK197" s="360"/>
      <c r="BRL197" s="360"/>
      <c r="BRM197" s="360"/>
      <c r="BRN197" s="360"/>
      <c r="BRO197" s="360"/>
      <c r="BRP197" s="360"/>
      <c r="BRQ197" s="360"/>
      <c r="BRR197" s="360"/>
      <c r="BRS197" s="360"/>
      <c r="BRT197" s="360"/>
      <c r="BRU197" s="360"/>
      <c r="BRV197" s="360"/>
      <c r="BRW197" s="360"/>
      <c r="BRX197" s="360"/>
      <c r="BRY197" s="360"/>
      <c r="BRZ197" s="360"/>
      <c r="BSA197" s="360"/>
      <c r="BSB197" s="360"/>
      <c r="BSC197" s="360"/>
      <c r="BSD197" s="360"/>
      <c r="BSE197" s="360"/>
      <c r="BSF197" s="360"/>
      <c r="BSG197" s="360"/>
      <c r="BSH197" s="360"/>
      <c r="BSI197" s="360"/>
      <c r="BSJ197" s="360"/>
      <c r="BSK197" s="360"/>
      <c r="BSL197" s="360"/>
      <c r="BSM197" s="360"/>
      <c r="BSN197" s="360"/>
      <c r="BSO197" s="360"/>
      <c r="BSP197" s="360"/>
      <c r="BSQ197" s="360"/>
      <c r="BSR197" s="360"/>
      <c r="BSS197" s="360"/>
      <c r="BST197" s="360"/>
      <c r="BSU197" s="360"/>
      <c r="BSV197" s="360"/>
      <c r="BSW197" s="360"/>
      <c r="BSX197" s="360"/>
      <c r="BSY197" s="360"/>
      <c r="BSZ197" s="360"/>
      <c r="BTA197" s="360"/>
      <c r="BTB197" s="360"/>
      <c r="BTC197" s="360"/>
      <c r="BTD197" s="360"/>
      <c r="BTE197" s="360"/>
      <c r="BTF197" s="360"/>
      <c r="BTG197" s="360"/>
      <c r="BTH197" s="360"/>
      <c r="BTI197" s="360"/>
      <c r="BTJ197" s="360"/>
      <c r="BTK197" s="360"/>
      <c r="BTL197" s="360"/>
      <c r="BTM197" s="360"/>
      <c r="BTN197" s="360"/>
      <c r="BTO197" s="360"/>
      <c r="BTP197" s="360"/>
      <c r="BTQ197" s="360"/>
      <c r="BTR197" s="360"/>
      <c r="BTS197" s="360"/>
      <c r="BTT197" s="360"/>
      <c r="BTU197" s="360"/>
      <c r="BTV197" s="360"/>
      <c r="BTW197" s="360"/>
      <c r="BTX197" s="360"/>
      <c r="BTY197" s="360"/>
      <c r="BTZ197" s="360"/>
      <c r="BUA197" s="360"/>
      <c r="BUB197" s="360"/>
      <c r="BUC197" s="360"/>
      <c r="BUD197" s="360"/>
      <c r="BUE197" s="360"/>
      <c r="BUF197" s="360"/>
      <c r="BUG197" s="360"/>
      <c r="BUH197" s="360"/>
      <c r="BUI197" s="360"/>
      <c r="BUJ197" s="360"/>
      <c r="BUK197" s="360"/>
      <c r="BUL197" s="360"/>
      <c r="BUM197" s="360"/>
      <c r="BUN197" s="360"/>
      <c r="BUO197" s="360"/>
      <c r="BUP197" s="360"/>
      <c r="BUQ197" s="360"/>
      <c r="BUR197" s="360"/>
      <c r="BUS197" s="360"/>
      <c r="BUT197" s="360"/>
      <c r="BUU197" s="360"/>
      <c r="BUV197" s="360"/>
      <c r="BUW197" s="360"/>
      <c r="BUX197" s="360"/>
      <c r="BUY197" s="360"/>
      <c r="BUZ197" s="360"/>
      <c r="BVA197" s="360"/>
      <c r="BVB197" s="360"/>
      <c r="BVC197" s="360"/>
      <c r="BVD197" s="360"/>
      <c r="BVE197" s="360"/>
      <c r="BVF197" s="360"/>
      <c r="BVG197" s="360"/>
      <c r="BVH197" s="360"/>
      <c r="BVI197" s="360"/>
      <c r="BVJ197" s="360"/>
      <c r="BVK197" s="360"/>
      <c r="BVL197" s="360"/>
      <c r="BVM197" s="360"/>
      <c r="BVN197" s="360"/>
      <c r="BVO197" s="360"/>
      <c r="BVP197" s="360"/>
      <c r="BVQ197" s="360"/>
      <c r="BVR197" s="360"/>
      <c r="BVS197" s="360"/>
      <c r="BVT197" s="360"/>
      <c r="BVU197" s="360"/>
      <c r="BVV197" s="360"/>
      <c r="BVW197" s="360"/>
      <c r="BVX197" s="360"/>
      <c r="BVY197" s="360"/>
      <c r="BVZ197" s="360"/>
      <c r="BWA197" s="360"/>
      <c r="BWB197" s="360"/>
      <c r="BWC197" s="360"/>
      <c r="BWD197" s="360"/>
      <c r="BWE197" s="360"/>
      <c r="BWF197" s="360"/>
      <c r="BWG197" s="360"/>
      <c r="BWH197" s="360"/>
      <c r="BWI197" s="360"/>
      <c r="BWJ197" s="360"/>
      <c r="BWK197" s="360"/>
      <c r="BWL197" s="360"/>
      <c r="BWM197" s="360"/>
      <c r="BWN197" s="360"/>
      <c r="BWO197" s="360"/>
      <c r="BWP197" s="360"/>
      <c r="BWQ197" s="360"/>
      <c r="BWR197" s="360"/>
      <c r="BWS197" s="360"/>
      <c r="BWT197" s="360"/>
      <c r="BWU197" s="360"/>
      <c r="BWV197" s="360"/>
      <c r="BWW197" s="360"/>
      <c r="BWX197" s="360"/>
      <c r="BWY197" s="360"/>
      <c r="BWZ197" s="360"/>
      <c r="BXA197" s="360"/>
      <c r="BXB197" s="360"/>
      <c r="BXC197" s="360"/>
      <c r="BXD197" s="360"/>
      <c r="BXE197" s="360"/>
      <c r="BXF197" s="360"/>
      <c r="BXG197" s="360"/>
      <c r="BXH197" s="360"/>
      <c r="BXI197" s="360"/>
      <c r="BXJ197" s="360"/>
      <c r="BXK197" s="360"/>
      <c r="BXL197" s="360"/>
      <c r="BXM197" s="360"/>
      <c r="BXN197" s="360"/>
      <c r="BXO197" s="360"/>
      <c r="BXP197" s="360"/>
      <c r="BXQ197" s="360"/>
      <c r="BXR197" s="360"/>
      <c r="BXS197" s="360"/>
      <c r="BXT197" s="360"/>
      <c r="BXU197" s="360"/>
      <c r="BXV197" s="360"/>
      <c r="BXW197" s="360"/>
      <c r="BXX197" s="360"/>
      <c r="BXY197" s="360"/>
      <c r="BXZ197" s="360"/>
      <c r="BYA197" s="360"/>
      <c r="BYB197" s="360"/>
      <c r="BYC197" s="360"/>
      <c r="BYD197" s="360"/>
      <c r="BYE197" s="360"/>
      <c r="BYF197" s="360"/>
      <c r="BYG197" s="360"/>
      <c r="BYH197" s="360"/>
      <c r="BYI197" s="360"/>
      <c r="BYJ197" s="360"/>
      <c r="BYK197" s="360"/>
      <c r="BYL197" s="360"/>
      <c r="BYM197" s="360"/>
      <c r="BYN197" s="360"/>
      <c r="BYO197" s="360"/>
      <c r="BYP197" s="360"/>
      <c r="BYQ197" s="360"/>
      <c r="BYR197" s="360"/>
      <c r="BYS197" s="360"/>
      <c r="BYT197" s="360"/>
      <c r="BYU197" s="360"/>
      <c r="BYV197" s="360"/>
      <c r="BYW197" s="360"/>
      <c r="BYX197" s="360"/>
      <c r="BYY197" s="360"/>
      <c r="BYZ197" s="360"/>
      <c r="BZA197" s="360"/>
      <c r="BZB197" s="360"/>
      <c r="BZC197" s="360"/>
      <c r="BZD197" s="360"/>
      <c r="BZE197" s="360"/>
      <c r="BZF197" s="360"/>
      <c r="BZG197" s="360"/>
      <c r="BZH197" s="360"/>
      <c r="BZI197" s="360"/>
      <c r="BZJ197" s="360"/>
      <c r="BZK197" s="360"/>
      <c r="BZL197" s="360"/>
      <c r="BZM197" s="360"/>
      <c r="BZN197" s="360"/>
      <c r="BZO197" s="360"/>
      <c r="BZP197" s="360"/>
      <c r="BZQ197" s="360"/>
      <c r="BZR197" s="360"/>
      <c r="BZS197" s="360"/>
      <c r="BZT197" s="360"/>
      <c r="BZU197" s="360"/>
      <c r="BZV197" s="360"/>
      <c r="BZW197" s="360"/>
      <c r="BZX197" s="360"/>
      <c r="BZY197" s="360"/>
      <c r="BZZ197" s="360"/>
      <c r="CAA197" s="360"/>
      <c r="CAB197" s="360"/>
      <c r="CAC197" s="360"/>
      <c r="CAD197" s="360"/>
      <c r="CAE197" s="360"/>
      <c r="CAF197" s="360"/>
      <c r="CAG197" s="360"/>
      <c r="CAH197" s="360"/>
      <c r="CAI197" s="360"/>
      <c r="CAJ197" s="360"/>
      <c r="CAK197" s="360"/>
      <c r="CAL197" s="360"/>
      <c r="CAM197" s="360"/>
      <c r="CAN197" s="360"/>
      <c r="CAO197" s="360"/>
      <c r="CAP197" s="360"/>
      <c r="CAQ197" s="360"/>
      <c r="CAR197" s="360"/>
      <c r="CAS197" s="360"/>
      <c r="CAT197" s="360"/>
      <c r="CAU197" s="360"/>
      <c r="CAV197" s="360"/>
      <c r="CAW197" s="360"/>
      <c r="CAX197" s="360"/>
      <c r="CAY197" s="360"/>
      <c r="CAZ197" s="360"/>
      <c r="CBA197" s="360"/>
      <c r="CBB197" s="360"/>
      <c r="CBC197" s="360"/>
      <c r="CBD197" s="360"/>
      <c r="CBE197" s="360"/>
      <c r="CBF197" s="360"/>
      <c r="CBG197" s="360"/>
      <c r="CBH197" s="360"/>
      <c r="CBI197" s="360"/>
      <c r="CBJ197" s="360"/>
      <c r="CBK197" s="360"/>
      <c r="CBL197" s="360"/>
      <c r="CBM197" s="360"/>
      <c r="CBN197" s="360"/>
      <c r="CBO197" s="360"/>
      <c r="CBP197" s="360"/>
      <c r="CBQ197" s="360"/>
      <c r="CBR197" s="360"/>
      <c r="CBS197" s="360"/>
      <c r="CBT197" s="360"/>
      <c r="CBU197" s="360"/>
      <c r="CBV197" s="360"/>
      <c r="CBW197" s="360"/>
      <c r="CBX197" s="360"/>
      <c r="CBY197" s="360"/>
      <c r="CBZ197" s="360"/>
      <c r="CCA197" s="360"/>
      <c r="CCB197" s="360"/>
      <c r="CCC197" s="360"/>
      <c r="CCD197" s="360"/>
      <c r="CCE197" s="360"/>
      <c r="CCF197" s="360"/>
      <c r="CCG197" s="360"/>
      <c r="CCH197" s="360"/>
      <c r="CCI197" s="360"/>
      <c r="CCJ197" s="360"/>
      <c r="CCK197" s="360"/>
      <c r="CCL197" s="360"/>
      <c r="CCM197" s="360"/>
      <c r="CCN197" s="360"/>
      <c r="CCO197" s="360"/>
      <c r="CCP197" s="360"/>
      <c r="CCQ197" s="360"/>
      <c r="CCR197" s="360"/>
      <c r="CCS197" s="360"/>
      <c r="CCT197" s="360"/>
      <c r="CCU197" s="360"/>
      <c r="CCV197" s="360"/>
      <c r="CCW197" s="360"/>
      <c r="CCX197" s="360"/>
      <c r="CCY197" s="360"/>
      <c r="CCZ197" s="360"/>
      <c r="CDA197" s="360"/>
      <c r="CDB197" s="360"/>
      <c r="CDC197" s="360"/>
      <c r="CDD197" s="360"/>
      <c r="CDE197" s="360"/>
      <c r="CDF197" s="360"/>
      <c r="CDG197" s="360"/>
      <c r="CDH197" s="360"/>
      <c r="CDI197" s="360"/>
      <c r="CDJ197" s="360"/>
      <c r="CDK197" s="360"/>
      <c r="CDL197" s="360"/>
      <c r="CDM197" s="360"/>
      <c r="CDN197" s="360"/>
      <c r="CDO197" s="360"/>
      <c r="CDP197" s="360"/>
      <c r="CDQ197" s="360"/>
      <c r="CDR197" s="360"/>
      <c r="CDS197" s="360"/>
      <c r="CDT197" s="360"/>
      <c r="CDU197" s="360"/>
      <c r="CDV197" s="360"/>
      <c r="CDW197" s="360"/>
      <c r="CDX197" s="360"/>
      <c r="CDY197" s="360"/>
      <c r="CDZ197" s="360"/>
      <c r="CEA197" s="360"/>
      <c r="CEB197" s="360"/>
      <c r="CEC197" s="360"/>
      <c r="CED197" s="360"/>
      <c r="CEE197" s="360"/>
      <c r="CEF197" s="360"/>
      <c r="CEG197" s="360"/>
      <c r="CEH197" s="360"/>
      <c r="CEI197" s="360"/>
      <c r="CEJ197" s="360"/>
      <c r="CEK197" s="360"/>
      <c r="CEL197" s="360"/>
      <c r="CEM197" s="360"/>
      <c r="CEN197" s="360"/>
      <c r="CEO197" s="360"/>
      <c r="CEP197" s="360"/>
      <c r="CEQ197" s="360"/>
      <c r="CER197" s="360"/>
      <c r="CES197" s="360"/>
      <c r="CET197" s="360"/>
      <c r="CEU197" s="360"/>
      <c r="CEV197" s="360"/>
      <c r="CEW197" s="360"/>
      <c r="CEX197" s="360"/>
      <c r="CEY197" s="360"/>
      <c r="CEZ197" s="360"/>
      <c r="CFA197" s="360"/>
      <c r="CFB197" s="360"/>
      <c r="CFC197" s="360"/>
      <c r="CFD197" s="360"/>
      <c r="CFE197" s="360"/>
      <c r="CFF197" s="360"/>
      <c r="CFG197" s="360"/>
      <c r="CFH197" s="360"/>
      <c r="CFI197" s="360"/>
      <c r="CFJ197" s="360"/>
      <c r="CFK197" s="360"/>
      <c r="CFL197" s="360"/>
      <c r="CFM197" s="360"/>
      <c r="CFN197" s="360"/>
      <c r="CFO197" s="360"/>
      <c r="CFP197" s="360"/>
      <c r="CFQ197" s="360"/>
      <c r="CFR197" s="360"/>
      <c r="CFS197" s="360"/>
      <c r="CFT197" s="360"/>
      <c r="CFU197" s="360"/>
      <c r="CFV197" s="360"/>
      <c r="CFW197" s="360"/>
      <c r="CFX197" s="360"/>
      <c r="CFY197" s="360"/>
      <c r="CFZ197" s="360"/>
      <c r="CGA197" s="360"/>
      <c r="CGB197" s="360"/>
      <c r="CGC197" s="360"/>
      <c r="CGD197" s="360"/>
      <c r="CGE197" s="360"/>
      <c r="CGF197" s="360"/>
      <c r="CGG197" s="360"/>
      <c r="CGH197" s="360"/>
      <c r="CGI197" s="360"/>
      <c r="CGJ197" s="360"/>
      <c r="CGK197" s="360"/>
      <c r="CGL197" s="360"/>
      <c r="CGM197" s="360"/>
      <c r="CGN197" s="360"/>
      <c r="CGO197" s="360"/>
      <c r="CGP197" s="360"/>
      <c r="CGQ197" s="360"/>
      <c r="CGR197" s="360"/>
      <c r="CGS197" s="360"/>
      <c r="CGT197" s="360"/>
      <c r="CGU197" s="360"/>
      <c r="CGV197" s="360"/>
      <c r="CGW197" s="360"/>
      <c r="CGX197" s="360"/>
      <c r="CGY197" s="360"/>
      <c r="CGZ197" s="360"/>
      <c r="CHA197" s="360"/>
      <c r="CHB197" s="360"/>
      <c r="CHC197" s="360"/>
      <c r="CHD197" s="360"/>
      <c r="CHE197" s="360"/>
      <c r="CHF197" s="360"/>
      <c r="CHG197" s="360"/>
      <c r="CHH197" s="360"/>
      <c r="CHI197" s="360"/>
      <c r="CHJ197" s="360"/>
      <c r="CHK197" s="360"/>
      <c r="CHL197" s="360"/>
      <c r="CHM197" s="360"/>
      <c r="CHN197" s="360"/>
      <c r="CHO197" s="360"/>
      <c r="CHP197" s="360"/>
      <c r="CHQ197" s="360"/>
      <c r="CHR197" s="360"/>
      <c r="CHS197" s="360"/>
      <c r="CHT197" s="360"/>
      <c r="CHU197" s="360"/>
      <c r="CHV197" s="360"/>
      <c r="CHW197" s="360"/>
      <c r="CHX197" s="360"/>
      <c r="CHY197" s="360"/>
      <c r="CHZ197" s="360"/>
      <c r="CIA197" s="360"/>
      <c r="CIB197" s="360"/>
      <c r="CIC197" s="360"/>
      <c r="CID197" s="360"/>
      <c r="CIE197" s="360"/>
      <c r="CIF197" s="360"/>
      <c r="CIG197" s="360"/>
      <c r="CIH197" s="360"/>
      <c r="CII197" s="360"/>
      <c r="CIJ197" s="360"/>
      <c r="CIK197" s="360"/>
      <c r="CIL197" s="360"/>
      <c r="CIM197" s="360"/>
      <c r="CIN197" s="360"/>
      <c r="CIO197" s="360"/>
      <c r="CIP197" s="360"/>
      <c r="CIQ197" s="360"/>
      <c r="CIR197" s="360"/>
      <c r="CIS197" s="360"/>
      <c r="CIT197" s="360"/>
      <c r="CIU197" s="360"/>
      <c r="CIV197" s="360"/>
      <c r="CIW197" s="360"/>
      <c r="CIX197" s="360"/>
      <c r="CIY197" s="360"/>
      <c r="CIZ197" s="360"/>
      <c r="CJA197" s="360"/>
      <c r="CJB197" s="360"/>
      <c r="CJC197" s="360"/>
      <c r="CJD197" s="360"/>
      <c r="CJE197" s="360"/>
      <c r="CJF197" s="360"/>
      <c r="CJG197" s="360"/>
      <c r="CJH197" s="360"/>
      <c r="CJI197" s="360"/>
      <c r="CJJ197" s="360"/>
      <c r="CJK197" s="360"/>
      <c r="CJL197" s="360"/>
      <c r="CJM197" s="360"/>
      <c r="CJN197" s="360"/>
      <c r="CJO197" s="360"/>
      <c r="CJP197" s="360"/>
      <c r="CJQ197" s="360"/>
      <c r="CJR197" s="360"/>
      <c r="CJS197" s="360"/>
      <c r="CJT197" s="360"/>
      <c r="CJU197" s="360"/>
      <c r="CJV197" s="360"/>
      <c r="CJW197" s="360"/>
      <c r="CJX197" s="360"/>
      <c r="CJY197" s="360"/>
      <c r="CJZ197" s="360"/>
      <c r="CKA197" s="360"/>
      <c r="CKB197" s="360"/>
      <c r="CKC197" s="360"/>
      <c r="CKD197" s="360"/>
      <c r="CKE197" s="360"/>
      <c r="CKF197" s="360"/>
      <c r="CKG197" s="360"/>
      <c r="CKH197" s="360"/>
      <c r="CKI197" s="360"/>
      <c r="CKJ197" s="360"/>
      <c r="CKK197" s="360"/>
      <c r="CKL197" s="360"/>
      <c r="CKM197" s="360"/>
      <c r="CKN197" s="360"/>
      <c r="CKO197" s="360"/>
      <c r="CKP197" s="360"/>
      <c r="CKQ197" s="360"/>
      <c r="CKR197" s="360"/>
      <c r="CKS197" s="360"/>
      <c r="CKT197" s="360"/>
      <c r="CKU197" s="360"/>
      <c r="CKV197" s="360"/>
      <c r="CKW197" s="360"/>
      <c r="CKX197" s="360"/>
      <c r="CKY197" s="360"/>
      <c r="CKZ197" s="360"/>
      <c r="CLA197" s="360"/>
      <c r="CLB197" s="360"/>
      <c r="CLC197" s="360"/>
      <c r="CLD197" s="360"/>
      <c r="CLE197" s="360"/>
      <c r="CLF197" s="360"/>
      <c r="CLG197" s="360"/>
      <c r="CLH197" s="360"/>
      <c r="CLI197" s="360"/>
      <c r="CLJ197" s="360"/>
      <c r="CLK197" s="360"/>
      <c r="CLL197" s="360"/>
      <c r="CLM197" s="360"/>
      <c r="CLN197" s="360"/>
      <c r="CLO197" s="360"/>
      <c r="CLP197" s="360"/>
      <c r="CLQ197" s="360"/>
      <c r="CLR197" s="360"/>
      <c r="CLS197" s="360"/>
      <c r="CLT197" s="360"/>
      <c r="CLU197" s="360"/>
      <c r="CLV197" s="360"/>
      <c r="CLW197" s="360"/>
      <c r="CLX197" s="360"/>
      <c r="CLY197" s="360"/>
      <c r="CLZ197" s="360"/>
      <c r="CMA197" s="360"/>
      <c r="CMB197" s="360"/>
      <c r="CMC197" s="360"/>
      <c r="CMD197" s="360"/>
      <c r="CME197" s="360"/>
      <c r="CMF197" s="360"/>
      <c r="CMG197" s="360"/>
      <c r="CMH197" s="360"/>
      <c r="CMI197" s="360"/>
      <c r="CMJ197" s="360"/>
      <c r="CMK197" s="360"/>
      <c r="CML197" s="360"/>
      <c r="CMM197" s="360"/>
      <c r="CMN197" s="360"/>
      <c r="CMO197" s="360"/>
      <c r="CMP197" s="360"/>
      <c r="CMQ197" s="360"/>
      <c r="CMR197" s="360"/>
      <c r="CMS197" s="360"/>
      <c r="CMT197" s="360"/>
      <c r="CMU197" s="360"/>
      <c r="CMV197" s="360"/>
      <c r="CMW197" s="360"/>
      <c r="CMX197" s="360"/>
      <c r="CMY197" s="360"/>
      <c r="CMZ197" s="360"/>
      <c r="CNA197" s="360"/>
      <c r="CNB197" s="360"/>
      <c r="CNC197" s="360"/>
      <c r="CND197" s="360"/>
      <c r="CNE197" s="360"/>
      <c r="CNF197" s="360"/>
      <c r="CNG197" s="360"/>
      <c r="CNH197" s="360"/>
      <c r="CNI197" s="360"/>
      <c r="CNJ197" s="360"/>
      <c r="CNK197" s="360"/>
      <c r="CNL197" s="360"/>
      <c r="CNM197" s="360"/>
      <c r="CNN197" s="360"/>
      <c r="CNO197" s="360"/>
      <c r="CNP197" s="360"/>
      <c r="CNQ197" s="360"/>
      <c r="CNR197" s="360"/>
      <c r="CNS197" s="360"/>
      <c r="CNT197" s="360"/>
      <c r="CNU197" s="360"/>
      <c r="CNV197" s="360"/>
      <c r="CNW197" s="360"/>
      <c r="CNX197" s="360"/>
      <c r="CNY197" s="360"/>
      <c r="CNZ197" s="360"/>
      <c r="COA197" s="360"/>
      <c r="COB197" s="360"/>
      <c r="COC197" s="360"/>
      <c r="COD197" s="360"/>
      <c r="COE197" s="360"/>
      <c r="COF197" s="360"/>
      <c r="COG197" s="360"/>
      <c r="COH197" s="360"/>
      <c r="COI197" s="360"/>
      <c r="COJ197" s="360"/>
      <c r="COK197" s="360"/>
      <c r="COL197" s="360"/>
      <c r="COM197" s="360"/>
      <c r="CON197" s="360"/>
      <c r="COO197" s="360"/>
      <c r="COP197" s="360"/>
      <c r="COQ197" s="360"/>
      <c r="COR197" s="360"/>
      <c r="COS197" s="360"/>
      <c r="COT197" s="360"/>
      <c r="COU197" s="360"/>
      <c r="COV197" s="360"/>
      <c r="COW197" s="360"/>
      <c r="COX197" s="360"/>
      <c r="COY197" s="360"/>
      <c r="COZ197" s="360"/>
      <c r="CPA197" s="360"/>
      <c r="CPB197" s="360"/>
      <c r="CPC197" s="360"/>
      <c r="CPD197" s="360"/>
      <c r="CPE197" s="360"/>
      <c r="CPF197" s="360"/>
      <c r="CPG197" s="360"/>
      <c r="CPH197" s="360"/>
      <c r="CPI197" s="360"/>
      <c r="CPJ197" s="360"/>
      <c r="CPK197" s="360"/>
      <c r="CPL197" s="360"/>
      <c r="CPM197" s="360"/>
      <c r="CPN197" s="360"/>
      <c r="CPO197" s="360"/>
      <c r="CPP197" s="360"/>
      <c r="CPQ197" s="360"/>
      <c r="CPR197" s="360"/>
      <c r="CPS197" s="360"/>
      <c r="CPT197" s="360"/>
      <c r="CPU197" s="360"/>
      <c r="CPV197" s="360"/>
      <c r="CPW197" s="360"/>
      <c r="CPX197" s="360"/>
      <c r="CPY197" s="360"/>
      <c r="CPZ197" s="360"/>
      <c r="CQA197" s="360"/>
      <c r="CQB197" s="360"/>
      <c r="CQC197" s="360"/>
      <c r="CQD197" s="360"/>
      <c r="CQE197" s="360"/>
      <c r="CQF197" s="360"/>
      <c r="CQG197" s="360"/>
      <c r="CQH197" s="360"/>
      <c r="CQI197" s="360"/>
      <c r="CQJ197" s="360"/>
      <c r="CQK197" s="360"/>
      <c r="CQL197" s="360"/>
      <c r="CQM197" s="360"/>
      <c r="CQN197" s="360"/>
      <c r="CQO197" s="360"/>
      <c r="CQP197" s="360"/>
      <c r="CQQ197" s="360"/>
      <c r="CQR197" s="360"/>
      <c r="CQS197" s="360"/>
      <c r="CQT197" s="360"/>
      <c r="CQU197" s="360"/>
      <c r="CQV197" s="360"/>
      <c r="CQW197" s="360"/>
      <c r="CQX197" s="360"/>
      <c r="CQY197" s="360"/>
      <c r="CQZ197" s="360"/>
      <c r="CRA197" s="360"/>
      <c r="CRB197" s="360"/>
      <c r="CRC197" s="360"/>
      <c r="CRD197" s="360"/>
      <c r="CRE197" s="360"/>
      <c r="CRF197" s="360"/>
      <c r="CRG197" s="360"/>
      <c r="CRH197" s="360"/>
      <c r="CRI197" s="360"/>
      <c r="CRJ197" s="360"/>
      <c r="CRK197" s="360"/>
      <c r="CRL197" s="360"/>
      <c r="CRM197" s="360"/>
      <c r="CRN197" s="360"/>
      <c r="CRO197" s="360"/>
      <c r="CRP197" s="360"/>
      <c r="CRQ197" s="360"/>
      <c r="CRR197" s="360"/>
      <c r="CRS197" s="360"/>
      <c r="CRT197" s="360"/>
      <c r="CRU197" s="360"/>
      <c r="CRV197" s="360"/>
      <c r="CRW197" s="360"/>
      <c r="CRX197" s="360"/>
      <c r="CRY197" s="360"/>
      <c r="CRZ197" s="360"/>
      <c r="CSA197" s="360"/>
      <c r="CSB197" s="360"/>
      <c r="CSC197" s="360"/>
      <c r="CSD197" s="360"/>
      <c r="CSE197" s="360"/>
      <c r="CSF197" s="360"/>
      <c r="CSG197" s="360"/>
      <c r="CSH197" s="360"/>
      <c r="CSI197" s="360"/>
      <c r="CSJ197" s="360"/>
      <c r="CSK197" s="360"/>
      <c r="CSL197" s="360"/>
      <c r="CSM197" s="360"/>
      <c r="CSN197" s="360"/>
      <c r="CSO197" s="360"/>
      <c r="CSP197" s="360"/>
      <c r="CSQ197" s="360"/>
      <c r="CSR197" s="360"/>
      <c r="CSS197" s="360"/>
      <c r="CST197" s="360"/>
      <c r="CSU197" s="360"/>
      <c r="CSV197" s="360"/>
      <c r="CSW197" s="360"/>
      <c r="CSX197" s="360"/>
      <c r="CSY197" s="360"/>
      <c r="CSZ197" s="360"/>
      <c r="CTA197" s="360"/>
      <c r="CTB197" s="360"/>
      <c r="CTC197" s="360"/>
      <c r="CTD197" s="360"/>
      <c r="CTE197" s="360"/>
      <c r="CTF197" s="360"/>
      <c r="CTG197" s="360"/>
      <c r="CTH197" s="360"/>
      <c r="CTI197" s="360"/>
      <c r="CTJ197" s="360"/>
      <c r="CTK197" s="360"/>
      <c r="CTL197" s="360"/>
      <c r="CTM197" s="360"/>
      <c r="CTN197" s="360"/>
      <c r="CTO197" s="360"/>
      <c r="CTP197" s="360"/>
      <c r="CTQ197" s="360"/>
      <c r="CTR197" s="360"/>
      <c r="CTS197" s="360"/>
      <c r="CTT197" s="360"/>
      <c r="CTU197" s="360"/>
      <c r="CTV197" s="360"/>
      <c r="CTW197" s="360"/>
      <c r="CTX197" s="360"/>
      <c r="CTY197" s="360"/>
      <c r="CTZ197" s="360"/>
      <c r="CUA197" s="360"/>
      <c r="CUB197" s="360"/>
      <c r="CUC197" s="360"/>
      <c r="CUD197" s="360"/>
      <c r="CUE197" s="360"/>
      <c r="CUF197" s="360"/>
      <c r="CUG197" s="360"/>
      <c r="CUH197" s="360"/>
      <c r="CUI197" s="360"/>
      <c r="CUJ197" s="360"/>
      <c r="CUK197" s="360"/>
      <c r="CUL197" s="360"/>
      <c r="CUM197" s="360"/>
      <c r="CUN197" s="360"/>
      <c r="CUO197" s="360"/>
      <c r="CUP197" s="360"/>
      <c r="CUQ197" s="360"/>
      <c r="CUR197" s="360"/>
      <c r="CUS197" s="360"/>
      <c r="CUT197" s="360"/>
      <c r="CUU197" s="360"/>
      <c r="CUV197" s="360"/>
      <c r="CUW197" s="360"/>
      <c r="CUX197" s="360"/>
      <c r="CUY197" s="360"/>
      <c r="CUZ197" s="360"/>
      <c r="CVA197" s="360"/>
      <c r="CVB197" s="360"/>
      <c r="CVC197" s="360"/>
      <c r="CVD197" s="360"/>
      <c r="CVE197" s="360"/>
      <c r="CVF197" s="360"/>
      <c r="CVG197" s="360"/>
      <c r="CVH197" s="360"/>
      <c r="CVI197" s="360"/>
      <c r="CVJ197" s="360"/>
      <c r="CVK197" s="360"/>
      <c r="CVL197" s="360"/>
      <c r="CVM197" s="360"/>
      <c r="CVN197" s="360"/>
      <c r="CVO197" s="360"/>
      <c r="CVP197" s="360"/>
      <c r="CVQ197" s="360"/>
      <c r="CVR197" s="360"/>
      <c r="CVS197" s="360"/>
      <c r="CVT197" s="360"/>
      <c r="CVU197" s="360"/>
      <c r="CVV197" s="360"/>
      <c r="CVW197" s="360"/>
      <c r="CVX197" s="360"/>
      <c r="CVY197" s="360"/>
      <c r="CVZ197" s="360"/>
      <c r="CWA197" s="360"/>
      <c r="CWB197" s="360"/>
      <c r="CWC197" s="360"/>
      <c r="CWD197" s="360"/>
      <c r="CWE197" s="360"/>
      <c r="CWF197" s="360"/>
      <c r="CWG197" s="360"/>
      <c r="CWH197" s="360"/>
      <c r="CWI197" s="360"/>
      <c r="CWJ197" s="360"/>
      <c r="CWK197" s="360"/>
      <c r="CWL197" s="360"/>
      <c r="CWM197" s="360"/>
      <c r="CWN197" s="360"/>
      <c r="CWO197" s="360"/>
      <c r="CWP197" s="360"/>
      <c r="CWQ197" s="360"/>
      <c r="CWR197" s="360"/>
      <c r="CWS197" s="360"/>
      <c r="CWT197" s="360"/>
      <c r="CWU197" s="360"/>
      <c r="CWV197" s="360"/>
      <c r="CWW197" s="360"/>
      <c r="CWX197" s="360"/>
      <c r="CWY197" s="360"/>
      <c r="CWZ197" s="360"/>
      <c r="CXA197" s="360"/>
      <c r="CXB197" s="360"/>
      <c r="CXC197" s="360"/>
      <c r="CXD197" s="360"/>
      <c r="CXE197" s="360"/>
      <c r="CXF197" s="360"/>
      <c r="CXG197" s="360"/>
      <c r="CXH197" s="360"/>
      <c r="CXI197" s="360"/>
      <c r="CXJ197" s="360"/>
      <c r="CXK197" s="360"/>
      <c r="CXL197" s="360"/>
      <c r="CXM197" s="360"/>
      <c r="CXN197" s="360"/>
      <c r="CXO197" s="360"/>
      <c r="CXP197" s="360"/>
      <c r="CXQ197" s="360"/>
      <c r="CXR197" s="360"/>
      <c r="CXS197" s="360"/>
      <c r="CXT197" s="360"/>
      <c r="CXU197" s="360"/>
      <c r="CXV197" s="360"/>
      <c r="CXW197" s="360"/>
      <c r="CXX197" s="360"/>
      <c r="CXY197" s="360"/>
      <c r="CXZ197" s="360"/>
      <c r="CYA197" s="360"/>
      <c r="CYB197" s="360"/>
      <c r="CYC197" s="360"/>
      <c r="CYD197" s="360"/>
      <c r="CYE197" s="360"/>
      <c r="CYF197" s="360"/>
      <c r="CYG197" s="360"/>
      <c r="CYH197" s="360"/>
      <c r="CYI197" s="360"/>
      <c r="CYJ197" s="360"/>
      <c r="CYK197" s="360"/>
      <c r="CYL197" s="360"/>
      <c r="CYM197" s="360"/>
      <c r="CYN197" s="360"/>
      <c r="CYO197" s="360"/>
      <c r="CYP197" s="360"/>
      <c r="CYQ197" s="360"/>
      <c r="CYR197" s="360"/>
      <c r="CYS197" s="360"/>
      <c r="CYT197" s="360"/>
      <c r="CYU197" s="360"/>
      <c r="CYV197" s="360"/>
      <c r="CYW197" s="360"/>
      <c r="CYX197" s="360"/>
      <c r="CYY197" s="360"/>
      <c r="CYZ197" s="360"/>
      <c r="CZA197" s="360"/>
      <c r="CZB197" s="360"/>
      <c r="CZC197" s="360"/>
      <c r="CZD197" s="360"/>
      <c r="CZE197" s="360"/>
      <c r="CZF197" s="360"/>
      <c r="CZG197" s="360"/>
      <c r="CZH197" s="360"/>
      <c r="CZI197" s="360"/>
      <c r="CZJ197" s="360"/>
      <c r="CZK197" s="360"/>
      <c r="CZL197" s="360"/>
      <c r="CZM197" s="360"/>
      <c r="CZN197" s="360"/>
      <c r="CZO197" s="360"/>
      <c r="CZP197" s="360"/>
      <c r="CZQ197" s="360"/>
      <c r="CZR197" s="360"/>
      <c r="CZS197" s="360"/>
      <c r="CZT197" s="360"/>
      <c r="CZU197" s="360"/>
      <c r="CZV197" s="360"/>
      <c r="CZW197" s="360"/>
      <c r="CZX197" s="360"/>
      <c r="CZY197" s="360"/>
      <c r="CZZ197" s="360"/>
      <c r="DAA197" s="360"/>
      <c r="DAB197" s="360"/>
      <c r="DAC197" s="360"/>
      <c r="DAD197" s="360"/>
      <c r="DAE197" s="360"/>
      <c r="DAF197" s="360"/>
      <c r="DAG197" s="360"/>
      <c r="DAH197" s="360"/>
      <c r="DAI197" s="360"/>
      <c r="DAJ197" s="360"/>
      <c r="DAK197" s="360"/>
      <c r="DAL197" s="360"/>
      <c r="DAM197" s="360"/>
      <c r="DAN197" s="360"/>
      <c r="DAO197" s="360"/>
      <c r="DAP197" s="360"/>
      <c r="DAQ197" s="360"/>
      <c r="DAR197" s="360"/>
      <c r="DAS197" s="360"/>
      <c r="DAT197" s="360"/>
      <c r="DAU197" s="360"/>
      <c r="DAV197" s="360"/>
      <c r="DAW197" s="360"/>
      <c r="DAX197" s="360"/>
      <c r="DAY197" s="360"/>
      <c r="DAZ197" s="360"/>
      <c r="DBA197" s="360"/>
      <c r="DBB197" s="360"/>
      <c r="DBC197" s="360"/>
      <c r="DBD197" s="360"/>
      <c r="DBE197" s="360"/>
      <c r="DBF197" s="360"/>
      <c r="DBG197" s="360"/>
      <c r="DBH197" s="360"/>
      <c r="DBI197" s="360"/>
      <c r="DBJ197" s="360"/>
      <c r="DBK197" s="360"/>
      <c r="DBL197" s="360"/>
      <c r="DBM197" s="360"/>
      <c r="DBN197" s="360"/>
      <c r="DBO197" s="360"/>
      <c r="DBP197" s="360"/>
      <c r="DBQ197" s="360"/>
      <c r="DBR197" s="360"/>
      <c r="DBS197" s="360"/>
      <c r="DBT197" s="360"/>
      <c r="DBU197" s="360"/>
      <c r="DBV197" s="360"/>
      <c r="DBW197" s="360"/>
      <c r="DBX197" s="360"/>
      <c r="DBY197" s="360"/>
      <c r="DBZ197" s="360"/>
      <c r="DCA197" s="360"/>
      <c r="DCB197" s="360"/>
      <c r="DCC197" s="360"/>
      <c r="DCD197" s="360"/>
      <c r="DCE197" s="360"/>
      <c r="DCF197" s="360"/>
      <c r="DCG197" s="360"/>
      <c r="DCH197" s="360"/>
      <c r="DCI197" s="360"/>
      <c r="DCJ197" s="360"/>
      <c r="DCK197" s="360"/>
      <c r="DCL197" s="360"/>
      <c r="DCM197" s="360"/>
      <c r="DCN197" s="360"/>
      <c r="DCO197" s="360"/>
      <c r="DCP197" s="360"/>
      <c r="DCQ197" s="360"/>
      <c r="DCR197" s="360"/>
      <c r="DCS197" s="360"/>
      <c r="DCT197" s="360"/>
      <c r="DCU197" s="360"/>
      <c r="DCV197" s="360"/>
      <c r="DCW197" s="360"/>
      <c r="DCX197" s="360"/>
      <c r="DCY197" s="360"/>
      <c r="DCZ197" s="360"/>
      <c r="DDA197" s="360"/>
      <c r="DDB197" s="360"/>
      <c r="DDC197" s="360"/>
      <c r="DDD197" s="360"/>
      <c r="DDE197" s="360"/>
      <c r="DDF197" s="360"/>
      <c r="DDG197" s="360"/>
      <c r="DDH197" s="360"/>
      <c r="DDI197" s="360"/>
      <c r="DDJ197" s="360"/>
      <c r="DDK197" s="360"/>
      <c r="DDL197" s="360"/>
      <c r="DDM197" s="360"/>
      <c r="DDN197" s="360"/>
      <c r="DDO197" s="360"/>
      <c r="DDP197" s="360"/>
      <c r="DDQ197" s="360"/>
      <c r="DDR197" s="360"/>
      <c r="DDS197" s="360"/>
      <c r="DDT197" s="360"/>
      <c r="DDU197" s="360"/>
      <c r="DDV197" s="360"/>
      <c r="DDW197" s="360"/>
      <c r="DDX197" s="360"/>
      <c r="DDY197" s="360"/>
      <c r="DDZ197" s="360"/>
      <c r="DEA197" s="360"/>
      <c r="DEB197" s="360"/>
      <c r="DEC197" s="360"/>
      <c r="DED197" s="360"/>
      <c r="DEE197" s="360"/>
      <c r="DEF197" s="360"/>
      <c r="DEG197" s="360"/>
      <c r="DEH197" s="360"/>
      <c r="DEI197" s="360"/>
      <c r="DEJ197" s="360"/>
      <c r="DEK197" s="360"/>
      <c r="DEL197" s="360"/>
      <c r="DEM197" s="360"/>
      <c r="DEN197" s="360"/>
      <c r="DEO197" s="360"/>
      <c r="DEP197" s="360"/>
      <c r="DEQ197" s="360"/>
      <c r="DER197" s="360"/>
      <c r="DES197" s="360"/>
      <c r="DET197" s="360"/>
      <c r="DEU197" s="360"/>
      <c r="DEV197" s="360"/>
      <c r="DEW197" s="360"/>
      <c r="DEX197" s="360"/>
      <c r="DEY197" s="360"/>
      <c r="DEZ197" s="360"/>
      <c r="DFA197" s="360"/>
      <c r="DFB197" s="360"/>
      <c r="DFC197" s="360"/>
      <c r="DFD197" s="360"/>
      <c r="DFE197" s="360"/>
      <c r="DFF197" s="360"/>
      <c r="DFG197" s="360"/>
      <c r="DFH197" s="360"/>
      <c r="DFI197" s="360"/>
      <c r="DFJ197" s="360"/>
      <c r="DFK197" s="360"/>
      <c r="DFL197" s="360"/>
      <c r="DFM197" s="360"/>
      <c r="DFN197" s="360"/>
      <c r="DFO197" s="360"/>
      <c r="DFP197" s="360"/>
      <c r="DFQ197" s="360"/>
      <c r="DFR197" s="360"/>
      <c r="DFS197" s="360"/>
      <c r="DFT197" s="360"/>
      <c r="DFU197" s="360"/>
      <c r="DFV197" s="360"/>
      <c r="DFW197" s="360"/>
      <c r="DFX197" s="360"/>
      <c r="DFY197" s="360"/>
      <c r="DFZ197" s="360"/>
      <c r="DGA197" s="360"/>
      <c r="DGB197" s="360"/>
      <c r="DGC197" s="360"/>
      <c r="DGD197" s="360"/>
      <c r="DGE197" s="360"/>
      <c r="DGF197" s="360"/>
      <c r="DGG197" s="360"/>
      <c r="DGH197" s="360"/>
      <c r="DGI197" s="360"/>
      <c r="DGJ197" s="360"/>
      <c r="DGK197" s="360"/>
      <c r="DGL197" s="360"/>
      <c r="DGM197" s="360"/>
      <c r="DGN197" s="360"/>
      <c r="DGO197" s="360"/>
      <c r="DGP197" s="360"/>
      <c r="DGQ197" s="360"/>
      <c r="DGR197" s="360"/>
      <c r="DGS197" s="360"/>
      <c r="DGT197" s="360"/>
      <c r="DGU197" s="360"/>
      <c r="DGV197" s="360"/>
      <c r="DGW197" s="360"/>
      <c r="DGX197" s="360"/>
      <c r="DGY197" s="360"/>
      <c r="DGZ197" s="360"/>
      <c r="DHA197" s="360"/>
      <c r="DHB197" s="360"/>
      <c r="DHC197" s="360"/>
      <c r="DHD197" s="360"/>
      <c r="DHE197" s="360"/>
      <c r="DHF197" s="360"/>
      <c r="DHG197" s="360"/>
      <c r="DHH197" s="360"/>
      <c r="DHI197" s="360"/>
      <c r="DHJ197" s="360"/>
      <c r="DHK197" s="360"/>
      <c r="DHL197" s="360"/>
      <c r="DHM197" s="360"/>
      <c r="DHN197" s="360"/>
      <c r="DHO197" s="360"/>
      <c r="DHP197" s="360"/>
      <c r="DHQ197" s="360"/>
      <c r="DHR197" s="360"/>
      <c r="DHS197" s="360"/>
      <c r="DHT197" s="360"/>
      <c r="DHU197" s="360"/>
      <c r="DHV197" s="360"/>
      <c r="DHW197" s="360"/>
      <c r="DHX197" s="360"/>
      <c r="DHY197" s="360"/>
      <c r="DHZ197" s="360"/>
      <c r="DIA197" s="360"/>
      <c r="DIB197" s="360"/>
      <c r="DIC197" s="360"/>
      <c r="DID197" s="360"/>
      <c r="DIE197" s="360"/>
      <c r="DIF197" s="360"/>
      <c r="DIG197" s="360"/>
      <c r="DIH197" s="360"/>
      <c r="DII197" s="360"/>
      <c r="DIJ197" s="360"/>
      <c r="DIK197" s="360"/>
      <c r="DIL197" s="360"/>
      <c r="DIM197" s="360"/>
      <c r="DIN197" s="360"/>
      <c r="DIO197" s="360"/>
      <c r="DIP197" s="360"/>
      <c r="DIQ197" s="360"/>
      <c r="DIR197" s="360"/>
      <c r="DIS197" s="360"/>
      <c r="DIT197" s="360"/>
      <c r="DIU197" s="360"/>
      <c r="DIV197" s="360"/>
      <c r="DIW197" s="360"/>
      <c r="DIX197" s="360"/>
      <c r="DIY197" s="360"/>
      <c r="DIZ197" s="360"/>
      <c r="DJA197" s="360"/>
      <c r="DJB197" s="360"/>
      <c r="DJC197" s="360"/>
      <c r="DJD197" s="360"/>
      <c r="DJE197" s="360"/>
      <c r="DJF197" s="360"/>
      <c r="DJG197" s="360"/>
      <c r="DJH197" s="360"/>
      <c r="DJI197" s="360"/>
      <c r="DJJ197" s="360"/>
      <c r="DJK197" s="360"/>
      <c r="DJL197" s="360"/>
      <c r="DJM197" s="360"/>
      <c r="DJN197" s="360"/>
      <c r="DJO197" s="360"/>
      <c r="DJP197" s="360"/>
      <c r="DJQ197" s="360"/>
      <c r="DJR197" s="360"/>
      <c r="DJS197" s="360"/>
      <c r="DJT197" s="360"/>
      <c r="DJU197" s="360"/>
      <c r="DJV197" s="360"/>
      <c r="DJW197" s="360"/>
      <c r="DJX197" s="360"/>
      <c r="DJY197" s="360"/>
      <c r="DJZ197" s="360"/>
      <c r="DKA197" s="360"/>
      <c r="DKB197" s="360"/>
      <c r="DKC197" s="360"/>
      <c r="DKD197" s="360"/>
      <c r="DKE197" s="360"/>
      <c r="DKF197" s="360"/>
      <c r="DKG197" s="360"/>
      <c r="DKH197" s="360"/>
      <c r="DKI197" s="360"/>
      <c r="DKJ197" s="360"/>
      <c r="DKK197" s="360"/>
      <c r="DKL197" s="360"/>
      <c r="DKM197" s="360"/>
      <c r="DKN197" s="360"/>
      <c r="DKO197" s="360"/>
      <c r="DKP197" s="360"/>
      <c r="DKQ197" s="360"/>
      <c r="DKR197" s="360"/>
      <c r="DKS197" s="360"/>
      <c r="DKT197" s="360"/>
      <c r="DKU197" s="360"/>
      <c r="DKV197" s="360"/>
      <c r="DKW197" s="360"/>
      <c r="DKX197" s="360"/>
      <c r="DKY197" s="360"/>
      <c r="DKZ197" s="360"/>
      <c r="DLA197" s="360"/>
      <c r="DLB197" s="360"/>
      <c r="DLC197" s="360"/>
      <c r="DLD197" s="360"/>
      <c r="DLE197" s="360"/>
      <c r="DLF197" s="360"/>
      <c r="DLG197" s="360"/>
      <c r="DLH197" s="360"/>
      <c r="DLI197" s="360"/>
      <c r="DLJ197" s="360"/>
      <c r="DLK197" s="360"/>
      <c r="DLL197" s="360"/>
      <c r="DLM197" s="360"/>
      <c r="DLN197" s="360"/>
      <c r="DLO197" s="360"/>
      <c r="DLP197" s="360"/>
      <c r="DLQ197" s="360"/>
      <c r="DLR197" s="360"/>
      <c r="DLS197" s="360"/>
      <c r="DLT197" s="360"/>
      <c r="DLU197" s="360"/>
      <c r="DLV197" s="360"/>
      <c r="DLW197" s="360"/>
      <c r="DLX197" s="360"/>
      <c r="DLY197" s="360"/>
      <c r="DLZ197" s="360"/>
      <c r="DMA197" s="360"/>
      <c r="DMB197" s="360"/>
      <c r="DMC197" s="360"/>
      <c r="DMD197" s="360"/>
      <c r="DME197" s="360"/>
      <c r="DMF197" s="360"/>
      <c r="DMG197" s="360"/>
      <c r="DMH197" s="360"/>
      <c r="DMI197" s="360"/>
      <c r="DMJ197" s="360"/>
      <c r="DMK197" s="360"/>
      <c r="DML197" s="360"/>
      <c r="DMM197" s="360"/>
      <c r="DMN197" s="360"/>
      <c r="DMO197" s="360"/>
      <c r="DMP197" s="360"/>
      <c r="DMQ197" s="360"/>
      <c r="DMR197" s="360"/>
      <c r="DMS197" s="360"/>
      <c r="DMT197" s="360"/>
      <c r="DMU197" s="360"/>
      <c r="DMV197" s="360"/>
      <c r="DMW197" s="360"/>
      <c r="DMX197" s="360"/>
      <c r="DMY197" s="360"/>
      <c r="DMZ197" s="360"/>
      <c r="DNA197" s="360"/>
      <c r="DNB197" s="360"/>
      <c r="DNC197" s="360"/>
      <c r="DND197" s="360"/>
      <c r="DNE197" s="360"/>
      <c r="DNF197" s="360"/>
      <c r="DNG197" s="360"/>
      <c r="DNH197" s="360"/>
      <c r="DNI197" s="360"/>
      <c r="DNJ197" s="360"/>
      <c r="DNK197" s="360"/>
      <c r="DNL197" s="360"/>
      <c r="DNM197" s="360"/>
      <c r="DNN197" s="360"/>
      <c r="DNO197" s="360"/>
      <c r="DNP197" s="360"/>
      <c r="DNQ197" s="360"/>
      <c r="DNR197" s="360"/>
      <c r="DNS197" s="360"/>
      <c r="DNT197" s="360"/>
      <c r="DNU197" s="360"/>
      <c r="DNV197" s="360"/>
      <c r="DNW197" s="360"/>
      <c r="DNX197" s="360"/>
      <c r="DNY197" s="360"/>
      <c r="DNZ197" s="360"/>
      <c r="DOA197" s="360"/>
      <c r="DOB197" s="360"/>
      <c r="DOC197" s="360"/>
      <c r="DOD197" s="360"/>
      <c r="DOE197" s="360"/>
      <c r="DOF197" s="360"/>
      <c r="DOG197" s="360"/>
      <c r="DOH197" s="360"/>
      <c r="DOI197" s="360"/>
      <c r="DOJ197" s="360"/>
      <c r="DOK197" s="360"/>
      <c r="DOL197" s="360"/>
      <c r="DOM197" s="360"/>
      <c r="DON197" s="360"/>
      <c r="DOO197" s="360"/>
      <c r="DOP197" s="360"/>
      <c r="DOQ197" s="360"/>
      <c r="DOR197" s="360"/>
      <c r="DOS197" s="360"/>
      <c r="DOT197" s="360"/>
      <c r="DOU197" s="360"/>
      <c r="DOV197" s="360"/>
      <c r="DOW197" s="360"/>
      <c r="DOX197" s="360"/>
      <c r="DOY197" s="360"/>
      <c r="DOZ197" s="360"/>
      <c r="DPA197" s="360"/>
      <c r="DPB197" s="360"/>
      <c r="DPC197" s="360"/>
      <c r="DPD197" s="360"/>
      <c r="DPE197" s="360"/>
      <c r="DPF197" s="360"/>
      <c r="DPG197" s="360"/>
      <c r="DPH197" s="360"/>
      <c r="DPI197" s="360"/>
      <c r="DPJ197" s="360"/>
      <c r="DPK197" s="360"/>
      <c r="DPL197" s="360"/>
      <c r="DPM197" s="360"/>
      <c r="DPN197" s="360"/>
      <c r="DPO197" s="360"/>
      <c r="DPP197" s="360"/>
      <c r="DPQ197" s="360"/>
      <c r="DPR197" s="360"/>
      <c r="DPS197" s="360"/>
      <c r="DPT197" s="360"/>
      <c r="DPU197" s="360"/>
      <c r="DPV197" s="360"/>
      <c r="DPW197" s="360"/>
      <c r="DPX197" s="360"/>
      <c r="DPY197" s="360"/>
      <c r="DPZ197" s="360"/>
      <c r="DQA197" s="360"/>
      <c r="DQB197" s="360"/>
      <c r="DQC197" s="360"/>
      <c r="DQD197" s="360"/>
      <c r="DQE197" s="360"/>
      <c r="DQF197" s="360"/>
      <c r="DQG197" s="360"/>
      <c r="DQH197" s="360"/>
      <c r="DQI197" s="360"/>
      <c r="DQJ197" s="360"/>
      <c r="DQK197" s="360"/>
      <c r="DQL197" s="360"/>
      <c r="DQM197" s="360"/>
      <c r="DQN197" s="360"/>
      <c r="DQO197" s="360"/>
      <c r="DQP197" s="360"/>
      <c r="DQQ197" s="360"/>
      <c r="DQR197" s="360"/>
      <c r="DQS197" s="360"/>
      <c r="DQT197" s="360"/>
      <c r="DQU197" s="360"/>
      <c r="DQV197" s="360"/>
      <c r="DQW197" s="360"/>
      <c r="DQX197" s="360"/>
      <c r="DQY197" s="360"/>
      <c r="DQZ197" s="360"/>
      <c r="DRA197" s="360"/>
      <c r="DRB197" s="360"/>
      <c r="DRC197" s="360"/>
      <c r="DRD197" s="360"/>
      <c r="DRE197" s="360"/>
      <c r="DRF197" s="360"/>
      <c r="DRG197" s="360"/>
      <c r="DRH197" s="360"/>
      <c r="DRI197" s="360"/>
      <c r="DRJ197" s="360"/>
      <c r="DRK197" s="360"/>
      <c r="DRL197" s="360"/>
      <c r="DRM197" s="360"/>
      <c r="DRN197" s="360"/>
      <c r="DRO197" s="360"/>
      <c r="DRP197" s="360"/>
      <c r="DRQ197" s="360"/>
      <c r="DRR197" s="360"/>
      <c r="DRS197" s="360"/>
      <c r="DRT197" s="360"/>
      <c r="DRU197" s="360"/>
      <c r="DRV197" s="360"/>
      <c r="DRW197" s="360"/>
      <c r="DRX197" s="360"/>
      <c r="DRY197" s="360"/>
      <c r="DRZ197" s="360"/>
      <c r="DSA197" s="360"/>
      <c r="DSB197" s="360"/>
      <c r="DSC197" s="360"/>
      <c r="DSD197" s="360"/>
      <c r="DSE197" s="360"/>
      <c r="DSF197" s="360"/>
      <c r="DSG197" s="360"/>
      <c r="DSH197" s="360"/>
      <c r="DSI197" s="360"/>
      <c r="DSJ197" s="360"/>
      <c r="DSK197" s="360"/>
      <c r="DSL197" s="360"/>
      <c r="DSM197" s="360"/>
      <c r="DSN197" s="360"/>
      <c r="DSO197" s="360"/>
      <c r="DSP197" s="360"/>
      <c r="DSQ197" s="360"/>
      <c r="DSR197" s="360"/>
      <c r="DSS197" s="360"/>
      <c r="DST197" s="360"/>
      <c r="DSU197" s="360"/>
      <c r="DSV197" s="360"/>
      <c r="DSW197" s="360"/>
      <c r="DSX197" s="360"/>
      <c r="DSY197" s="360"/>
      <c r="DSZ197" s="360"/>
      <c r="DTA197" s="360"/>
      <c r="DTB197" s="360"/>
      <c r="DTC197" s="360"/>
      <c r="DTD197" s="360"/>
      <c r="DTE197" s="360"/>
      <c r="DTF197" s="360"/>
      <c r="DTG197" s="360"/>
      <c r="DTH197" s="360"/>
      <c r="DTI197" s="360"/>
      <c r="DTJ197" s="360"/>
      <c r="DTK197" s="360"/>
      <c r="DTL197" s="360"/>
      <c r="DTM197" s="360"/>
      <c r="DTN197" s="360"/>
      <c r="DTO197" s="360"/>
      <c r="DTP197" s="360"/>
      <c r="DTQ197" s="360"/>
      <c r="DTR197" s="360"/>
      <c r="DTS197" s="360"/>
      <c r="DTT197" s="360"/>
      <c r="DTU197" s="360"/>
      <c r="DTV197" s="360"/>
      <c r="DTW197" s="360"/>
      <c r="DTX197" s="360"/>
      <c r="DTY197" s="360"/>
      <c r="DTZ197" s="360"/>
      <c r="DUA197" s="360"/>
      <c r="DUB197" s="360"/>
      <c r="DUC197" s="360"/>
      <c r="DUD197" s="360"/>
      <c r="DUE197" s="360"/>
      <c r="DUF197" s="360"/>
      <c r="DUG197" s="360"/>
      <c r="DUH197" s="360"/>
      <c r="DUI197" s="360"/>
      <c r="DUJ197" s="360"/>
      <c r="DUK197" s="360"/>
      <c r="DUL197" s="360"/>
      <c r="DUM197" s="360"/>
      <c r="DUN197" s="360"/>
      <c r="DUO197" s="360"/>
      <c r="DUP197" s="360"/>
      <c r="DUQ197" s="360"/>
      <c r="DUR197" s="360"/>
      <c r="DUS197" s="360"/>
      <c r="DUT197" s="360"/>
      <c r="DUU197" s="360"/>
      <c r="DUV197" s="360"/>
      <c r="DUW197" s="360"/>
      <c r="DUX197" s="360"/>
      <c r="DUY197" s="360"/>
      <c r="DUZ197" s="360"/>
      <c r="DVA197" s="360"/>
      <c r="DVB197" s="360"/>
      <c r="DVC197" s="360"/>
      <c r="DVD197" s="360"/>
      <c r="DVE197" s="360"/>
      <c r="DVF197" s="360"/>
      <c r="DVG197" s="360"/>
      <c r="DVH197" s="360"/>
      <c r="DVI197" s="360"/>
      <c r="DVJ197" s="360"/>
      <c r="DVK197" s="360"/>
      <c r="DVL197" s="360"/>
      <c r="DVM197" s="360"/>
      <c r="DVN197" s="360"/>
      <c r="DVO197" s="360"/>
      <c r="DVP197" s="360"/>
      <c r="DVQ197" s="360"/>
      <c r="DVR197" s="360"/>
      <c r="DVS197" s="360"/>
      <c r="DVT197" s="360"/>
      <c r="DVU197" s="360"/>
      <c r="DVV197" s="360"/>
      <c r="DVW197" s="360"/>
      <c r="DVX197" s="360"/>
      <c r="DVY197" s="360"/>
      <c r="DVZ197" s="360"/>
      <c r="DWA197" s="360"/>
      <c r="DWB197" s="360"/>
      <c r="DWC197" s="360"/>
      <c r="DWD197" s="360"/>
      <c r="DWE197" s="360"/>
      <c r="DWF197" s="360"/>
      <c r="DWG197" s="360"/>
      <c r="DWH197" s="360"/>
      <c r="DWI197" s="360"/>
      <c r="DWJ197" s="360"/>
      <c r="DWK197" s="360"/>
      <c r="DWL197" s="360"/>
      <c r="DWM197" s="360"/>
      <c r="DWN197" s="360"/>
      <c r="DWO197" s="360"/>
      <c r="DWP197" s="360"/>
      <c r="DWQ197" s="360"/>
      <c r="DWR197" s="360"/>
      <c r="DWS197" s="360"/>
      <c r="DWT197" s="360"/>
      <c r="DWU197" s="360"/>
      <c r="DWV197" s="360"/>
      <c r="DWW197" s="360"/>
      <c r="DWX197" s="360"/>
      <c r="DWY197" s="360"/>
      <c r="DWZ197" s="360"/>
      <c r="DXA197" s="360"/>
      <c r="DXB197" s="360"/>
      <c r="DXC197" s="360"/>
      <c r="DXD197" s="360"/>
      <c r="DXE197" s="360"/>
      <c r="DXF197" s="360"/>
      <c r="DXG197" s="360"/>
      <c r="DXH197" s="360"/>
      <c r="DXI197" s="360"/>
      <c r="DXJ197" s="360"/>
      <c r="DXK197" s="360"/>
      <c r="DXL197" s="360"/>
      <c r="DXM197" s="360"/>
      <c r="DXN197" s="360"/>
      <c r="DXO197" s="360"/>
      <c r="DXP197" s="360"/>
      <c r="DXQ197" s="360"/>
      <c r="DXR197" s="360"/>
      <c r="DXS197" s="360"/>
      <c r="DXT197" s="360"/>
      <c r="DXU197" s="360"/>
      <c r="DXV197" s="360"/>
      <c r="DXW197" s="360"/>
      <c r="DXX197" s="360"/>
      <c r="DXY197" s="360"/>
      <c r="DXZ197" s="360"/>
      <c r="DYA197" s="360"/>
      <c r="DYB197" s="360"/>
      <c r="DYC197" s="360"/>
      <c r="DYD197" s="360"/>
      <c r="DYE197" s="360"/>
      <c r="DYF197" s="360"/>
      <c r="DYG197" s="360"/>
      <c r="DYH197" s="360"/>
      <c r="DYI197" s="360"/>
      <c r="DYJ197" s="360"/>
      <c r="DYK197" s="360"/>
      <c r="DYL197" s="360"/>
      <c r="DYM197" s="360"/>
      <c r="DYN197" s="360"/>
      <c r="DYO197" s="360"/>
      <c r="DYP197" s="360"/>
      <c r="DYQ197" s="360"/>
      <c r="DYR197" s="360"/>
      <c r="DYS197" s="360"/>
      <c r="DYT197" s="360"/>
      <c r="DYU197" s="360"/>
      <c r="DYV197" s="360"/>
      <c r="DYW197" s="360"/>
      <c r="DYX197" s="360"/>
      <c r="DYY197" s="360"/>
      <c r="DYZ197" s="360"/>
      <c r="DZA197" s="360"/>
      <c r="DZB197" s="360"/>
      <c r="DZC197" s="360"/>
      <c r="DZD197" s="360"/>
      <c r="DZE197" s="360"/>
      <c r="DZF197" s="360"/>
      <c r="DZG197" s="360"/>
      <c r="DZH197" s="360"/>
      <c r="DZI197" s="360"/>
      <c r="DZJ197" s="360"/>
      <c r="DZK197" s="360"/>
      <c r="DZL197" s="360"/>
      <c r="DZM197" s="360"/>
      <c r="DZN197" s="360"/>
      <c r="DZO197" s="360"/>
      <c r="DZP197" s="360"/>
      <c r="DZQ197" s="360"/>
      <c r="DZR197" s="360"/>
      <c r="DZS197" s="360"/>
      <c r="DZT197" s="360"/>
      <c r="DZU197" s="360"/>
      <c r="DZV197" s="360"/>
      <c r="DZW197" s="360"/>
      <c r="DZX197" s="360"/>
      <c r="DZY197" s="360"/>
      <c r="DZZ197" s="360"/>
      <c r="EAA197" s="360"/>
      <c r="EAB197" s="360"/>
      <c r="EAC197" s="360"/>
      <c r="EAD197" s="360"/>
      <c r="EAE197" s="360"/>
      <c r="EAF197" s="360"/>
      <c r="EAG197" s="360"/>
      <c r="EAH197" s="360"/>
      <c r="EAI197" s="360"/>
      <c r="EAJ197" s="360"/>
      <c r="EAK197" s="360"/>
      <c r="EAL197" s="360"/>
      <c r="EAM197" s="360"/>
      <c r="EAN197" s="360"/>
      <c r="EAO197" s="360"/>
      <c r="EAP197" s="360"/>
      <c r="EAQ197" s="360"/>
      <c r="EAR197" s="360"/>
      <c r="EAS197" s="360"/>
      <c r="EAT197" s="360"/>
      <c r="EAU197" s="360"/>
      <c r="EAV197" s="360"/>
      <c r="EAW197" s="360"/>
      <c r="EAX197" s="360"/>
      <c r="EAY197" s="360"/>
      <c r="EAZ197" s="360"/>
      <c r="EBA197" s="360"/>
      <c r="EBB197" s="360"/>
      <c r="EBC197" s="360"/>
      <c r="EBD197" s="360"/>
      <c r="EBE197" s="360"/>
      <c r="EBF197" s="360"/>
      <c r="EBG197" s="360"/>
      <c r="EBH197" s="360"/>
      <c r="EBI197" s="360"/>
      <c r="EBJ197" s="360"/>
      <c r="EBK197" s="360"/>
      <c r="EBL197" s="360"/>
      <c r="EBM197" s="360"/>
      <c r="EBN197" s="360"/>
      <c r="EBO197" s="360"/>
      <c r="EBP197" s="360"/>
      <c r="EBQ197" s="360"/>
      <c r="EBR197" s="360"/>
      <c r="EBS197" s="360"/>
      <c r="EBT197" s="360"/>
      <c r="EBU197" s="360"/>
      <c r="EBV197" s="360"/>
      <c r="EBW197" s="360"/>
      <c r="EBX197" s="360"/>
      <c r="EBY197" s="360"/>
      <c r="EBZ197" s="360"/>
      <c r="ECA197" s="360"/>
      <c r="ECB197" s="360"/>
      <c r="ECC197" s="360"/>
      <c r="ECD197" s="360"/>
      <c r="ECE197" s="360"/>
      <c r="ECF197" s="360"/>
      <c r="ECG197" s="360"/>
      <c r="ECH197" s="360"/>
      <c r="ECI197" s="360"/>
      <c r="ECJ197" s="360"/>
      <c r="ECK197" s="360"/>
      <c r="ECL197" s="360"/>
      <c r="ECM197" s="360"/>
      <c r="ECN197" s="360"/>
      <c r="ECO197" s="360"/>
      <c r="ECP197" s="360"/>
      <c r="ECQ197" s="360"/>
      <c r="ECR197" s="360"/>
      <c r="ECS197" s="360"/>
      <c r="ECT197" s="360"/>
      <c r="ECU197" s="360"/>
      <c r="ECV197" s="360"/>
      <c r="ECW197" s="360"/>
      <c r="ECX197" s="360"/>
      <c r="ECY197" s="360"/>
      <c r="ECZ197" s="360"/>
      <c r="EDA197" s="360"/>
      <c r="EDB197" s="360"/>
      <c r="EDC197" s="360"/>
      <c r="EDD197" s="360"/>
      <c r="EDE197" s="360"/>
      <c r="EDF197" s="360"/>
      <c r="EDG197" s="360"/>
      <c r="EDH197" s="360"/>
      <c r="EDI197" s="360"/>
      <c r="EDJ197" s="360"/>
      <c r="EDK197" s="360"/>
      <c r="EDL197" s="360"/>
      <c r="EDM197" s="360"/>
      <c r="EDN197" s="360"/>
      <c r="EDO197" s="360"/>
      <c r="EDP197" s="360"/>
      <c r="EDQ197" s="360"/>
      <c r="EDR197" s="360"/>
      <c r="EDS197" s="360"/>
      <c r="EDT197" s="360"/>
      <c r="EDU197" s="360"/>
      <c r="EDV197" s="360"/>
      <c r="EDW197" s="360"/>
      <c r="EDX197" s="360"/>
      <c r="EDY197" s="360"/>
      <c r="EDZ197" s="360"/>
      <c r="EEA197" s="360"/>
      <c r="EEB197" s="360"/>
      <c r="EEC197" s="360"/>
      <c r="EED197" s="360"/>
      <c r="EEE197" s="360"/>
      <c r="EEF197" s="360"/>
      <c r="EEG197" s="360"/>
      <c r="EEH197" s="360"/>
      <c r="EEI197" s="360"/>
      <c r="EEJ197" s="360"/>
      <c r="EEK197" s="360"/>
      <c r="EEL197" s="360"/>
      <c r="EEM197" s="360"/>
      <c r="EEN197" s="360"/>
      <c r="EEO197" s="360"/>
      <c r="EEP197" s="360"/>
      <c r="EEQ197" s="360"/>
      <c r="EER197" s="360"/>
      <c r="EES197" s="360"/>
      <c r="EET197" s="360"/>
      <c r="EEU197" s="360"/>
      <c r="EEV197" s="360"/>
      <c r="EEW197" s="360"/>
      <c r="EEX197" s="360"/>
      <c r="EEY197" s="360"/>
      <c r="EEZ197" s="360"/>
      <c r="EFA197" s="360"/>
      <c r="EFB197" s="360"/>
      <c r="EFC197" s="360"/>
      <c r="EFD197" s="360"/>
      <c r="EFE197" s="360"/>
      <c r="EFF197" s="360"/>
      <c r="EFG197" s="360"/>
      <c r="EFH197" s="360"/>
      <c r="EFI197" s="360"/>
      <c r="EFJ197" s="360"/>
      <c r="EFK197" s="360"/>
      <c r="EFL197" s="360"/>
      <c r="EFM197" s="360"/>
      <c r="EFN197" s="360"/>
      <c r="EFO197" s="360"/>
      <c r="EFP197" s="360"/>
      <c r="EFQ197" s="360"/>
      <c r="EFR197" s="360"/>
      <c r="EFS197" s="360"/>
      <c r="EFT197" s="360"/>
      <c r="EFU197" s="360"/>
      <c r="EFV197" s="360"/>
      <c r="EFW197" s="360"/>
      <c r="EFX197" s="360"/>
      <c r="EFY197" s="360"/>
      <c r="EFZ197" s="360"/>
      <c r="EGA197" s="360"/>
      <c r="EGB197" s="360"/>
      <c r="EGC197" s="360"/>
      <c r="EGD197" s="360"/>
      <c r="EGE197" s="360"/>
      <c r="EGF197" s="360"/>
      <c r="EGG197" s="360"/>
      <c r="EGH197" s="360"/>
      <c r="EGI197" s="360"/>
      <c r="EGJ197" s="360"/>
      <c r="EGK197" s="360"/>
      <c r="EGL197" s="360"/>
      <c r="EGM197" s="360"/>
      <c r="EGN197" s="360"/>
      <c r="EGO197" s="360"/>
      <c r="EGP197" s="360"/>
      <c r="EGQ197" s="360"/>
      <c r="EGR197" s="360"/>
      <c r="EGS197" s="360"/>
      <c r="EGT197" s="360"/>
      <c r="EGU197" s="360"/>
      <c r="EGV197" s="360"/>
      <c r="EGW197" s="360"/>
      <c r="EGX197" s="360"/>
      <c r="EGY197" s="360"/>
      <c r="EGZ197" s="360"/>
      <c r="EHA197" s="360"/>
      <c r="EHB197" s="360"/>
      <c r="EHC197" s="360"/>
      <c r="EHD197" s="360"/>
      <c r="EHE197" s="360"/>
      <c r="EHF197" s="360"/>
      <c r="EHG197" s="360"/>
      <c r="EHH197" s="360"/>
      <c r="EHI197" s="360"/>
      <c r="EHJ197" s="360"/>
      <c r="EHK197" s="360"/>
      <c r="EHL197" s="360"/>
      <c r="EHM197" s="360"/>
      <c r="EHN197" s="360"/>
      <c r="EHO197" s="360"/>
      <c r="EHP197" s="360"/>
      <c r="EHQ197" s="360"/>
      <c r="EHR197" s="360"/>
      <c r="EHS197" s="360"/>
      <c r="EHT197" s="360"/>
      <c r="EHU197" s="360"/>
      <c r="EHV197" s="360"/>
      <c r="EHW197" s="360"/>
      <c r="EHX197" s="360"/>
      <c r="EHY197" s="360"/>
      <c r="EHZ197" s="360"/>
      <c r="EIA197" s="360"/>
      <c r="EIB197" s="360"/>
      <c r="EIC197" s="360"/>
      <c r="EID197" s="360"/>
      <c r="EIE197" s="360"/>
      <c r="EIF197" s="360"/>
      <c r="EIG197" s="360"/>
      <c r="EIH197" s="360"/>
      <c r="EII197" s="360"/>
      <c r="EIJ197" s="360"/>
      <c r="EIK197" s="360"/>
      <c r="EIL197" s="360"/>
      <c r="EIM197" s="360"/>
      <c r="EIN197" s="360"/>
      <c r="EIO197" s="360"/>
      <c r="EIP197" s="360"/>
      <c r="EIQ197" s="360"/>
      <c r="EIR197" s="360"/>
      <c r="EIS197" s="360"/>
      <c r="EIT197" s="360"/>
      <c r="EIU197" s="360"/>
      <c r="EIV197" s="360"/>
      <c r="EIW197" s="360"/>
      <c r="EIX197" s="360"/>
      <c r="EIY197" s="360"/>
      <c r="EIZ197" s="360"/>
      <c r="EJA197" s="360"/>
      <c r="EJB197" s="360"/>
      <c r="EJC197" s="360"/>
      <c r="EJD197" s="360"/>
      <c r="EJE197" s="360"/>
      <c r="EJF197" s="360"/>
      <c r="EJG197" s="360"/>
      <c r="EJH197" s="360"/>
      <c r="EJI197" s="360"/>
      <c r="EJJ197" s="360"/>
      <c r="EJK197" s="360"/>
      <c r="EJL197" s="360"/>
      <c r="EJM197" s="360"/>
      <c r="EJN197" s="360"/>
      <c r="EJO197" s="360"/>
      <c r="EJP197" s="360"/>
      <c r="EJQ197" s="360"/>
      <c r="EJR197" s="360"/>
      <c r="EJS197" s="360"/>
      <c r="EJT197" s="360"/>
      <c r="EJU197" s="360"/>
      <c r="EJV197" s="360"/>
      <c r="EJW197" s="360"/>
      <c r="EJX197" s="360"/>
      <c r="EJY197" s="360"/>
      <c r="EJZ197" s="360"/>
      <c r="EKA197" s="360"/>
      <c r="EKB197" s="360"/>
      <c r="EKC197" s="360"/>
      <c r="EKD197" s="360"/>
      <c r="EKE197" s="360"/>
      <c r="EKF197" s="360"/>
      <c r="EKG197" s="360"/>
      <c r="EKH197" s="360"/>
      <c r="EKI197" s="360"/>
      <c r="EKJ197" s="360"/>
      <c r="EKK197" s="360"/>
      <c r="EKL197" s="360"/>
      <c r="EKM197" s="360"/>
      <c r="EKN197" s="360"/>
      <c r="EKO197" s="360"/>
      <c r="EKP197" s="360"/>
      <c r="EKQ197" s="360"/>
      <c r="EKR197" s="360"/>
      <c r="EKS197" s="360"/>
      <c r="EKT197" s="360"/>
      <c r="EKU197" s="360"/>
      <c r="EKV197" s="360"/>
      <c r="EKW197" s="360"/>
      <c r="EKX197" s="360"/>
      <c r="EKY197" s="360"/>
      <c r="EKZ197" s="360"/>
      <c r="ELA197" s="360"/>
      <c r="ELB197" s="360"/>
      <c r="ELC197" s="360"/>
      <c r="ELD197" s="360"/>
      <c r="ELE197" s="360"/>
      <c r="ELF197" s="360"/>
      <c r="ELG197" s="360"/>
      <c r="ELH197" s="360"/>
      <c r="ELI197" s="360"/>
      <c r="ELJ197" s="360"/>
      <c r="ELK197" s="360"/>
      <c r="ELL197" s="360"/>
      <c r="ELM197" s="360"/>
      <c r="ELN197" s="360"/>
      <c r="ELO197" s="360"/>
      <c r="ELP197" s="360"/>
      <c r="ELQ197" s="360"/>
      <c r="ELR197" s="360"/>
      <c r="ELS197" s="360"/>
      <c r="ELT197" s="360"/>
      <c r="ELU197" s="360"/>
      <c r="ELV197" s="360"/>
      <c r="ELW197" s="360"/>
      <c r="ELX197" s="360"/>
      <c r="ELY197" s="360"/>
      <c r="ELZ197" s="360"/>
      <c r="EMA197" s="360"/>
      <c r="EMB197" s="360"/>
      <c r="EMC197" s="360"/>
      <c r="EMD197" s="360"/>
      <c r="EME197" s="360"/>
      <c r="EMF197" s="360"/>
      <c r="EMG197" s="360"/>
      <c r="EMH197" s="360"/>
      <c r="EMI197" s="360"/>
      <c r="EMJ197" s="360"/>
      <c r="EMK197" s="360"/>
      <c r="EML197" s="360"/>
      <c r="EMM197" s="360"/>
      <c r="EMN197" s="360"/>
      <c r="EMO197" s="360"/>
      <c r="EMP197" s="360"/>
      <c r="EMQ197" s="360"/>
      <c r="EMR197" s="360"/>
      <c r="EMS197" s="360"/>
      <c r="EMT197" s="360"/>
      <c r="EMU197" s="360"/>
      <c r="EMV197" s="360"/>
      <c r="EMW197" s="360"/>
      <c r="EMX197" s="360"/>
      <c r="EMY197" s="360"/>
      <c r="EMZ197" s="360"/>
      <c r="ENA197" s="360"/>
      <c r="ENB197" s="360"/>
      <c r="ENC197" s="360"/>
      <c r="END197" s="360"/>
      <c r="ENE197" s="360"/>
      <c r="ENF197" s="360"/>
      <c r="ENG197" s="360"/>
      <c r="ENH197" s="360"/>
      <c r="ENI197" s="360"/>
      <c r="ENJ197" s="360"/>
      <c r="ENK197" s="360"/>
      <c r="ENL197" s="360"/>
      <c r="ENM197" s="360"/>
      <c r="ENN197" s="360"/>
      <c r="ENO197" s="360"/>
      <c r="ENP197" s="360"/>
      <c r="ENQ197" s="360"/>
      <c r="ENR197" s="360"/>
      <c r="ENS197" s="360"/>
      <c r="ENT197" s="360"/>
      <c r="ENU197" s="360"/>
      <c r="ENV197" s="360"/>
      <c r="ENW197" s="360"/>
      <c r="ENX197" s="360"/>
      <c r="ENY197" s="360"/>
      <c r="ENZ197" s="360"/>
      <c r="EOA197" s="360"/>
      <c r="EOB197" s="360"/>
      <c r="EOC197" s="360"/>
      <c r="EOD197" s="360"/>
      <c r="EOE197" s="360"/>
      <c r="EOF197" s="360"/>
      <c r="EOG197" s="360"/>
      <c r="EOH197" s="360"/>
      <c r="EOI197" s="360"/>
      <c r="EOJ197" s="360"/>
      <c r="EOK197" s="360"/>
      <c r="EOL197" s="360"/>
      <c r="EOM197" s="360"/>
      <c r="EON197" s="360"/>
      <c r="EOO197" s="360"/>
      <c r="EOP197" s="360"/>
      <c r="EOQ197" s="360"/>
      <c r="EOR197" s="360"/>
      <c r="EOS197" s="360"/>
      <c r="EOT197" s="360"/>
      <c r="EOU197" s="360"/>
      <c r="EOV197" s="360"/>
      <c r="EOW197" s="360"/>
      <c r="EOX197" s="360"/>
      <c r="EOY197" s="360"/>
      <c r="EOZ197" s="360"/>
      <c r="EPA197" s="360"/>
      <c r="EPB197" s="360"/>
      <c r="EPC197" s="360"/>
      <c r="EPD197" s="360"/>
      <c r="EPE197" s="360"/>
      <c r="EPF197" s="360"/>
      <c r="EPG197" s="360"/>
      <c r="EPH197" s="360"/>
      <c r="EPI197" s="360"/>
      <c r="EPJ197" s="360"/>
      <c r="EPK197" s="360"/>
      <c r="EPL197" s="360"/>
      <c r="EPM197" s="360"/>
      <c r="EPN197" s="360"/>
      <c r="EPO197" s="360"/>
      <c r="EPP197" s="360"/>
      <c r="EPQ197" s="360"/>
      <c r="EPR197" s="360"/>
      <c r="EPS197" s="360"/>
      <c r="EPT197" s="360"/>
      <c r="EPU197" s="360"/>
      <c r="EPV197" s="360"/>
      <c r="EPW197" s="360"/>
      <c r="EPX197" s="360"/>
      <c r="EPY197" s="360"/>
      <c r="EPZ197" s="360"/>
      <c r="EQA197" s="360"/>
      <c r="EQB197" s="360"/>
      <c r="EQC197" s="360"/>
      <c r="EQD197" s="360"/>
      <c r="EQE197" s="360"/>
      <c r="EQF197" s="360"/>
      <c r="EQG197" s="360"/>
      <c r="EQH197" s="360"/>
      <c r="EQI197" s="360"/>
      <c r="EQJ197" s="360"/>
      <c r="EQK197" s="360"/>
      <c r="EQL197" s="360"/>
      <c r="EQM197" s="360"/>
      <c r="EQN197" s="360"/>
      <c r="EQO197" s="360"/>
      <c r="EQP197" s="360"/>
      <c r="EQQ197" s="360"/>
      <c r="EQR197" s="360"/>
      <c r="EQS197" s="360"/>
      <c r="EQT197" s="360"/>
      <c r="EQU197" s="360"/>
      <c r="EQV197" s="360"/>
      <c r="EQW197" s="360"/>
      <c r="EQX197" s="360"/>
      <c r="EQY197" s="360"/>
      <c r="EQZ197" s="360"/>
      <c r="ERA197" s="360"/>
      <c r="ERB197" s="360"/>
      <c r="ERC197" s="360"/>
      <c r="ERD197" s="360"/>
      <c r="ERE197" s="360"/>
      <c r="ERF197" s="360"/>
      <c r="ERG197" s="360"/>
      <c r="ERH197" s="360"/>
      <c r="ERI197" s="360"/>
      <c r="ERJ197" s="360"/>
      <c r="ERK197" s="360"/>
      <c r="ERL197" s="360"/>
      <c r="ERM197" s="360"/>
      <c r="ERN197" s="360"/>
      <c r="ERO197" s="360"/>
      <c r="ERP197" s="360"/>
      <c r="ERQ197" s="360"/>
      <c r="ERR197" s="360"/>
      <c r="ERS197" s="360"/>
      <c r="ERT197" s="360"/>
      <c r="ERU197" s="360"/>
      <c r="ERV197" s="360"/>
      <c r="ERW197" s="360"/>
      <c r="ERX197" s="360"/>
      <c r="ERY197" s="360"/>
      <c r="ERZ197" s="360"/>
      <c r="ESA197" s="360"/>
      <c r="ESB197" s="360"/>
      <c r="ESC197" s="360"/>
      <c r="ESD197" s="360"/>
      <c r="ESE197" s="360"/>
      <c r="ESF197" s="360"/>
      <c r="ESG197" s="360"/>
      <c r="ESH197" s="360"/>
      <c r="ESI197" s="360"/>
      <c r="ESJ197" s="360"/>
      <c r="ESK197" s="360"/>
      <c r="ESL197" s="360"/>
      <c r="ESM197" s="360"/>
      <c r="ESN197" s="360"/>
      <c r="ESO197" s="360"/>
      <c r="ESP197" s="360"/>
      <c r="ESQ197" s="360"/>
      <c r="ESR197" s="360"/>
      <c r="ESS197" s="360"/>
      <c r="EST197" s="360"/>
      <c r="ESU197" s="360"/>
      <c r="ESV197" s="360"/>
      <c r="ESW197" s="360"/>
      <c r="ESX197" s="360"/>
      <c r="ESY197" s="360"/>
      <c r="ESZ197" s="360"/>
      <c r="ETA197" s="360"/>
      <c r="ETB197" s="360"/>
      <c r="ETC197" s="360"/>
      <c r="ETD197" s="360"/>
      <c r="ETE197" s="360"/>
      <c r="ETF197" s="360"/>
      <c r="ETG197" s="360"/>
      <c r="ETH197" s="360"/>
      <c r="ETI197" s="360"/>
      <c r="ETJ197" s="360"/>
      <c r="ETK197" s="360"/>
      <c r="ETL197" s="360"/>
      <c r="ETM197" s="360"/>
      <c r="ETN197" s="360"/>
      <c r="ETO197" s="360"/>
      <c r="ETP197" s="360"/>
      <c r="ETQ197" s="360"/>
      <c r="ETR197" s="360"/>
      <c r="ETS197" s="360"/>
      <c r="ETT197" s="360"/>
      <c r="ETU197" s="360"/>
      <c r="ETV197" s="360"/>
      <c r="ETW197" s="360"/>
      <c r="ETX197" s="360"/>
      <c r="ETY197" s="360"/>
      <c r="ETZ197" s="360"/>
      <c r="EUA197" s="360"/>
      <c r="EUB197" s="360"/>
      <c r="EUC197" s="360"/>
      <c r="EUD197" s="360"/>
      <c r="EUE197" s="360"/>
      <c r="EUF197" s="360"/>
      <c r="EUG197" s="360"/>
      <c r="EUH197" s="360"/>
      <c r="EUI197" s="360"/>
      <c r="EUJ197" s="360"/>
      <c r="EUK197" s="360"/>
      <c r="EUL197" s="360"/>
      <c r="EUM197" s="360"/>
      <c r="EUN197" s="360"/>
      <c r="EUO197" s="360"/>
      <c r="EUP197" s="360"/>
      <c r="EUQ197" s="360"/>
      <c r="EUR197" s="360"/>
      <c r="EUS197" s="360"/>
      <c r="EUT197" s="360"/>
      <c r="EUU197" s="360"/>
      <c r="EUV197" s="360"/>
      <c r="EUW197" s="360"/>
      <c r="EUX197" s="360"/>
      <c r="EUY197" s="360"/>
      <c r="EUZ197" s="360"/>
      <c r="EVA197" s="360"/>
      <c r="EVB197" s="360"/>
      <c r="EVC197" s="360"/>
      <c r="EVD197" s="360"/>
      <c r="EVE197" s="360"/>
      <c r="EVF197" s="360"/>
      <c r="EVG197" s="360"/>
      <c r="EVH197" s="360"/>
      <c r="EVI197" s="360"/>
      <c r="EVJ197" s="360"/>
      <c r="EVK197" s="360"/>
      <c r="EVL197" s="360"/>
      <c r="EVM197" s="360"/>
      <c r="EVN197" s="360"/>
      <c r="EVO197" s="360"/>
      <c r="EVP197" s="360"/>
      <c r="EVQ197" s="360"/>
      <c r="EVR197" s="360"/>
      <c r="EVS197" s="360"/>
      <c r="EVT197" s="360"/>
      <c r="EVU197" s="360"/>
      <c r="EVV197" s="360"/>
      <c r="EVW197" s="360"/>
      <c r="EVX197" s="360"/>
      <c r="EVY197" s="360"/>
      <c r="EVZ197" s="360"/>
      <c r="EWA197" s="360"/>
      <c r="EWB197" s="360"/>
      <c r="EWC197" s="360"/>
      <c r="EWD197" s="360"/>
      <c r="EWE197" s="360"/>
      <c r="EWF197" s="360"/>
      <c r="EWG197" s="360"/>
      <c r="EWH197" s="360"/>
      <c r="EWI197" s="360"/>
      <c r="EWJ197" s="360"/>
      <c r="EWK197" s="360"/>
      <c r="EWL197" s="360"/>
      <c r="EWM197" s="360"/>
      <c r="EWN197" s="360"/>
      <c r="EWO197" s="360"/>
      <c r="EWP197" s="360"/>
      <c r="EWQ197" s="360"/>
      <c r="EWR197" s="360"/>
      <c r="EWS197" s="360"/>
      <c r="EWT197" s="360"/>
      <c r="EWU197" s="360"/>
      <c r="EWV197" s="360"/>
      <c r="EWW197" s="360"/>
      <c r="EWX197" s="360"/>
      <c r="EWY197" s="360"/>
      <c r="EWZ197" s="360"/>
      <c r="EXA197" s="360"/>
      <c r="EXB197" s="360"/>
      <c r="EXC197" s="360"/>
      <c r="EXD197" s="360"/>
      <c r="EXE197" s="360"/>
      <c r="EXF197" s="360"/>
      <c r="EXG197" s="360"/>
      <c r="EXH197" s="360"/>
      <c r="EXI197" s="360"/>
      <c r="EXJ197" s="360"/>
      <c r="EXK197" s="360"/>
      <c r="EXL197" s="360"/>
      <c r="EXM197" s="360"/>
      <c r="EXN197" s="360"/>
      <c r="EXO197" s="360"/>
      <c r="EXP197" s="360"/>
      <c r="EXQ197" s="360"/>
      <c r="EXR197" s="360"/>
      <c r="EXS197" s="360"/>
      <c r="EXT197" s="360"/>
      <c r="EXU197" s="360"/>
      <c r="EXV197" s="360"/>
      <c r="EXW197" s="360"/>
      <c r="EXX197" s="360"/>
      <c r="EXY197" s="360"/>
      <c r="EXZ197" s="360"/>
      <c r="EYA197" s="360"/>
      <c r="EYB197" s="360"/>
      <c r="EYC197" s="360"/>
      <c r="EYD197" s="360"/>
      <c r="EYE197" s="360"/>
      <c r="EYF197" s="360"/>
      <c r="EYG197" s="360"/>
      <c r="EYH197" s="360"/>
      <c r="EYI197" s="360"/>
      <c r="EYJ197" s="360"/>
      <c r="EYK197" s="360"/>
      <c r="EYL197" s="360"/>
      <c r="EYM197" s="360"/>
      <c r="EYN197" s="360"/>
      <c r="EYO197" s="360"/>
      <c r="EYP197" s="360"/>
      <c r="EYQ197" s="360"/>
      <c r="EYR197" s="360"/>
      <c r="EYS197" s="360"/>
      <c r="EYT197" s="360"/>
      <c r="EYU197" s="360"/>
      <c r="EYV197" s="360"/>
      <c r="EYW197" s="360"/>
      <c r="EYX197" s="360"/>
      <c r="EYY197" s="360"/>
      <c r="EYZ197" s="360"/>
      <c r="EZA197" s="360"/>
      <c r="EZB197" s="360"/>
      <c r="EZC197" s="360"/>
      <c r="EZD197" s="360"/>
      <c r="EZE197" s="360"/>
      <c r="EZF197" s="360"/>
      <c r="EZG197" s="360"/>
      <c r="EZH197" s="360"/>
      <c r="EZI197" s="360"/>
      <c r="EZJ197" s="360"/>
      <c r="EZK197" s="360"/>
      <c r="EZL197" s="360"/>
      <c r="EZM197" s="360"/>
      <c r="EZN197" s="360"/>
      <c r="EZO197" s="360"/>
      <c r="EZP197" s="360"/>
      <c r="EZQ197" s="360"/>
      <c r="EZR197" s="360"/>
      <c r="EZS197" s="360"/>
      <c r="EZT197" s="360"/>
      <c r="EZU197" s="360"/>
      <c r="EZV197" s="360"/>
      <c r="EZW197" s="360"/>
      <c r="EZX197" s="360"/>
      <c r="EZY197" s="360"/>
      <c r="EZZ197" s="360"/>
      <c r="FAA197" s="360"/>
      <c r="FAB197" s="360"/>
      <c r="FAC197" s="360"/>
      <c r="FAD197" s="360"/>
      <c r="FAE197" s="360"/>
      <c r="FAF197" s="360"/>
      <c r="FAG197" s="360"/>
      <c r="FAH197" s="360"/>
      <c r="FAI197" s="360"/>
      <c r="FAJ197" s="360"/>
      <c r="FAK197" s="360"/>
      <c r="FAL197" s="360"/>
      <c r="FAM197" s="360"/>
      <c r="FAN197" s="360"/>
      <c r="FAO197" s="360"/>
      <c r="FAP197" s="360"/>
      <c r="FAQ197" s="360"/>
      <c r="FAR197" s="360"/>
      <c r="FAS197" s="360"/>
      <c r="FAT197" s="360"/>
      <c r="FAU197" s="360"/>
      <c r="FAV197" s="360"/>
      <c r="FAW197" s="360"/>
      <c r="FAX197" s="360"/>
      <c r="FAY197" s="360"/>
      <c r="FAZ197" s="360"/>
      <c r="FBA197" s="360"/>
      <c r="FBB197" s="360"/>
      <c r="FBC197" s="360"/>
      <c r="FBD197" s="360"/>
      <c r="FBE197" s="360"/>
      <c r="FBF197" s="360"/>
      <c r="FBG197" s="360"/>
      <c r="FBH197" s="360"/>
      <c r="FBI197" s="360"/>
      <c r="FBJ197" s="360"/>
      <c r="FBK197" s="360"/>
      <c r="FBL197" s="360"/>
      <c r="FBM197" s="360"/>
      <c r="FBN197" s="360"/>
      <c r="FBO197" s="360"/>
      <c r="FBP197" s="360"/>
      <c r="FBQ197" s="360"/>
      <c r="FBR197" s="360"/>
      <c r="FBS197" s="360"/>
      <c r="FBT197" s="360"/>
      <c r="FBU197" s="360"/>
      <c r="FBV197" s="360"/>
      <c r="FBW197" s="360"/>
      <c r="FBX197" s="360"/>
      <c r="FBY197" s="360"/>
      <c r="FBZ197" s="360"/>
      <c r="FCA197" s="360"/>
      <c r="FCB197" s="360"/>
      <c r="FCC197" s="360"/>
      <c r="FCD197" s="360"/>
      <c r="FCE197" s="360"/>
      <c r="FCF197" s="360"/>
      <c r="FCG197" s="360"/>
      <c r="FCH197" s="360"/>
      <c r="FCI197" s="360"/>
      <c r="FCJ197" s="360"/>
      <c r="FCK197" s="360"/>
      <c r="FCL197" s="360"/>
      <c r="FCM197" s="360"/>
      <c r="FCN197" s="360"/>
      <c r="FCO197" s="360"/>
      <c r="FCP197" s="360"/>
      <c r="FCQ197" s="360"/>
      <c r="FCR197" s="360"/>
      <c r="FCS197" s="360"/>
      <c r="FCT197" s="360"/>
      <c r="FCU197" s="360"/>
      <c r="FCV197" s="360"/>
      <c r="FCW197" s="360"/>
      <c r="FCX197" s="360"/>
      <c r="FCY197" s="360"/>
      <c r="FCZ197" s="360"/>
      <c r="FDA197" s="360"/>
      <c r="FDB197" s="360"/>
      <c r="FDC197" s="360"/>
      <c r="FDD197" s="360"/>
      <c r="FDE197" s="360"/>
      <c r="FDF197" s="360"/>
      <c r="FDG197" s="360"/>
      <c r="FDH197" s="360"/>
      <c r="FDI197" s="360"/>
      <c r="FDJ197" s="360"/>
      <c r="FDK197" s="360"/>
      <c r="FDL197" s="360"/>
      <c r="FDM197" s="360"/>
      <c r="FDN197" s="360"/>
      <c r="FDO197" s="360"/>
      <c r="FDP197" s="360"/>
      <c r="FDQ197" s="360"/>
      <c r="FDR197" s="360"/>
      <c r="FDS197" s="360"/>
      <c r="FDT197" s="360"/>
      <c r="FDU197" s="360"/>
      <c r="FDV197" s="360"/>
      <c r="FDW197" s="360"/>
      <c r="FDX197" s="360"/>
      <c r="FDY197" s="360"/>
      <c r="FDZ197" s="360"/>
      <c r="FEA197" s="360"/>
      <c r="FEB197" s="360"/>
      <c r="FEC197" s="360"/>
      <c r="FED197" s="360"/>
      <c r="FEE197" s="360"/>
      <c r="FEF197" s="360"/>
      <c r="FEG197" s="360"/>
      <c r="FEH197" s="360"/>
      <c r="FEI197" s="360"/>
      <c r="FEJ197" s="360"/>
      <c r="FEK197" s="360"/>
      <c r="FEL197" s="360"/>
      <c r="FEM197" s="360"/>
      <c r="FEN197" s="360"/>
      <c r="FEO197" s="360"/>
      <c r="FEP197" s="360"/>
      <c r="FEQ197" s="360"/>
      <c r="FER197" s="360"/>
      <c r="FES197" s="360"/>
      <c r="FET197" s="360"/>
      <c r="FEU197" s="360"/>
      <c r="FEV197" s="360"/>
      <c r="FEW197" s="360"/>
      <c r="FEX197" s="360"/>
      <c r="FEY197" s="360"/>
      <c r="FEZ197" s="360"/>
      <c r="FFA197" s="360"/>
      <c r="FFB197" s="360"/>
      <c r="FFC197" s="360"/>
      <c r="FFD197" s="360"/>
      <c r="FFE197" s="360"/>
      <c r="FFF197" s="360"/>
      <c r="FFG197" s="360"/>
      <c r="FFH197" s="360"/>
      <c r="FFI197" s="360"/>
      <c r="FFJ197" s="360"/>
      <c r="FFK197" s="360"/>
      <c r="FFL197" s="360"/>
      <c r="FFM197" s="360"/>
      <c r="FFN197" s="360"/>
      <c r="FFO197" s="360"/>
      <c r="FFP197" s="360"/>
      <c r="FFQ197" s="360"/>
      <c r="FFR197" s="360"/>
      <c r="FFS197" s="360"/>
      <c r="FFT197" s="360"/>
      <c r="FFU197" s="360"/>
      <c r="FFV197" s="360"/>
      <c r="FFW197" s="360"/>
      <c r="FFX197" s="360"/>
      <c r="FFY197" s="360"/>
      <c r="FFZ197" s="360"/>
      <c r="FGA197" s="360"/>
      <c r="FGB197" s="360"/>
      <c r="FGC197" s="360"/>
      <c r="FGD197" s="360"/>
      <c r="FGE197" s="360"/>
      <c r="FGF197" s="360"/>
      <c r="FGG197" s="360"/>
      <c r="FGH197" s="360"/>
      <c r="FGI197" s="360"/>
      <c r="FGJ197" s="360"/>
      <c r="FGK197" s="360"/>
      <c r="FGL197" s="360"/>
      <c r="FGM197" s="360"/>
      <c r="FGN197" s="360"/>
      <c r="FGO197" s="360"/>
      <c r="FGP197" s="360"/>
      <c r="FGQ197" s="360"/>
      <c r="FGR197" s="360"/>
      <c r="FGS197" s="360"/>
      <c r="FGT197" s="360"/>
      <c r="FGU197" s="360"/>
      <c r="FGV197" s="360"/>
      <c r="FGW197" s="360"/>
      <c r="FGX197" s="360"/>
      <c r="FGY197" s="360"/>
      <c r="FGZ197" s="360"/>
      <c r="FHA197" s="360"/>
      <c r="FHB197" s="360"/>
      <c r="FHC197" s="360"/>
      <c r="FHD197" s="360"/>
      <c r="FHE197" s="360"/>
      <c r="FHF197" s="360"/>
      <c r="FHG197" s="360"/>
      <c r="FHH197" s="360"/>
      <c r="FHI197" s="360"/>
      <c r="FHJ197" s="360"/>
      <c r="FHK197" s="360"/>
      <c r="FHL197" s="360"/>
      <c r="FHM197" s="360"/>
      <c r="FHN197" s="360"/>
      <c r="FHO197" s="360"/>
      <c r="FHP197" s="360"/>
      <c r="FHQ197" s="360"/>
      <c r="FHR197" s="360"/>
      <c r="FHS197" s="360"/>
      <c r="FHT197" s="360"/>
      <c r="FHU197" s="360"/>
      <c r="FHV197" s="360"/>
      <c r="FHW197" s="360"/>
      <c r="FHX197" s="360"/>
      <c r="FHY197" s="360"/>
      <c r="FHZ197" s="360"/>
      <c r="FIA197" s="360"/>
      <c r="FIB197" s="360"/>
      <c r="FIC197" s="360"/>
      <c r="FID197" s="360"/>
      <c r="FIE197" s="360"/>
      <c r="FIF197" s="360"/>
      <c r="FIG197" s="360"/>
      <c r="FIH197" s="360"/>
      <c r="FII197" s="360"/>
      <c r="FIJ197" s="360"/>
      <c r="FIK197" s="360"/>
      <c r="FIL197" s="360"/>
      <c r="FIM197" s="360"/>
      <c r="FIN197" s="360"/>
      <c r="FIO197" s="360"/>
      <c r="FIP197" s="360"/>
      <c r="FIQ197" s="360"/>
      <c r="FIR197" s="360"/>
      <c r="FIS197" s="360"/>
      <c r="FIT197" s="360"/>
      <c r="FIU197" s="360"/>
      <c r="FIV197" s="360"/>
      <c r="FIW197" s="360"/>
      <c r="FIX197" s="360"/>
      <c r="FIY197" s="360"/>
      <c r="FIZ197" s="360"/>
      <c r="FJA197" s="360"/>
      <c r="FJB197" s="360"/>
      <c r="FJC197" s="360"/>
      <c r="FJD197" s="360"/>
      <c r="FJE197" s="360"/>
      <c r="FJF197" s="360"/>
      <c r="FJG197" s="360"/>
      <c r="FJH197" s="360"/>
      <c r="FJI197" s="360"/>
      <c r="FJJ197" s="360"/>
      <c r="FJK197" s="360"/>
      <c r="FJL197" s="360"/>
      <c r="FJM197" s="360"/>
      <c r="FJN197" s="360"/>
      <c r="FJO197" s="360"/>
      <c r="FJP197" s="360"/>
      <c r="FJQ197" s="360"/>
      <c r="FJR197" s="360"/>
      <c r="FJS197" s="360"/>
      <c r="FJT197" s="360"/>
      <c r="FJU197" s="360"/>
      <c r="FJV197" s="360"/>
      <c r="FJW197" s="360"/>
      <c r="FJX197" s="360"/>
      <c r="FJY197" s="360"/>
      <c r="FJZ197" s="360"/>
      <c r="FKA197" s="360"/>
      <c r="FKB197" s="360"/>
      <c r="FKC197" s="360"/>
      <c r="FKD197" s="360"/>
      <c r="FKE197" s="360"/>
      <c r="FKF197" s="360"/>
      <c r="FKG197" s="360"/>
      <c r="FKH197" s="360"/>
      <c r="FKI197" s="360"/>
      <c r="FKJ197" s="360"/>
      <c r="FKK197" s="360"/>
      <c r="FKL197" s="360"/>
      <c r="FKM197" s="360"/>
      <c r="FKN197" s="360"/>
      <c r="FKO197" s="360"/>
      <c r="FKP197" s="360"/>
      <c r="FKQ197" s="360"/>
      <c r="FKR197" s="360"/>
      <c r="FKS197" s="360"/>
      <c r="FKT197" s="360"/>
      <c r="FKU197" s="360"/>
      <c r="FKV197" s="360"/>
      <c r="FKW197" s="360"/>
      <c r="FKX197" s="360"/>
      <c r="FKY197" s="360"/>
      <c r="FKZ197" s="360"/>
      <c r="FLA197" s="360"/>
      <c r="FLB197" s="360"/>
      <c r="FLC197" s="360"/>
      <c r="FLD197" s="360"/>
      <c r="FLE197" s="360"/>
      <c r="FLF197" s="360"/>
      <c r="FLG197" s="360"/>
      <c r="FLH197" s="360"/>
      <c r="FLI197" s="360"/>
      <c r="FLJ197" s="360"/>
      <c r="FLK197" s="360"/>
      <c r="FLL197" s="360"/>
      <c r="FLM197" s="360"/>
      <c r="FLN197" s="360"/>
      <c r="FLO197" s="360"/>
      <c r="FLP197" s="360"/>
      <c r="FLQ197" s="360"/>
      <c r="FLR197" s="360"/>
      <c r="FLS197" s="360"/>
      <c r="FLT197" s="360"/>
      <c r="FLU197" s="360"/>
      <c r="FLV197" s="360"/>
      <c r="FLW197" s="360"/>
      <c r="FLX197" s="360"/>
      <c r="FLY197" s="360"/>
      <c r="FLZ197" s="360"/>
      <c r="FMA197" s="360"/>
      <c r="FMB197" s="360"/>
      <c r="FMC197" s="360"/>
      <c r="FMD197" s="360"/>
      <c r="FME197" s="360"/>
      <c r="FMF197" s="360"/>
      <c r="FMG197" s="360"/>
      <c r="FMH197" s="360"/>
      <c r="FMI197" s="360"/>
      <c r="FMJ197" s="360"/>
      <c r="FMK197" s="360"/>
      <c r="FML197" s="360"/>
      <c r="FMM197" s="360"/>
      <c r="FMN197" s="360"/>
      <c r="FMO197" s="360"/>
      <c r="FMP197" s="360"/>
      <c r="FMQ197" s="360"/>
      <c r="FMR197" s="360"/>
      <c r="FMS197" s="360"/>
      <c r="FMT197" s="360"/>
      <c r="FMU197" s="360"/>
      <c r="FMV197" s="360"/>
      <c r="FMW197" s="360"/>
      <c r="FMX197" s="360"/>
      <c r="FMY197" s="360"/>
      <c r="FMZ197" s="360"/>
      <c r="FNA197" s="360"/>
      <c r="FNB197" s="360"/>
      <c r="FNC197" s="360"/>
      <c r="FND197" s="360"/>
      <c r="FNE197" s="360"/>
      <c r="FNF197" s="360"/>
      <c r="FNG197" s="360"/>
      <c r="FNH197" s="360"/>
      <c r="FNI197" s="360"/>
      <c r="FNJ197" s="360"/>
      <c r="FNK197" s="360"/>
      <c r="FNL197" s="360"/>
      <c r="FNM197" s="360"/>
      <c r="FNN197" s="360"/>
      <c r="FNO197" s="360"/>
      <c r="FNP197" s="360"/>
      <c r="FNQ197" s="360"/>
      <c r="FNR197" s="360"/>
      <c r="FNS197" s="360"/>
      <c r="FNT197" s="360"/>
      <c r="FNU197" s="360"/>
      <c r="FNV197" s="360"/>
      <c r="FNW197" s="360"/>
      <c r="FNX197" s="360"/>
      <c r="FNY197" s="360"/>
      <c r="FNZ197" s="360"/>
      <c r="FOA197" s="360"/>
      <c r="FOB197" s="360"/>
      <c r="FOC197" s="360"/>
      <c r="FOD197" s="360"/>
      <c r="FOE197" s="360"/>
      <c r="FOF197" s="360"/>
      <c r="FOG197" s="360"/>
      <c r="FOH197" s="360"/>
      <c r="FOI197" s="360"/>
      <c r="FOJ197" s="360"/>
      <c r="FOK197" s="360"/>
      <c r="FOL197" s="360"/>
      <c r="FOM197" s="360"/>
      <c r="FON197" s="360"/>
      <c r="FOO197" s="360"/>
      <c r="FOP197" s="360"/>
      <c r="FOQ197" s="360"/>
      <c r="FOR197" s="360"/>
      <c r="FOS197" s="360"/>
      <c r="FOT197" s="360"/>
      <c r="FOU197" s="360"/>
      <c r="FOV197" s="360"/>
      <c r="FOW197" s="360"/>
      <c r="FOX197" s="360"/>
      <c r="FOY197" s="360"/>
      <c r="FOZ197" s="360"/>
      <c r="FPA197" s="360"/>
      <c r="FPB197" s="360"/>
      <c r="FPC197" s="360"/>
      <c r="FPD197" s="360"/>
      <c r="FPE197" s="360"/>
      <c r="FPF197" s="360"/>
      <c r="FPG197" s="360"/>
      <c r="FPH197" s="360"/>
      <c r="FPI197" s="360"/>
      <c r="FPJ197" s="360"/>
      <c r="FPK197" s="360"/>
      <c r="FPL197" s="360"/>
      <c r="FPM197" s="360"/>
      <c r="FPN197" s="360"/>
      <c r="FPO197" s="360"/>
      <c r="FPP197" s="360"/>
      <c r="FPQ197" s="360"/>
      <c r="FPR197" s="360"/>
      <c r="FPS197" s="360"/>
      <c r="FPT197" s="360"/>
      <c r="FPU197" s="360"/>
      <c r="FPV197" s="360"/>
      <c r="FPW197" s="360"/>
      <c r="FPX197" s="360"/>
      <c r="FPY197" s="360"/>
      <c r="FPZ197" s="360"/>
      <c r="FQA197" s="360"/>
      <c r="FQB197" s="360"/>
      <c r="FQC197" s="360"/>
      <c r="FQD197" s="360"/>
      <c r="FQE197" s="360"/>
      <c r="FQF197" s="360"/>
      <c r="FQG197" s="360"/>
      <c r="FQH197" s="360"/>
      <c r="FQI197" s="360"/>
      <c r="FQJ197" s="360"/>
      <c r="FQK197" s="360"/>
      <c r="FQL197" s="360"/>
      <c r="FQM197" s="360"/>
      <c r="FQN197" s="360"/>
      <c r="FQO197" s="360"/>
      <c r="FQP197" s="360"/>
      <c r="FQQ197" s="360"/>
      <c r="FQR197" s="360"/>
      <c r="FQS197" s="360"/>
      <c r="FQT197" s="360"/>
      <c r="FQU197" s="360"/>
      <c r="FQV197" s="360"/>
      <c r="FQW197" s="360"/>
      <c r="FQX197" s="360"/>
      <c r="FQY197" s="360"/>
      <c r="FQZ197" s="360"/>
      <c r="FRA197" s="360"/>
      <c r="FRB197" s="360"/>
      <c r="FRC197" s="360"/>
      <c r="FRD197" s="360"/>
      <c r="FRE197" s="360"/>
      <c r="FRF197" s="360"/>
      <c r="FRG197" s="360"/>
      <c r="FRH197" s="360"/>
      <c r="FRI197" s="360"/>
      <c r="FRJ197" s="360"/>
      <c r="FRK197" s="360"/>
      <c r="FRL197" s="360"/>
      <c r="FRM197" s="360"/>
      <c r="FRN197" s="360"/>
      <c r="FRO197" s="360"/>
      <c r="FRP197" s="360"/>
      <c r="FRQ197" s="360"/>
      <c r="FRR197" s="360"/>
      <c r="FRS197" s="360"/>
      <c r="FRT197" s="360"/>
      <c r="FRU197" s="360"/>
      <c r="FRV197" s="360"/>
      <c r="FRW197" s="360"/>
      <c r="FRX197" s="360"/>
      <c r="FRY197" s="360"/>
      <c r="FRZ197" s="360"/>
      <c r="FSA197" s="360"/>
      <c r="FSB197" s="360"/>
      <c r="FSC197" s="360"/>
      <c r="FSD197" s="360"/>
      <c r="FSE197" s="360"/>
      <c r="FSF197" s="360"/>
      <c r="FSG197" s="360"/>
      <c r="FSH197" s="360"/>
      <c r="FSI197" s="360"/>
      <c r="FSJ197" s="360"/>
      <c r="FSK197" s="360"/>
      <c r="FSL197" s="360"/>
      <c r="FSM197" s="360"/>
      <c r="FSN197" s="360"/>
      <c r="FSO197" s="360"/>
      <c r="FSP197" s="360"/>
      <c r="FSQ197" s="360"/>
      <c r="FSR197" s="360"/>
      <c r="FSS197" s="360"/>
      <c r="FST197" s="360"/>
      <c r="FSU197" s="360"/>
      <c r="FSV197" s="360"/>
      <c r="FSW197" s="360"/>
      <c r="FSX197" s="360"/>
      <c r="FSY197" s="360"/>
      <c r="FSZ197" s="360"/>
      <c r="FTA197" s="360"/>
      <c r="FTB197" s="360"/>
      <c r="FTC197" s="360"/>
      <c r="FTD197" s="360"/>
      <c r="FTE197" s="360"/>
      <c r="FTF197" s="360"/>
      <c r="FTG197" s="360"/>
      <c r="FTH197" s="360"/>
      <c r="FTI197" s="360"/>
      <c r="FTJ197" s="360"/>
      <c r="FTK197" s="360"/>
      <c r="FTL197" s="360"/>
      <c r="FTM197" s="360"/>
      <c r="FTN197" s="360"/>
      <c r="FTO197" s="360"/>
      <c r="FTP197" s="360"/>
      <c r="FTQ197" s="360"/>
      <c r="FTR197" s="360"/>
      <c r="FTS197" s="360"/>
      <c r="FTT197" s="360"/>
      <c r="FTU197" s="360"/>
      <c r="FTV197" s="360"/>
      <c r="FTW197" s="360"/>
      <c r="FTX197" s="360"/>
      <c r="FTY197" s="360"/>
      <c r="FTZ197" s="360"/>
      <c r="FUA197" s="360"/>
      <c r="FUB197" s="360"/>
      <c r="FUC197" s="360"/>
      <c r="FUD197" s="360"/>
      <c r="FUE197" s="360"/>
      <c r="FUF197" s="360"/>
      <c r="FUG197" s="360"/>
      <c r="FUH197" s="360"/>
      <c r="FUI197" s="360"/>
      <c r="FUJ197" s="360"/>
      <c r="FUK197" s="360"/>
      <c r="FUL197" s="360"/>
      <c r="FUM197" s="360"/>
      <c r="FUN197" s="360"/>
      <c r="FUO197" s="360"/>
      <c r="FUP197" s="360"/>
      <c r="FUQ197" s="360"/>
      <c r="FUR197" s="360"/>
      <c r="FUS197" s="360"/>
      <c r="FUT197" s="360"/>
      <c r="FUU197" s="360"/>
      <c r="FUV197" s="360"/>
      <c r="FUW197" s="360"/>
      <c r="FUX197" s="360"/>
      <c r="FUY197" s="360"/>
      <c r="FUZ197" s="360"/>
      <c r="FVA197" s="360"/>
      <c r="FVB197" s="360"/>
      <c r="FVC197" s="360"/>
      <c r="FVD197" s="360"/>
      <c r="FVE197" s="360"/>
      <c r="FVF197" s="360"/>
      <c r="FVG197" s="360"/>
      <c r="FVH197" s="360"/>
      <c r="FVI197" s="360"/>
      <c r="FVJ197" s="360"/>
      <c r="FVK197" s="360"/>
      <c r="FVL197" s="360"/>
      <c r="FVM197" s="360"/>
      <c r="FVN197" s="360"/>
      <c r="FVO197" s="360"/>
      <c r="FVP197" s="360"/>
      <c r="FVQ197" s="360"/>
      <c r="FVR197" s="360"/>
      <c r="FVS197" s="360"/>
      <c r="FVT197" s="360"/>
      <c r="FVU197" s="360"/>
      <c r="FVV197" s="360"/>
      <c r="FVW197" s="360"/>
      <c r="FVX197" s="360"/>
      <c r="FVY197" s="360"/>
      <c r="FVZ197" s="360"/>
      <c r="FWA197" s="360"/>
      <c r="FWB197" s="360"/>
      <c r="FWC197" s="360"/>
      <c r="FWD197" s="360"/>
      <c r="FWE197" s="360"/>
      <c r="FWF197" s="360"/>
      <c r="FWG197" s="360"/>
      <c r="FWH197" s="360"/>
      <c r="FWI197" s="360"/>
      <c r="FWJ197" s="360"/>
      <c r="FWK197" s="360"/>
      <c r="FWL197" s="360"/>
      <c r="FWM197" s="360"/>
      <c r="FWN197" s="360"/>
      <c r="FWO197" s="360"/>
      <c r="FWP197" s="360"/>
      <c r="FWQ197" s="360"/>
      <c r="FWR197" s="360"/>
      <c r="FWS197" s="360"/>
      <c r="FWT197" s="360"/>
      <c r="FWU197" s="360"/>
      <c r="FWV197" s="360"/>
      <c r="FWW197" s="360"/>
      <c r="FWX197" s="360"/>
      <c r="FWY197" s="360"/>
      <c r="FWZ197" s="360"/>
      <c r="FXA197" s="360"/>
      <c r="FXB197" s="360"/>
      <c r="FXC197" s="360"/>
      <c r="FXD197" s="360"/>
      <c r="FXE197" s="360"/>
      <c r="FXF197" s="360"/>
      <c r="FXG197" s="360"/>
      <c r="FXH197" s="360"/>
      <c r="FXI197" s="360"/>
      <c r="FXJ197" s="360"/>
      <c r="FXK197" s="360"/>
      <c r="FXL197" s="360"/>
      <c r="FXM197" s="360"/>
      <c r="FXN197" s="360"/>
      <c r="FXO197" s="360"/>
      <c r="FXP197" s="360"/>
      <c r="FXQ197" s="360"/>
      <c r="FXR197" s="360"/>
      <c r="FXS197" s="360"/>
      <c r="FXT197" s="360"/>
      <c r="FXU197" s="360"/>
      <c r="FXV197" s="360"/>
      <c r="FXW197" s="360"/>
      <c r="FXX197" s="360"/>
      <c r="FXY197" s="360"/>
      <c r="FXZ197" s="360"/>
      <c r="FYA197" s="360"/>
      <c r="FYB197" s="360"/>
      <c r="FYC197" s="360"/>
      <c r="FYD197" s="360"/>
      <c r="FYE197" s="360"/>
      <c r="FYF197" s="360"/>
      <c r="FYG197" s="360"/>
      <c r="FYH197" s="360"/>
      <c r="FYI197" s="360"/>
      <c r="FYJ197" s="360"/>
      <c r="FYK197" s="360"/>
      <c r="FYL197" s="360"/>
      <c r="FYM197" s="360"/>
      <c r="FYN197" s="360"/>
      <c r="FYO197" s="360"/>
      <c r="FYP197" s="360"/>
      <c r="FYQ197" s="360"/>
      <c r="FYR197" s="360"/>
      <c r="FYS197" s="360"/>
      <c r="FYT197" s="360"/>
      <c r="FYU197" s="360"/>
      <c r="FYV197" s="360"/>
      <c r="FYW197" s="360"/>
      <c r="FYX197" s="360"/>
      <c r="FYY197" s="360"/>
      <c r="FYZ197" s="360"/>
      <c r="FZA197" s="360"/>
      <c r="FZB197" s="360"/>
      <c r="FZC197" s="360"/>
      <c r="FZD197" s="360"/>
      <c r="FZE197" s="360"/>
      <c r="FZF197" s="360"/>
      <c r="FZG197" s="360"/>
      <c r="FZH197" s="360"/>
      <c r="FZI197" s="360"/>
      <c r="FZJ197" s="360"/>
      <c r="FZK197" s="360"/>
      <c r="FZL197" s="360"/>
      <c r="FZM197" s="360"/>
      <c r="FZN197" s="360"/>
      <c r="FZO197" s="360"/>
      <c r="FZP197" s="360"/>
      <c r="FZQ197" s="360"/>
      <c r="FZR197" s="360"/>
      <c r="FZS197" s="360"/>
      <c r="FZT197" s="360"/>
      <c r="FZU197" s="360"/>
      <c r="FZV197" s="360"/>
      <c r="FZW197" s="360"/>
      <c r="FZX197" s="360"/>
      <c r="FZY197" s="360"/>
      <c r="FZZ197" s="360"/>
      <c r="GAA197" s="360"/>
      <c r="GAB197" s="360"/>
      <c r="GAC197" s="360"/>
      <c r="GAD197" s="360"/>
      <c r="GAE197" s="360"/>
      <c r="GAF197" s="360"/>
      <c r="GAG197" s="360"/>
      <c r="GAH197" s="360"/>
      <c r="GAI197" s="360"/>
      <c r="GAJ197" s="360"/>
      <c r="GAK197" s="360"/>
      <c r="GAL197" s="360"/>
      <c r="GAM197" s="360"/>
      <c r="GAN197" s="360"/>
      <c r="GAO197" s="360"/>
      <c r="GAP197" s="360"/>
      <c r="GAQ197" s="360"/>
      <c r="GAR197" s="360"/>
      <c r="GAS197" s="360"/>
      <c r="GAT197" s="360"/>
      <c r="GAU197" s="360"/>
      <c r="GAV197" s="360"/>
      <c r="GAW197" s="360"/>
      <c r="GAX197" s="360"/>
      <c r="GAY197" s="360"/>
      <c r="GAZ197" s="360"/>
      <c r="GBA197" s="360"/>
      <c r="GBB197" s="360"/>
      <c r="GBC197" s="360"/>
      <c r="GBD197" s="360"/>
      <c r="GBE197" s="360"/>
      <c r="GBF197" s="360"/>
      <c r="GBG197" s="360"/>
      <c r="GBH197" s="360"/>
      <c r="GBI197" s="360"/>
      <c r="GBJ197" s="360"/>
      <c r="GBK197" s="360"/>
      <c r="GBL197" s="360"/>
      <c r="GBM197" s="360"/>
      <c r="GBN197" s="360"/>
      <c r="GBO197" s="360"/>
      <c r="GBP197" s="360"/>
      <c r="GBQ197" s="360"/>
      <c r="GBR197" s="360"/>
      <c r="GBS197" s="360"/>
      <c r="GBT197" s="360"/>
      <c r="GBU197" s="360"/>
      <c r="GBV197" s="360"/>
      <c r="GBW197" s="360"/>
      <c r="GBX197" s="360"/>
      <c r="GBY197" s="360"/>
      <c r="GBZ197" s="360"/>
      <c r="GCA197" s="360"/>
      <c r="GCB197" s="360"/>
      <c r="GCC197" s="360"/>
      <c r="GCD197" s="360"/>
      <c r="GCE197" s="360"/>
      <c r="GCF197" s="360"/>
      <c r="GCG197" s="360"/>
      <c r="GCH197" s="360"/>
      <c r="GCI197" s="360"/>
      <c r="GCJ197" s="360"/>
      <c r="GCK197" s="360"/>
      <c r="GCL197" s="360"/>
      <c r="GCM197" s="360"/>
      <c r="GCN197" s="360"/>
      <c r="GCO197" s="360"/>
      <c r="GCP197" s="360"/>
      <c r="GCQ197" s="360"/>
      <c r="GCR197" s="360"/>
      <c r="GCS197" s="360"/>
      <c r="GCT197" s="360"/>
      <c r="GCU197" s="360"/>
      <c r="GCV197" s="360"/>
      <c r="GCW197" s="360"/>
      <c r="GCX197" s="360"/>
      <c r="GCY197" s="360"/>
      <c r="GCZ197" s="360"/>
      <c r="GDA197" s="360"/>
      <c r="GDB197" s="360"/>
      <c r="GDC197" s="360"/>
      <c r="GDD197" s="360"/>
      <c r="GDE197" s="360"/>
      <c r="GDF197" s="360"/>
      <c r="GDG197" s="360"/>
      <c r="GDH197" s="360"/>
      <c r="GDI197" s="360"/>
      <c r="GDJ197" s="360"/>
      <c r="GDK197" s="360"/>
      <c r="GDL197" s="360"/>
      <c r="GDM197" s="360"/>
      <c r="GDN197" s="360"/>
      <c r="GDO197" s="360"/>
      <c r="GDP197" s="360"/>
      <c r="GDQ197" s="360"/>
      <c r="GDR197" s="360"/>
      <c r="GDS197" s="360"/>
      <c r="GDT197" s="360"/>
      <c r="GDU197" s="360"/>
      <c r="GDV197" s="360"/>
      <c r="GDW197" s="360"/>
      <c r="GDX197" s="360"/>
      <c r="GDY197" s="360"/>
      <c r="GDZ197" s="360"/>
      <c r="GEA197" s="360"/>
      <c r="GEB197" s="360"/>
      <c r="GEC197" s="360"/>
      <c r="GED197" s="360"/>
      <c r="GEE197" s="360"/>
      <c r="GEF197" s="360"/>
      <c r="GEG197" s="360"/>
      <c r="GEH197" s="360"/>
      <c r="GEI197" s="360"/>
      <c r="GEJ197" s="360"/>
      <c r="GEK197" s="360"/>
      <c r="GEL197" s="360"/>
      <c r="GEM197" s="360"/>
      <c r="GEN197" s="360"/>
      <c r="GEO197" s="360"/>
      <c r="GEP197" s="360"/>
      <c r="GEQ197" s="360"/>
      <c r="GER197" s="360"/>
      <c r="GES197" s="360"/>
      <c r="GET197" s="360"/>
      <c r="GEU197" s="360"/>
      <c r="GEV197" s="360"/>
      <c r="GEW197" s="360"/>
      <c r="GEX197" s="360"/>
      <c r="GEY197" s="360"/>
      <c r="GEZ197" s="360"/>
      <c r="GFA197" s="360"/>
      <c r="GFB197" s="360"/>
      <c r="GFC197" s="360"/>
      <c r="GFD197" s="360"/>
      <c r="GFE197" s="360"/>
      <c r="GFF197" s="360"/>
      <c r="GFG197" s="360"/>
      <c r="GFH197" s="360"/>
      <c r="GFI197" s="360"/>
      <c r="GFJ197" s="360"/>
      <c r="GFK197" s="360"/>
      <c r="GFL197" s="360"/>
      <c r="GFM197" s="360"/>
      <c r="GFN197" s="360"/>
      <c r="GFO197" s="360"/>
      <c r="GFP197" s="360"/>
      <c r="GFQ197" s="360"/>
      <c r="GFR197" s="360"/>
      <c r="GFS197" s="360"/>
      <c r="GFT197" s="360"/>
      <c r="GFU197" s="360"/>
      <c r="GFV197" s="360"/>
      <c r="GFW197" s="360"/>
      <c r="GFX197" s="360"/>
      <c r="GFY197" s="360"/>
      <c r="GFZ197" s="360"/>
      <c r="GGA197" s="360"/>
      <c r="GGB197" s="360"/>
      <c r="GGC197" s="360"/>
      <c r="GGD197" s="360"/>
      <c r="GGE197" s="360"/>
      <c r="GGF197" s="360"/>
      <c r="GGG197" s="360"/>
      <c r="GGH197" s="360"/>
      <c r="GGI197" s="360"/>
      <c r="GGJ197" s="360"/>
      <c r="GGK197" s="360"/>
      <c r="GGL197" s="360"/>
      <c r="GGM197" s="360"/>
      <c r="GGN197" s="360"/>
      <c r="GGO197" s="360"/>
      <c r="GGP197" s="360"/>
      <c r="GGQ197" s="360"/>
      <c r="GGR197" s="360"/>
      <c r="GGS197" s="360"/>
      <c r="GGT197" s="360"/>
      <c r="GGU197" s="360"/>
      <c r="GGV197" s="360"/>
      <c r="GGW197" s="360"/>
      <c r="GGX197" s="360"/>
      <c r="GGY197" s="360"/>
      <c r="GGZ197" s="360"/>
      <c r="GHA197" s="360"/>
      <c r="GHB197" s="360"/>
      <c r="GHC197" s="360"/>
      <c r="GHD197" s="360"/>
      <c r="GHE197" s="360"/>
      <c r="GHF197" s="360"/>
      <c r="GHG197" s="360"/>
      <c r="GHH197" s="360"/>
      <c r="GHI197" s="360"/>
      <c r="GHJ197" s="360"/>
      <c r="GHK197" s="360"/>
      <c r="GHL197" s="360"/>
      <c r="GHM197" s="360"/>
      <c r="GHN197" s="360"/>
      <c r="GHO197" s="360"/>
      <c r="GHP197" s="360"/>
      <c r="GHQ197" s="360"/>
      <c r="GHR197" s="360"/>
      <c r="GHS197" s="360"/>
      <c r="GHT197" s="360"/>
      <c r="GHU197" s="360"/>
      <c r="GHV197" s="360"/>
      <c r="GHW197" s="360"/>
      <c r="GHX197" s="360"/>
      <c r="GHY197" s="360"/>
      <c r="GHZ197" s="360"/>
      <c r="GIA197" s="360"/>
      <c r="GIB197" s="360"/>
      <c r="GIC197" s="360"/>
      <c r="GID197" s="360"/>
      <c r="GIE197" s="360"/>
      <c r="GIF197" s="360"/>
      <c r="GIG197" s="360"/>
      <c r="GIH197" s="360"/>
      <c r="GII197" s="360"/>
      <c r="GIJ197" s="360"/>
      <c r="GIK197" s="360"/>
      <c r="GIL197" s="360"/>
      <c r="GIM197" s="360"/>
      <c r="GIN197" s="360"/>
      <c r="GIO197" s="360"/>
      <c r="GIP197" s="360"/>
      <c r="GIQ197" s="360"/>
      <c r="GIR197" s="360"/>
      <c r="GIS197" s="360"/>
      <c r="GIT197" s="360"/>
      <c r="GIU197" s="360"/>
      <c r="GIV197" s="360"/>
      <c r="GIW197" s="360"/>
      <c r="GIX197" s="360"/>
      <c r="GIY197" s="360"/>
      <c r="GIZ197" s="360"/>
      <c r="GJA197" s="360"/>
      <c r="GJB197" s="360"/>
      <c r="GJC197" s="360"/>
      <c r="GJD197" s="360"/>
      <c r="GJE197" s="360"/>
      <c r="GJF197" s="360"/>
      <c r="GJG197" s="360"/>
      <c r="GJH197" s="360"/>
      <c r="GJI197" s="360"/>
      <c r="GJJ197" s="360"/>
      <c r="GJK197" s="360"/>
      <c r="GJL197" s="360"/>
      <c r="GJM197" s="360"/>
      <c r="GJN197" s="360"/>
      <c r="GJO197" s="360"/>
      <c r="GJP197" s="360"/>
      <c r="GJQ197" s="360"/>
      <c r="GJR197" s="360"/>
      <c r="GJS197" s="360"/>
      <c r="GJT197" s="360"/>
      <c r="GJU197" s="360"/>
      <c r="GJV197" s="360"/>
      <c r="GJW197" s="360"/>
      <c r="GJX197" s="360"/>
      <c r="GJY197" s="360"/>
      <c r="GJZ197" s="360"/>
      <c r="GKA197" s="360"/>
      <c r="GKB197" s="360"/>
      <c r="GKC197" s="360"/>
      <c r="GKD197" s="360"/>
      <c r="GKE197" s="360"/>
      <c r="GKF197" s="360"/>
      <c r="GKG197" s="360"/>
      <c r="GKH197" s="360"/>
      <c r="GKI197" s="360"/>
      <c r="GKJ197" s="360"/>
      <c r="GKK197" s="360"/>
      <c r="GKL197" s="360"/>
      <c r="GKM197" s="360"/>
      <c r="GKN197" s="360"/>
      <c r="GKO197" s="360"/>
      <c r="GKP197" s="360"/>
      <c r="GKQ197" s="360"/>
      <c r="GKR197" s="360"/>
      <c r="GKS197" s="360"/>
      <c r="GKT197" s="360"/>
      <c r="GKU197" s="360"/>
      <c r="GKV197" s="360"/>
      <c r="GKW197" s="360"/>
      <c r="GKX197" s="360"/>
      <c r="GKY197" s="360"/>
      <c r="GKZ197" s="360"/>
      <c r="GLA197" s="360"/>
      <c r="GLB197" s="360"/>
      <c r="GLC197" s="360"/>
      <c r="GLD197" s="360"/>
      <c r="GLE197" s="360"/>
      <c r="GLF197" s="360"/>
      <c r="GLG197" s="360"/>
      <c r="GLH197" s="360"/>
      <c r="GLI197" s="360"/>
      <c r="GLJ197" s="360"/>
      <c r="GLK197" s="360"/>
      <c r="GLL197" s="360"/>
      <c r="GLM197" s="360"/>
      <c r="GLN197" s="360"/>
      <c r="GLO197" s="360"/>
      <c r="GLP197" s="360"/>
      <c r="GLQ197" s="360"/>
      <c r="GLR197" s="360"/>
      <c r="GLS197" s="360"/>
      <c r="GLT197" s="360"/>
      <c r="GLU197" s="360"/>
      <c r="GLV197" s="360"/>
      <c r="GLW197" s="360"/>
      <c r="GLX197" s="360"/>
      <c r="GLY197" s="360"/>
      <c r="GLZ197" s="360"/>
      <c r="GMA197" s="360"/>
      <c r="GMB197" s="360"/>
      <c r="GMC197" s="360"/>
      <c r="GMD197" s="360"/>
      <c r="GME197" s="360"/>
      <c r="GMF197" s="360"/>
      <c r="GMG197" s="360"/>
      <c r="GMH197" s="360"/>
      <c r="GMI197" s="360"/>
      <c r="GMJ197" s="360"/>
      <c r="GMK197" s="360"/>
      <c r="GML197" s="360"/>
      <c r="GMM197" s="360"/>
      <c r="GMN197" s="360"/>
      <c r="GMO197" s="360"/>
      <c r="GMP197" s="360"/>
      <c r="GMQ197" s="360"/>
      <c r="GMR197" s="360"/>
      <c r="GMS197" s="360"/>
      <c r="GMT197" s="360"/>
      <c r="GMU197" s="360"/>
      <c r="GMV197" s="360"/>
      <c r="GMW197" s="360"/>
      <c r="GMX197" s="360"/>
      <c r="GMY197" s="360"/>
      <c r="GMZ197" s="360"/>
      <c r="GNA197" s="360"/>
      <c r="GNB197" s="360"/>
      <c r="GNC197" s="360"/>
      <c r="GND197" s="360"/>
      <c r="GNE197" s="360"/>
      <c r="GNF197" s="360"/>
      <c r="GNG197" s="360"/>
      <c r="GNH197" s="360"/>
      <c r="GNI197" s="360"/>
      <c r="GNJ197" s="360"/>
      <c r="GNK197" s="360"/>
      <c r="GNL197" s="360"/>
      <c r="GNM197" s="360"/>
      <c r="GNN197" s="360"/>
      <c r="GNO197" s="360"/>
      <c r="GNP197" s="360"/>
      <c r="GNQ197" s="360"/>
      <c r="GNR197" s="360"/>
      <c r="GNS197" s="360"/>
      <c r="GNT197" s="360"/>
      <c r="GNU197" s="360"/>
      <c r="GNV197" s="360"/>
      <c r="GNW197" s="360"/>
      <c r="GNX197" s="360"/>
      <c r="GNY197" s="360"/>
      <c r="GNZ197" s="360"/>
      <c r="GOA197" s="360"/>
      <c r="GOB197" s="360"/>
      <c r="GOC197" s="360"/>
      <c r="GOD197" s="360"/>
      <c r="GOE197" s="360"/>
      <c r="GOF197" s="360"/>
      <c r="GOG197" s="360"/>
      <c r="GOH197" s="360"/>
      <c r="GOI197" s="360"/>
      <c r="GOJ197" s="360"/>
      <c r="GOK197" s="360"/>
      <c r="GOL197" s="360"/>
      <c r="GOM197" s="360"/>
      <c r="GON197" s="360"/>
      <c r="GOO197" s="360"/>
      <c r="GOP197" s="360"/>
      <c r="GOQ197" s="360"/>
      <c r="GOR197" s="360"/>
      <c r="GOS197" s="360"/>
      <c r="GOT197" s="360"/>
      <c r="GOU197" s="360"/>
      <c r="GOV197" s="360"/>
      <c r="GOW197" s="360"/>
      <c r="GOX197" s="360"/>
      <c r="GOY197" s="360"/>
      <c r="GOZ197" s="360"/>
      <c r="GPA197" s="360"/>
      <c r="GPB197" s="360"/>
      <c r="GPC197" s="360"/>
      <c r="GPD197" s="360"/>
      <c r="GPE197" s="360"/>
      <c r="GPF197" s="360"/>
      <c r="GPG197" s="360"/>
      <c r="GPH197" s="360"/>
      <c r="GPI197" s="360"/>
      <c r="GPJ197" s="360"/>
      <c r="GPK197" s="360"/>
      <c r="GPL197" s="360"/>
      <c r="GPM197" s="360"/>
      <c r="GPN197" s="360"/>
      <c r="GPO197" s="360"/>
      <c r="GPP197" s="360"/>
      <c r="GPQ197" s="360"/>
      <c r="GPR197" s="360"/>
      <c r="GPS197" s="360"/>
      <c r="GPT197" s="360"/>
      <c r="GPU197" s="360"/>
      <c r="GPV197" s="360"/>
      <c r="GPW197" s="360"/>
      <c r="GPX197" s="360"/>
      <c r="GPY197" s="360"/>
      <c r="GPZ197" s="360"/>
      <c r="GQA197" s="360"/>
      <c r="GQB197" s="360"/>
      <c r="GQC197" s="360"/>
      <c r="GQD197" s="360"/>
      <c r="GQE197" s="360"/>
      <c r="GQF197" s="360"/>
      <c r="GQG197" s="360"/>
      <c r="GQH197" s="360"/>
      <c r="GQI197" s="360"/>
      <c r="GQJ197" s="360"/>
      <c r="GQK197" s="360"/>
      <c r="GQL197" s="360"/>
      <c r="GQM197" s="360"/>
      <c r="GQN197" s="360"/>
      <c r="GQO197" s="360"/>
      <c r="GQP197" s="360"/>
      <c r="GQQ197" s="360"/>
      <c r="GQR197" s="360"/>
      <c r="GQS197" s="360"/>
      <c r="GQT197" s="360"/>
      <c r="GQU197" s="360"/>
      <c r="GQV197" s="360"/>
      <c r="GQW197" s="360"/>
      <c r="GQX197" s="360"/>
      <c r="GQY197" s="360"/>
      <c r="GQZ197" s="360"/>
      <c r="GRA197" s="360"/>
      <c r="GRB197" s="360"/>
      <c r="GRC197" s="360"/>
      <c r="GRD197" s="360"/>
      <c r="GRE197" s="360"/>
      <c r="GRF197" s="360"/>
      <c r="GRG197" s="360"/>
      <c r="GRH197" s="360"/>
      <c r="GRI197" s="360"/>
      <c r="GRJ197" s="360"/>
      <c r="GRK197" s="360"/>
      <c r="GRL197" s="360"/>
      <c r="GRM197" s="360"/>
      <c r="GRN197" s="360"/>
      <c r="GRO197" s="360"/>
      <c r="GRP197" s="360"/>
      <c r="GRQ197" s="360"/>
      <c r="GRR197" s="360"/>
      <c r="GRS197" s="360"/>
      <c r="GRT197" s="360"/>
      <c r="GRU197" s="360"/>
      <c r="GRV197" s="360"/>
      <c r="GRW197" s="360"/>
      <c r="GRX197" s="360"/>
      <c r="GRY197" s="360"/>
      <c r="GRZ197" s="360"/>
      <c r="GSA197" s="360"/>
      <c r="GSB197" s="360"/>
      <c r="GSC197" s="360"/>
      <c r="GSD197" s="360"/>
      <c r="GSE197" s="360"/>
      <c r="GSF197" s="360"/>
      <c r="GSG197" s="360"/>
      <c r="GSH197" s="360"/>
      <c r="GSI197" s="360"/>
      <c r="GSJ197" s="360"/>
      <c r="GSK197" s="360"/>
      <c r="GSL197" s="360"/>
      <c r="GSM197" s="360"/>
      <c r="GSN197" s="360"/>
      <c r="GSO197" s="360"/>
      <c r="GSP197" s="360"/>
      <c r="GSQ197" s="360"/>
      <c r="GSR197" s="360"/>
      <c r="GSS197" s="360"/>
      <c r="GST197" s="360"/>
      <c r="GSU197" s="360"/>
      <c r="GSV197" s="360"/>
      <c r="GSW197" s="360"/>
      <c r="GSX197" s="360"/>
      <c r="GSY197" s="360"/>
      <c r="GSZ197" s="360"/>
      <c r="GTA197" s="360"/>
      <c r="GTB197" s="360"/>
      <c r="GTC197" s="360"/>
      <c r="GTD197" s="360"/>
      <c r="GTE197" s="360"/>
      <c r="GTF197" s="360"/>
      <c r="GTG197" s="360"/>
      <c r="GTH197" s="360"/>
      <c r="GTI197" s="360"/>
      <c r="GTJ197" s="360"/>
      <c r="GTK197" s="360"/>
      <c r="GTL197" s="360"/>
      <c r="GTM197" s="360"/>
      <c r="GTN197" s="360"/>
      <c r="GTO197" s="360"/>
      <c r="GTP197" s="360"/>
      <c r="GTQ197" s="360"/>
      <c r="GTR197" s="360"/>
      <c r="GTS197" s="360"/>
      <c r="GTT197" s="360"/>
      <c r="GTU197" s="360"/>
      <c r="GTV197" s="360"/>
      <c r="GTW197" s="360"/>
      <c r="GTX197" s="360"/>
      <c r="GTY197" s="360"/>
      <c r="GTZ197" s="360"/>
      <c r="GUA197" s="360"/>
      <c r="GUB197" s="360"/>
      <c r="GUC197" s="360"/>
      <c r="GUD197" s="360"/>
      <c r="GUE197" s="360"/>
      <c r="GUF197" s="360"/>
      <c r="GUG197" s="360"/>
      <c r="GUH197" s="360"/>
      <c r="GUI197" s="360"/>
      <c r="GUJ197" s="360"/>
      <c r="GUK197" s="360"/>
      <c r="GUL197" s="360"/>
      <c r="GUM197" s="360"/>
      <c r="GUN197" s="360"/>
      <c r="GUO197" s="360"/>
      <c r="GUP197" s="360"/>
      <c r="GUQ197" s="360"/>
      <c r="GUR197" s="360"/>
      <c r="GUS197" s="360"/>
      <c r="GUT197" s="360"/>
      <c r="GUU197" s="360"/>
      <c r="GUV197" s="360"/>
      <c r="GUW197" s="360"/>
      <c r="GUX197" s="360"/>
      <c r="GUY197" s="360"/>
      <c r="GUZ197" s="360"/>
      <c r="GVA197" s="360"/>
      <c r="GVB197" s="360"/>
      <c r="GVC197" s="360"/>
      <c r="GVD197" s="360"/>
      <c r="GVE197" s="360"/>
      <c r="GVF197" s="360"/>
      <c r="GVG197" s="360"/>
      <c r="GVH197" s="360"/>
      <c r="GVI197" s="360"/>
      <c r="GVJ197" s="360"/>
      <c r="GVK197" s="360"/>
      <c r="GVL197" s="360"/>
      <c r="GVM197" s="360"/>
      <c r="GVN197" s="360"/>
      <c r="GVO197" s="360"/>
      <c r="GVP197" s="360"/>
      <c r="GVQ197" s="360"/>
      <c r="GVR197" s="360"/>
      <c r="GVS197" s="360"/>
      <c r="GVT197" s="360"/>
      <c r="GVU197" s="360"/>
      <c r="GVV197" s="360"/>
      <c r="GVW197" s="360"/>
      <c r="GVX197" s="360"/>
      <c r="GVY197" s="360"/>
      <c r="GVZ197" s="360"/>
      <c r="GWA197" s="360"/>
      <c r="GWB197" s="360"/>
      <c r="GWC197" s="360"/>
      <c r="GWD197" s="360"/>
      <c r="GWE197" s="360"/>
      <c r="GWF197" s="360"/>
      <c r="GWG197" s="360"/>
      <c r="GWH197" s="360"/>
      <c r="GWI197" s="360"/>
      <c r="GWJ197" s="360"/>
      <c r="GWK197" s="360"/>
      <c r="GWL197" s="360"/>
      <c r="GWM197" s="360"/>
      <c r="GWN197" s="360"/>
      <c r="GWO197" s="360"/>
      <c r="GWP197" s="360"/>
      <c r="GWQ197" s="360"/>
      <c r="GWR197" s="360"/>
      <c r="GWS197" s="360"/>
      <c r="GWT197" s="360"/>
      <c r="GWU197" s="360"/>
      <c r="GWV197" s="360"/>
      <c r="GWW197" s="360"/>
      <c r="GWX197" s="360"/>
      <c r="GWY197" s="360"/>
      <c r="GWZ197" s="360"/>
      <c r="GXA197" s="360"/>
      <c r="GXB197" s="360"/>
      <c r="GXC197" s="360"/>
      <c r="GXD197" s="360"/>
      <c r="GXE197" s="360"/>
      <c r="GXF197" s="360"/>
      <c r="GXG197" s="360"/>
      <c r="GXH197" s="360"/>
      <c r="GXI197" s="360"/>
      <c r="GXJ197" s="360"/>
      <c r="GXK197" s="360"/>
      <c r="GXL197" s="360"/>
      <c r="GXM197" s="360"/>
      <c r="GXN197" s="360"/>
      <c r="GXO197" s="360"/>
      <c r="GXP197" s="360"/>
      <c r="GXQ197" s="360"/>
      <c r="GXR197" s="360"/>
      <c r="GXS197" s="360"/>
      <c r="GXT197" s="360"/>
      <c r="GXU197" s="360"/>
      <c r="GXV197" s="360"/>
      <c r="GXW197" s="360"/>
      <c r="GXX197" s="360"/>
      <c r="GXY197" s="360"/>
      <c r="GXZ197" s="360"/>
      <c r="GYA197" s="360"/>
      <c r="GYB197" s="360"/>
      <c r="GYC197" s="360"/>
      <c r="GYD197" s="360"/>
      <c r="GYE197" s="360"/>
      <c r="GYF197" s="360"/>
      <c r="GYG197" s="360"/>
      <c r="GYH197" s="360"/>
      <c r="GYI197" s="360"/>
      <c r="GYJ197" s="360"/>
      <c r="GYK197" s="360"/>
      <c r="GYL197" s="360"/>
      <c r="GYM197" s="360"/>
      <c r="GYN197" s="360"/>
      <c r="GYO197" s="360"/>
      <c r="GYP197" s="360"/>
      <c r="GYQ197" s="360"/>
      <c r="GYR197" s="360"/>
      <c r="GYS197" s="360"/>
      <c r="GYT197" s="360"/>
      <c r="GYU197" s="360"/>
      <c r="GYV197" s="360"/>
      <c r="GYW197" s="360"/>
      <c r="GYX197" s="360"/>
      <c r="GYY197" s="360"/>
      <c r="GYZ197" s="360"/>
      <c r="GZA197" s="360"/>
      <c r="GZB197" s="360"/>
      <c r="GZC197" s="360"/>
      <c r="GZD197" s="360"/>
      <c r="GZE197" s="360"/>
      <c r="GZF197" s="360"/>
      <c r="GZG197" s="360"/>
      <c r="GZH197" s="360"/>
      <c r="GZI197" s="360"/>
      <c r="GZJ197" s="360"/>
      <c r="GZK197" s="360"/>
      <c r="GZL197" s="360"/>
      <c r="GZM197" s="360"/>
      <c r="GZN197" s="360"/>
      <c r="GZO197" s="360"/>
      <c r="GZP197" s="360"/>
      <c r="GZQ197" s="360"/>
      <c r="GZR197" s="360"/>
      <c r="GZS197" s="360"/>
      <c r="GZT197" s="360"/>
      <c r="GZU197" s="360"/>
      <c r="GZV197" s="360"/>
      <c r="GZW197" s="360"/>
      <c r="GZX197" s="360"/>
      <c r="GZY197" s="360"/>
      <c r="GZZ197" s="360"/>
      <c r="HAA197" s="360"/>
      <c r="HAB197" s="360"/>
      <c r="HAC197" s="360"/>
      <c r="HAD197" s="360"/>
      <c r="HAE197" s="360"/>
      <c r="HAF197" s="360"/>
      <c r="HAG197" s="360"/>
      <c r="HAH197" s="360"/>
      <c r="HAI197" s="360"/>
      <c r="HAJ197" s="360"/>
      <c r="HAK197" s="360"/>
      <c r="HAL197" s="360"/>
      <c r="HAM197" s="360"/>
      <c r="HAN197" s="360"/>
      <c r="HAO197" s="360"/>
      <c r="HAP197" s="360"/>
      <c r="HAQ197" s="360"/>
      <c r="HAR197" s="360"/>
      <c r="HAS197" s="360"/>
      <c r="HAT197" s="360"/>
      <c r="HAU197" s="360"/>
      <c r="HAV197" s="360"/>
      <c r="HAW197" s="360"/>
      <c r="HAX197" s="360"/>
      <c r="HAY197" s="360"/>
      <c r="HAZ197" s="360"/>
      <c r="HBA197" s="360"/>
      <c r="HBB197" s="360"/>
      <c r="HBC197" s="360"/>
      <c r="HBD197" s="360"/>
      <c r="HBE197" s="360"/>
      <c r="HBF197" s="360"/>
      <c r="HBG197" s="360"/>
      <c r="HBH197" s="360"/>
      <c r="HBI197" s="360"/>
      <c r="HBJ197" s="360"/>
      <c r="HBK197" s="360"/>
      <c r="HBL197" s="360"/>
      <c r="HBM197" s="360"/>
      <c r="HBN197" s="360"/>
      <c r="HBO197" s="360"/>
      <c r="HBP197" s="360"/>
      <c r="HBQ197" s="360"/>
      <c r="HBR197" s="360"/>
      <c r="HBS197" s="360"/>
      <c r="HBT197" s="360"/>
      <c r="HBU197" s="360"/>
      <c r="HBV197" s="360"/>
      <c r="HBW197" s="360"/>
      <c r="HBX197" s="360"/>
      <c r="HBY197" s="360"/>
      <c r="HBZ197" s="360"/>
      <c r="HCA197" s="360"/>
      <c r="HCB197" s="360"/>
      <c r="HCC197" s="360"/>
      <c r="HCD197" s="360"/>
      <c r="HCE197" s="360"/>
      <c r="HCF197" s="360"/>
      <c r="HCG197" s="360"/>
      <c r="HCH197" s="360"/>
      <c r="HCI197" s="360"/>
      <c r="HCJ197" s="360"/>
      <c r="HCK197" s="360"/>
      <c r="HCL197" s="360"/>
      <c r="HCM197" s="360"/>
      <c r="HCN197" s="360"/>
      <c r="HCO197" s="360"/>
      <c r="HCP197" s="360"/>
      <c r="HCQ197" s="360"/>
      <c r="HCR197" s="360"/>
      <c r="HCS197" s="360"/>
      <c r="HCT197" s="360"/>
      <c r="HCU197" s="360"/>
      <c r="HCV197" s="360"/>
      <c r="HCW197" s="360"/>
      <c r="HCX197" s="360"/>
      <c r="HCY197" s="360"/>
      <c r="HCZ197" s="360"/>
      <c r="HDA197" s="360"/>
      <c r="HDB197" s="360"/>
      <c r="HDC197" s="360"/>
      <c r="HDD197" s="360"/>
      <c r="HDE197" s="360"/>
      <c r="HDF197" s="360"/>
      <c r="HDG197" s="360"/>
      <c r="HDH197" s="360"/>
      <c r="HDI197" s="360"/>
      <c r="HDJ197" s="360"/>
      <c r="HDK197" s="360"/>
      <c r="HDL197" s="360"/>
      <c r="HDM197" s="360"/>
      <c r="HDN197" s="360"/>
      <c r="HDO197" s="360"/>
      <c r="HDP197" s="360"/>
      <c r="HDQ197" s="360"/>
      <c r="HDR197" s="360"/>
      <c r="HDS197" s="360"/>
      <c r="HDT197" s="360"/>
      <c r="HDU197" s="360"/>
      <c r="HDV197" s="360"/>
      <c r="HDW197" s="360"/>
      <c r="HDX197" s="360"/>
      <c r="HDY197" s="360"/>
      <c r="HDZ197" s="360"/>
      <c r="HEA197" s="360"/>
      <c r="HEB197" s="360"/>
      <c r="HEC197" s="360"/>
      <c r="HED197" s="360"/>
      <c r="HEE197" s="360"/>
      <c r="HEF197" s="360"/>
      <c r="HEG197" s="360"/>
      <c r="HEH197" s="360"/>
      <c r="HEI197" s="360"/>
      <c r="HEJ197" s="360"/>
      <c r="HEK197" s="360"/>
      <c r="HEL197" s="360"/>
      <c r="HEM197" s="360"/>
      <c r="HEN197" s="360"/>
      <c r="HEO197" s="360"/>
      <c r="HEP197" s="360"/>
      <c r="HEQ197" s="360"/>
      <c r="HER197" s="360"/>
      <c r="HES197" s="360"/>
      <c r="HET197" s="360"/>
      <c r="HEU197" s="360"/>
      <c r="HEV197" s="360"/>
      <c r="HEW197" s="360"/>
      <c r="HEX197" s="360"/>
      <c r="HEY197" s="360"/>
      <c r="HEZ197" s="360"/>
      <c r="HFA197" s="360"/>
      <c r="HFB197" s="360"/>
      <c r="HFC197" s="360"/>
      <c r="HFD197" s="360"/>
      <c r="HFE197" s="360"/>
      <c r="HFF197" s="360"/>
      <c r="HFG197" s="360"/>
      <c r="HFH197" s="360"/>
      <c r="HFI197" s="360"/>
      <c r="HFJ197" s="360"/>
      <c r="HFK197" s="360"/>
      <c r="HFL197" s="360"/>
      <c r="HFM197" s="360"/>
      <c r="HFN197" s="360"/>
      <c r="HFO197" s="360"/>
      <c r="HFP197" s="360"/>
      <c r="HFQ197" s="360"/>
      <c r="HFR197" s="360"/>
      <c r="HFS197" s="360"/>
      <c r="HFT197" s="360"/>
      <c r="HFU197" s="360"/>
      <c r="HFV197" s="360"/>
      <c r="HFW197" s="360"/>
      <c r="HFX197" s="360"/>
      <c r="HFY197" s="360"/>
      <c r="HFZ197" s="360"/>
      <c r="HGA197" s="360"/>
      <c r="HGB197" s="360"/>
      <c r="HGC197" s="360"/>
      <c r="HGD197" s="360"/>
      <c r="HGE197" s="360"/>
      <c r="HGF197" s="360"/>
      <c r="HGG197" s="360"/>
      <c r="HGH197" s="360"/>
      <c r="HGI197" s="360"/>
      <c r="HGJ197" s="360"/>
      <c r="HGK197" s="360"/>
      <c r="HGL197" s="360"/>
      <c r="HGM197" s="360"/>
      <c r="HGN197" s="360"/>
      <c r="HGO197" s="360"/>
      <c r="HGP197" s="360"/>
      <c r="HGQ197" s="360"/>
      <c r="HGR197" s="360"/>
      <c r="HGS197" s="360"/>
      <c r="HGT197" s="360"/>
      <c r="HGU197" s="360"/>
      <c r="HGV197" s="360"/>
      <c r="HGW197" s="360"/>
      <c r="HGX197" s="360"/>
      <c r="HGY197" s="360"/>
      <c r="HGZ197" s="360"/>
      <c r="HHA197" s="360"/>
      <c r="HHB197" s="360"/>
      <c r="HHC197" s="360"/>
      <c r="HHD197" s="360"/>
      <c r="HHE197" s="360"/>
      <c r="HHF197" s="360"/>
      <c r="HHG197" s="360"/>
      <c r="HHH197" s="360"/>
      <c r="HHI197" s="360"/>
      <c r="HHJ197" s="360"/>
      <c r="HHK197" s="360"/>
      <c r="HHL197" s="360"/>
      <c r="HHM197" s="360"/>
      <c r="HHN197" s="360"/>
      <c r="HHO197" s="360"/>
      <c r="HHP197" s="360"/>
      <c r="HHQ197" s="360"/>
      <c r="HHR197" s="360"/>
      <c r="HHS197" s="360"/>
      <c r="HHT197" s="360"/>
      <c r="HHU197" s="360"/>
      <c r="HHV197" s="360"/>
      <c r="HHW197" s="360"/>
      <c r="HHX197" s="360"/>
      <c r="HHY197" s="360"/>
      <c r="HHZ197" s="360"/>
      <c r="HIA197" s="360"/>
      <c r="HIB197" s="360"/>
      <c r="HIC197" s="360"/>
      <c r="HID197" s="360"/>
      <c r="HIE197" s="360"/>
      <c r="HIF197" s="360"/>
      <c r="HIG197" s="360"/>
      <c r="HIH197" s="360"/>
      <c r="HII197" s="360"/>
      <c r="HIJ197" s="360"/>
      <c r="HIK197" s="360"/>
      <c r="HIL197" s="360"/>
      <c r="HIM197" s="360"/>
      <c r="HIN197" s="360"/>
      <c r="HIO197" s="360"/>
      <c r="HIP197" s="360"/>
      <c r="HIQ197" s="360"/>
      <c r="HIR197" s="360"/>
      <c r="HIS197" s="360"/>
      <c r="HIT197" s="360"/>
      <c r="HIU197" s="360"/>
      <c r="HIV197" s="360"/>
      <c r="HIW197" s="360"/>
      <c r="HIX197" s="360"/>
      <c r="HIY197" s="360"/>
      <c r="HIZ197" s="360"/>
      <c r="HJA197" s="360"/>
      <c r="HJB197" s="360"/>
      <c r="HJC197" s="360"/>
      <c r="HJD197" s="360"/>
      <c r="HJE197" s="360"/>
      <c r="HJF197" s="360"/>
      <c r="HJG197" s="360"/>
      <c r="HJH197" s="360"/>
      <c r="HJI197" s="360"/>
      <c r="HJJ197" s="360"/>
      <c r="HJK197" s="360"/>
      <c r="HJL197" s="360"/>
      <c r="HJM197" s="360"/>
      <c r="HJN197" s="360"/>
      <c r="HJO197" s="360"/>
      <c r="HJP197" s="360"/>
      <c r="HJQ197" s="360"/>
      <c r="HJR197" s="360"/>
      <c r="HJS197" s="360"/>
      <c r="HJT197" s="360"/>
      <c r="HJU197" s="360"/>
      <c r="HJV197" s="360"/>
      <c r="HJW197" s="360"/>
      <c r="HJX197" s="360"/>
      <c r="HJY197" s="360"/>
      <c r="HJZ197" s="360"/>
      <c r="HKA197" s="360"/>
      <c r="HKB197" s="360"/>
      <c r="HKC197" s="360"/>
      <c r="HKD197" s="360"/>
      <c r="HKE197" s="360"/>
      <c r="HKF197" s="360"/>
      <c r="HKG197" s="360"/>
      <c r="HKH197" s="360"/>
      <c r="HKI197" s="360"/>
      <c r="HKJ197" s="360"/>
      <c r="HKK197" s="360"/>
      <c r="HKL197" s="360"/>
      <c r="HKM197" s="360"/>
      <c r="HKN197" s="360"/>
      <c r="HKO197" s="360"/>
      <c r="HKP197" s="360"/>
      <c r="HKQ197" s="360"/>
      <c r="HKR197" s="360"/>
      <c r="HKS197" s="360"/>
      <c r="HKT197" s="360"/>
      <c r="HKU197" s="360"/>
      <c r="HKV197" s="360"/>
      <c r="HKW197" s="360"/>
      <c r="HKX197" s="360"/>
      <c r="HKY197" s="360"/>
      <c r="HKZ197" s="360"/>
      <c r="HLA197" s="360"/>
      <c r="HLB197" s="360"/>
      <c r="HLC197" s="360"/>
      <c r="HLD197" s="360"/>
      <c r="HLE197" s="360"/>
      <c r="HLF197" s="360"/>
      <c r="HLG197" s="360"/>
      <c r="HLH197" s="360"/>
      <c r="HLI197" s="360"/>
      <c r="HLJ197" s="360"/>
      <c r="HLK197" s="360"/>
      <c r="HLL197" s="360"/>
      <c r="HLM197" s="360"/>
      <c r="HLN197" s="360"/>
      <c r="HLO197" s="360"/>
      <c r="HLP197" s="360"/>
      <c r="HLQ197" s="360"/>
      <c r="HLR197" s="360"/>
      <c r="HLS197" s="360"/>
      <c r="HLT197" s="360"/>
      <c r="HLU197" s="360"/>
      <c r="HLV197" s="360"/>
      <c r="HLW197" s="360"/>
      <c r="HLX197" s="360"/>
      <c r="HLY197" s="360"/>
      <c r="HLZ197" s="360"/>
      <c r="HMA197" s="360"/>
      <c r="HMB197" s="360"/>
      <c r="HMC197" s="360"/>
      <c r="HMD197" s="360"/>
      <c r="HME197" s="360"/>
      <c r="HMF197" s="360"/>
      <c r="HMG197" s="360"/>
      <c r="HMH197" s="360"/>
      <c r="HMI197" s="360"/>
      <c r="HMJ197" s="360"/>
      <c r="HMK197" s="360"/>
      <c r="HML197" s="360"/>
      <c r="HMM197" s="360"/>
      <c r="HMN197" s="360"/>
      <c r="HMO197" s="360"/>
      <c r="HMP197" s="360"/>
      <c r="HMQ197" s="360"/>
      <c r="HMR197" s="360"/>
      <c r="HMS197" s="360"/>
      <c r="HMT197" s="360"/>
      <c r="HMU197" s="360"/>
      <c r="HMV197" s="360"/>
      <c r="HMW197" s="360"/>
      <c r="HMX197" s="360"/>
      <c r="HMY197" s="360"/>
      <c r="HMZ197" s="360"/>
      <c r="HNA197" s="360"/>
      <c r="HNB197" s="360"/>
      <c r="HNC197" s="360"/>
      <c r="HND197" s="360"/>
      <c r="HNE197" s="360"/>
      <c r="HNF197" s="360"/>
      <c r="HNG197" s="360"/>
      <c r="HNH197" s="360"/>
      <c r="HNI197" s="360"/>
      <c r="HNJ197" s="360"/>
      <c r="HNK197" s="360"/>
      <c r="HNL197" s="360"/>
      <c r="HNM197" s="360"/>
      <c r="HNN197" s="360"/>
      <c r="HNO197" s="360"/>
      <c r="HNP197" s="360"/>
      <c r="HNQ197" s="360"/>
      <c r="HNR197" s="360"/>
      <c r="HNS197" s="360"/>
      <c r="HNT197" s="360"/>
      <c r="HNU197" s="360"/>
      <c r="HNV197" s="360"/>
      <c r="HNW197" s="360"/>
      <c r="HNX197" s="360"/>
      <c r="HNY197" s="360"/>
      <c r="HNZ197" s="360"/>
      <c r="HOA197" s="360"/>
      <c r="HOB197" s="360"/>
      <c r="HOC197" s="360"/>
      <c r="HOD197" s="360"/>
      <c r="HOE197" s="360"/>
      <c r="HOF197" s="360"/>
      <c r="HOG197" s="360"/>
      <c r="HOH197" s="360"/>
      <c r="HOI197" s="360"/>
      <c r="HOJ197" s="360"/>
      <c r="HOK197" s="360"/>
      <c r="HOL197" s="360"/>
      <c r="HOM197" s="360"/>
      <c r="HON197" s="360"/>
      <c r="HOO197" s="360"/>
      <c r="HOP197" s="360"/>
      <c r="HOQ197" s="360"/>
      <c r="HOR197" s="360"/>
      <c r="HOS197" s="360"/>
      <c r="HOT197" s="360"/>
      <c r="HOU197" s="360"/>
      <c r="HOV197" s="360"/>
      <c r="HOW197" s="360"/>
      <c r="HOX197" s="360"/>
      <c r="HOY197" s="360"/>
      <c r="HOZ197" s="360"/>
      <c r="HPA197" s="360"/>
      <c r="HPB197" s="360"/>
      <c r="HPC197" s="360"/>
      <c r="HPD197" s="360"/>
      <c r="HPE197" s="360"/>
      <c r="HPF197" s="360"/>
      <c r="HPG197" s="360"/>
      <c r="HPH197" s="360"/>
      <c r="HPI197" s="360"/>
      <c r="HPJ197" s="360"/>
      <c r="HPK197" s="360"/>
      <c r="HPL197" s="360"/>
      <c r="HPM197" s="360"/>
      <c r="HPN197" s="360"/>
      <c r="HPO197" s="360"/>
      <c r="HPP197" s="360"/>
      <c r="HPQ197" s="360"/>
      <c r="HPR197" s="360"/>
      <c r="HPS197" s="360"/>
      <c r="HPT197" s="360"/>
      <c r="HPU197" s="360"/>
      <c r="HPV197" s="360"/>
      <c r="HPW197" s="360"/>
      <c r="HPX197" s="360"/>
      <c r="HPY197" s="360"/>
      <c r="HPZ197" s="360"/>
      <c r="HQA197" s="360"/>
      <c r="HQB197" s="360"/>
      <c r="HQC197" s="360"/>
      <c r="HQD197" s="360"/>
      <c r="HQE197" s="360"/>
      <c r="HQF197" s="360"/>
      <c r="HQG197" s="360"/>
      <c r="HQH197" s="360"/>
      <c r="HQI197" s="360"/>
      <c r="HQJ197" s="360"/>
      <c r="HQK197" s="360"/>
      <c r="HQL197" s="360"/>
      <c r="HQM197" s="360"/>
      <c r="HQN197" s="360"/>
      <c r="HQO197" s="360"/>
      <c r="HQP197" s="360"/>
      <c r="HQQ197" s="360"/>
      <c r="HQR197" s="360"/>
      <c r="HQS197" s="360"/>
      <c r="HQT197" s="360"/>
      <c r="HQU197" s="360"/>
      <c r="HQV197" s="360"/>
      <c r="HQW197" s="360"/>
      <c r="HQX197" s="360"/>
      <c r="HQY197" s="360"/>
      <c r="HQZ197" s="360"/>
      <c r="HRA197" s="360"/>
      <c r="HRB197" s="360"/>
      <c r="HRC197" s="360"/>
      <c r="HRD197" s="360"/>
      <c r="HRE197" s="360"/>
      <c r="HRF197" s="360"/>
      <c r="HRG197" s="360"/>
      <c r="HRH197" s="360"/>
      <c r="HRI197" s="360"/>
      <c r="HRJ197" s="360"/>
      <c r="HRK197" s="360"/>
      <c r="HRL197" s="360"/>
      <c r="HRM197" s="360"/>
      <c r="HRN197" s="360"/>
      <c r="HRO197" s="360"/>
      <c r="HRP197" s="360"/>
      <c r="HRQ197" s="360"/>
      <c r="HRR197" s="360"/>
      <c r="HRS197" s="360"/>
      <c r="HRT197" s="360"/>
      <c r="HRU197" s="360"/>
      <c r="HRV197" s="360"/>
      <c r="HRW197" s="360"/>
      <c r="HRX197" s="360"/>
      <c r="HRY197" s="360"/>
      <c r="HRZ197" s="360"/>
      <c r="HSA197" s="360"/>
      <c r="HSB197" s="360"/>
      <c r="HSC197" s="360"/>
      <c r="HSD197" s="360"/>
      <c r="HSE197" s="360"/>
      <c r="HSF197" s="360"/>
      <c r="HSG197" s="360"/>
      <c r="HSH197" s="360"/>
      <c r="HSI197" s="360"/>
      <c r="HSJ197" s="360"/>
      <c r="HSK197" s="360"/>
      <c r="HSL197" s="360"/>
      <c r="HSM197" s="360"/>
      <c r="HSN197" s="360"/>
      <c r="HSO197" s="360"/>
      <c r="HSP197" s="360"/>
      <c r="HSQ197" s="360"/>
      <c r="HSR197" s="360"/>
      <c r="HSS197" s="360"/>
      <c r="HST197" s="360"/>
      <c r="HSU197" s="360"/>
      <c r="HSV197" s="360"/>
      <c r="HSW197" s="360"/>
      <c r="HSX197" s="360"/>
      <c r="HSY197" s="360"/>
      <c r="HSZ197" s="360"/>
      <c r="HTA197" s="360"/>
      <c r="HTB197" s="360"/>
      <c r="HTC197" s="360"/>
      <c r="HTD197" s="360"/>
      <c r="HTE197" s="360"/>
      <c r="HTF197" s="360"/>
      <c r="HTG197" s="360"/>
      <c r="HTH197" s="360"/>
      <c r="HTI197" s="360"/>
      <c r="HTJ197" s="360"/>
      <c r="HTK197" s="360"/>
      <c r="HTL197" s="360"/>
      <c r="HTM197" s="360"/>
      <c r="HTN197" s="360"/>
      <c r="HTO197" s="360"/>
      <c r="HTP197" s="360"/>
      <c r="HTQ197" s="360"/>
      <c r="HTR197" s="360"/>
      <c r="HTS197" s="360"/>
      <c r="HTT197" s="360"/>
      <c r="HTU197" s="360"/>
      <c r="HTV197" s="360"/>
      <c r="HTW197" s="360"/>
      <c r="HTX197" s="360"/>
      <c r="HTY197" s="360"/>
      <c r="HTZ197" s="360"/>
      <c r="HUA197" s="360"/>
      <c r="HUB197" s="360"/>
      <c r="HUC197" s="360"/>
      <c r="HUD197" s="360"/>
      <c r="HUE197" s="360"/>
      <c r="HUF197" s="360"/>
      <c r="HUG197" s="360"/>
      <c r="HUH197" s="360"/>
      <c r="HUI197" s="360"/>
      <c r="HUJ197" s="360"/>
      <c r="HUK197" s="360"/>
      <c r="HUL197" s="360"/>
      <c r="HUM197" s="360"/>
      <c r="HUN197" s="360"/>
      <c r="HUO197" s="360"/>
      <c r="HUP197" s="360"/>
      <c r="HUQ197" s="360"/>
      <c r="HUR197" s="360"/>
      <c r="HUS197" s="360"/>
      <c r="HUT197" s="360"/>
      <c r="HUU197" s="360"/>
      <c r="HUV197" s="360"/>
      <c r="HUW197" s="360"/>
      <c r="HUX197" s="360"/>
      <c r="HUY197" s="360"/>
      <c r="HUZ197" s="360"/>
      <c r="HVA197" s="360"/>
      <c r="HVB197" s="360"/>
      <c r="HVC197" s="360"/>
      <c r="HVD197" s="360"/>
      <c r="HVE197" s="360"/>
      <c r="HVF197" s="360"/>
      <c r="HVG197" s="360"/>
      <c r="HVH197" s="360"/>
      <c r="HVI197" s="360"/>
      <c r="HVJ197" s="360"/>
      <c r="HVK197" s="360"/>
      <c r="HVL197" s="360"/>
      <c r="HVM197" s="360"/>
      <c r="HVN197" s="360"/>
      <c r="HVO197" s="360"/>
      <c r="HVP197" s="360"/>
      <c r="HVQ197" s="360"/>
      <c r="HVR197" s="360"/>
      <c r="HVS197" s="360"/>
      <c r="HVT197" s="360"/>
      <c r="HVU197" s="360"/>
      <c r="HVV197" s="360"/>
      <c r="HVW197" s="360"/>
      <c r="HVX197" s="360"/>
      <c r="HVY197" s="360"/>
      <c r="HVZ197" s="360"/>
      <c r="HWA197" s="360"/>
      <c r="HWB197" s="360"/>
      <c r="HWC197" s="360"/>
      <c r="HWD197" s="360"/>
      <c r="HWE197" s="360"/>
      <c r="HWF197" s="360"/>
      <c r="HWG197" s="360"/>
      <c r="HWH197" s="360"/>
      <c r="HWI197" s="360"/>
      <c r="HWJ197" s="360"/>
      <c r="HWK197" s="360"/>
      <c r="HWL197" s="360"/>
      <c r="HWM197" s="360"/>
      <c r="HWN197" s="360"/>
      <c r="HWO197" s="360"/>
      <c r="HWP197" s="360"/>
      <c r="HWQ197" s="360"/>
      <c r="HWR197" s="360"/>
      <c r="HWS197" s="360"/>
      <c r="HWT197" s="360"/>
      <c r="HWU197" s="360"/>
      <c r="HWV197" s="360"/>
      <c r="HWW197" s="360"/>
      <c r="HWX197" s="360"/>
      <c r="HWY197" s="360"/>
      <c r="HWZ197" s="360"/>
      <c r="HXA197" s="360"/>
      <c r="HXB197" s="360"/>
      <c r="HXC197" s="360"/>
      <c r="HXD197" s="360"/>
      <c r="HXE197" s="360"/>
      <c r="HXF197" s="360"/>
      <c r="HXG197" s="360"/>
      <c r="HXH197" s="360"/>
      <c r="HXI197" s="360"/>
      <c r="HXJ197" s="360"/>
      <c r="HXK197" s="360"/>
      <c r="HXL197" s="360"/>
      <c r="HXM197" s="360"/>
      <c r="HXN197" s="360"/>
      <c r="HXO197" s="360"/>
      <c r="HXP197" s="360"/>
      <c r="HXQ197" s="360"/>
      <c r="HXR197" s="360"/>
      <c r="HXS197" s="360"/>
      <c r="HXT197" s="360"/>
      <c r="HXU197" s="360"/>
      <c r="HXV197" s="360"/>
      <c r="HXW197" s="360"/>
      <c r="HXX197" s="360"/>
      <c r="HXY197" s="360"/>
      <c r="HXZ197" s="360"/>
      <c r="HYA197" s="360"/>
      <c r="HYB197" s="360"/>
      <c r="HYC197" s="360"/>
      <c r="HYD197" s="360"/>
      <c r="HYE197" s="360"/>
      <c r="HYF197" s="360"/>
      <c r="HYG197" s="360"/>
      <c r="HYH197" s="360"/>
      <c r="HYI197" s="360"/>
      <c r="HYJ197" s="360"/>
      <c r="HYK197" s="360"/>
      <c r="HYL197" s="360"/>
      <c r="HYM197" s="360"/>
      <c r="HYN197" s="360"/>
      <c r="HYO197" s="360"/>
      <c r="HYP197" s="360"/>
      <c r="HYQ197" s="360"/>
      <c r="HYR197" s="360"/>
      <c r="HYS197" s="360"/>
      <c r="HYT197" s="360"/>
      <c r="HYU197" s="360"/>
      <c r="HYV197" s="360"/>
      <c r="HYW197" s="360"/>
      <c r="HYX197" s="360"/>
      <c r="HYY197" s="360"/>
      <c r="HYZ197" s="360"/>
      <c r="HZA197" s="360"/>
      <c r="HZB197" s="360"/>
      <c r="HZC197" s="360"/>
      <c r="HZD197" s="360"/>
      <c r="HZE197" s="360"/>
      <c r="HZF197" s="360"/>
      <c r="HZG197" s="360"/>
      <c r="HZH197" s="360"/>
      <c r="HZI197" s="360"/>
      <c r="HZJ197" s="360"/>
      <c r="HZK197" s="360"/>
      <c r="HZL197" s="360"/>
      <c r="HZM197" s="360"/>
      <c r="HZN197" s="360"/>
      <c r="HZO197" s="360"/>
      <c r="HZP197" s="360"/>
      <c r="HZQ197" s="360"/>
      <c r="HZR197" s="360"/>
      <c r="HZS197" s="360"/>
      <c r="HZT197" s="360"/>
      <c r="HZU197" s="360"/>
      <c r="HZV197" s="360"/>
      <c r="HZW197" s="360"/>
      <c r="HZX197" s="360"/>
      <c r="HZY197" s="360"/>
      <c r="HZZ197" s="360"/>
      <c r="IAA197" s="360"/>
      <c r="IAB197" s="360"/>
      <c r="IAC197" s="360"/>
      <c r="IAD197" s="360"/>
      <c r="IAE197" s="360"/>
      <c r="IAF197" s="360"/>
      <c r="IAG197" s="360"/>
      <c r="IAH197" s="360"/>
      <c r="IAI197" s="360"/>
      <c r="IAJ197" s="360"/>
      <c r="IAK197" s="360"/>
      <c r="IAL197" s="360"/>
      <c r="IAM197" s="360"/>
      <c r="IAN197" s="360"/>
      <c r="IAO197" s="360"/>
      <c r="IAP197" s="360"/>
      <c r="IAQ197" s="360"/>
      <c r="IAR197" s="360"/>
      <c r="IAS197" s="360"/>
      <c r="IAT197" s="360"/>
      <c r="IAU197" s="360"/>
      <c r="IAV197" s="360"/>
      <c r="IAW197" s="360"/>
      <c r="IAX197" s="360"/>
      <c r="IAY197" s="360"/>
      <c r="IAZ197" s="360"/>
      <c r="IBA197" s="360"/>
      <c r="IBB197" s="360"/>
      <c r="IBC197" s="360"/>
      <c r="IBD197" s="360"/>
      <c r="IBE197" s="360"/>
      <c r="IBF197" s="360"/>
      <c r="IBG197" s="360"/>
      <c r="IBH197" s="360"/>
      <c r="IBI197" s="360"/>
      <c r="IBJ197" s="360"/>
      <c r="IBK197" s="360"/>
      <c r="IBL197" s="360"/>
      <c r="IBM197" s="360"/>
      <c r="IBN197" s="360"/>
      <c r="IBO197" s="360"/>
      <c r="IBP197" s="360"/>
      <c r="IBQ197" s="360"/>
      <c r="IBR197" s="360"/>
      <c r="IBS197" s="360"/>
      <c r="IBT197" s="360"/>
      <c r="IBU197" s="360"/>
      <c r="IBV197" s="360"/>
      <c r="IBW197" s="360"/>
      <c r="IBX197" s="360"/>
      <c r="IBY197" s="360"/>
      <c r="IBZ197" s="360"/>
      <c r="ICA197" s="360"/>
      <c r="ICB197" s="360"/>
      <c r="ICC197" s="360"/>
      <c r="ICD197" s="360"/>
      <c r="ICE197" s="360"/>
      <c r="ICF197" s="360"/>
      <c r="ICG197" s="360"/>
      <c r="ICH197" s="360"/>
      <c r="ICI197" s="360"/>
      <c r="ICJ197" s="360"/>
      <c r="ICK197" s="360"/>
      <c r="ICL197" s="360"/>
      <c r="ICM197" s="360"/>
      <c r="ICN197" s="360"/>
      <c r="ICO197" s="360"/>
      <c r="ICP197" s="360"/>
      <c r="ICQ197" s="360"/>
      <c r="ICR197" s="360"/>
      <c r="ICS197" s="360"/>
      <c r="ICT197" s="360"/>
      <c r="ICU197" s="360"/>
      <c r="ICV197" s="360"/>
      <c r="ICW197" s="360"/>
      <c r="ICX197" s="360"/>
      <c r="ICY197" s="360"/>
      <c r="ICZ197" s="360"/>
      <c r="IDA197" s="360"/>
      <c r="IDB197" s="360"/>
      <c r="IDC197" s="360"/>
      <c r="IDD197" s="360"/>
      <c r="IDE197" s="360"/>
      <c r="IDF197" s="360"/>
      <c r="IDG197" s="360"/>
      <c r="IDH197" s="360"/>
      <c r="IDI197" s="360"/>
      <c r="IDJ197" s="360"/>
      <c r="IDK197" s="360"/>
      <c r="IDL197" s="360"/>
      <c r="IDM197" s="360"/>
      <c r="IDN197" s="360"/>
      <c r="IDO197" s="360"/>
      <c r="IDP197" s="360"/>
      <c r="IDQ197" s="360"/>
      <c r="IDR197" s="360"/>
      <c r="IDS197" s="360"/>
      <c r="IDT197" s="360"/>
      <c r="IDU197" s="360"/>
      <c r="IDV197" s="360"/>
      <c r="IDW197" s="360"/>
      <c r="IDX197" s="360"/>
      <c r="IDY197" s="360"/>
      <c r="IDZ197" s="360"/>
      <c r="IEA197" s="360"/>
      <c r="IEB197" s="360"/>
      <c r="IEC197" s="360"/>
      <c r="IED197" s="360"/>
      <c r="IEE197" s="360"/>
      <c r="IEF197" s="360"/>
      <c r="IEG197" s="360"/>
      <c r="IEH197" s="360"/>
      <c r="IEI197" s="360"/>
      <c r="IEJ197" s="360"/>
      <c r="IEK197" s="360"/>
      <c r="IEL197" s="360"/>
      <c r="IEM197" s="360"/>
      <c r="IEN197" s="360"/>
      <c r="IEO197" s="360"/>
      <c r="IEP197" s="360"/>
      <c r="IEQ197" s="360"/>
      <c r="IER197" s="360"/>
      <c r="IES197" s="360"/>
      <c r="IET197" s="360"/>
      <c r="IEU197" s="360"/>
      <c r="IEV197" s="360"/>
      <c r="IEW197" s="360"/>
      <c r="IEX197" s="360"/>
      <c r="IEY197" s="360"/>
      <c r="IEZ197" s="360"/>
      <c r="IFA197" s="360"/>
      <c r="IFB197" s="360"/>
      <c r="IFC197" s="360"/>
      <c r="IFD197" s="360"/>
      <c r="IFE197" s="360"/>
      <c r="IFF197" s="360"/>
      <c r="IFG197" s="360"/>
      <c r="IFH197" s="360"/>
      <c r="IFI197" s="360"/>
      <c r="IFJ197" s="360"/>
      <c r="IFK197" s="360"/>
      <c r="IFL197" s="360"/>
      <c r="IFM197" s="360"/>
      <c r="IFN197" s="360"/>
      <c r="IFO197" s="360"/>
      <c r="IFP197" s="360"/>
      <c r="IFQ197" s="360"/>
      <c r="IFR197" s="360"/>
      <c r="IFS197" s="360"/>
      <c r="IFT197" s="360"/>
      <c r="IFU197" s="360"/>
      <c r="IFV197" s="360"/>
      <c r="IFW197" s="360"/>
      <c r="IFX197" s="360"/>
      <c r="IFY197" s="360"/>
      <c r="IFZ197" s="360"/>
      <c r="IGA197" s="360"/>
      <c r="IGB197" s="360"/>
      <c r="IGC197" s="360"/>
      <c r="IGD197" s="360"/>
      <c r="IGE197" s="360"/>
      <c r="IGF197" s="360"/>
      <c r="IGG197" s="360"/>
      <c r="IGH197" s="360"/>
      <c r="IGI197" s="360"/>
      <c r="IGJ197" s="360"/>
      <c r="IGK197" s="360"/>
      <c r="IGL197" s="360"/>
      <c r="IGM197" s="360"/>
      <c r="IGN197" s="360"/>
      <c r="IGO197" s="360"/>
      <c r="IGP197" s="360"/>
      <c r="IGQ197" s="360"/>
      <c r="IGR197" s="360"/>
      <c r="IGS197" s="360"/>
      <c r="IGT197" s="360"/>
      <c r="IGU197" s="360"/>
      <c r="IGV197" s="360"/>
      <c r="IGW197" s="360"/>
      <c r="IGX197" s="360"/>
      <c r="IGY197" s="360"/>
      <c r="IGZ197" s="360"/>
      <c r="IHA197" s="360"/>
      <c r="IHB197" s="360"/>
      <c r="IHC197" s="360"/>
      <c r="IHD197" s="360"/>
      <c r="IHE197" s="360"/>
      <c r="IHF197" s="360"/>
      <c r="IHG197" s="360"/>
      <c r="IHH197" s="360"/>
      <c r="IHI197" s="360"/>
      <c r="IHJ197" s="360"/>
      <c r="IHK197" s="360"/>
      <c r="IHL197" s="360"/>
      <c r="IHM197" s="360"/>
      <c r="IHN197" s="360"/>
      <c r="IHO197" s="360"/>
      <c r="IHP197" s="360"/>
      <c r="IHQ197" s="360"/>
      <c r="IHR197" s="360"/>
      <c r="IHS197" s="360"/>
      <c r="IHT197" s="360"/>
      <c r="IHU197" s="360"/>
      <c r="IHV197" s="360"/>
      <c r="IHW197" s="360"/>
      <c r="IHX197" s="360"/>
      <c r="IHY197" s="360"/>
      <c r="IHZ197" s="360"/>
      <c r="IIA197" s="360"/>
      <c r="IIB197" s="360"/>
      <c r="IIC197" s="360"/>
      <c r="IID197" s="360"/>
      <c r="IIE197" s="360"/>
      <c r="IIF197" s="360"/>
      <c r="IIG197" s="360"/>
      <c r="IIH197" s="360"/>
      <c r="III197" s="360"/>
      <c r="IIJ197" s="360"/>
      <c r="IIK197" s="360"/>
      <c r="IIL197" s="360"/>
      <c r="IIM197" s="360"/>
      <c r="IIN197" s="360"/>
      <c r="IIO197" s="360"/>
      <c r="IIP197" s="360"/>
      <c r="IIQ197" s="360"/>
      <c r="IIR197" s="360"/>
      <c r="IIS197" s="360"/>
      <c r="IIT197" s="360"/>
      <c r="IIU197" s="360"/>
      <c r="IIV197" s="360"/>
      <c r="IIW197" s="360"/>
      <c r="IIX197" s="360"/>
      <c r="IIY197" s="360"/>
      <c r="IIZ197" s="360"/>
      <c r="IJA197" s="360"/>
      <c r="IJB197" s="360"/>
      <c r="IJC197" s="360"/>
      <c r="IJD197" s="360"/>
      <c r="IJE197" s="360"/>
      <c r="IJF197" s="360"/>
      <c r="IJG197" s="360"/>
      <c r="IJH197" s="360"/>
      <c r="IJI197" s="360"/>
      <c r="IJJ197" s="360"/>
      <c r="IJK197" s="360"/>
      <c r="IJL197" s="360"/>
      <c r="IJM197" s="360"/>
      <c r="IJN197" s="360"/>
      <c r="IJO197" s="360"/>
      <c r="IJP197" s="360"/>
      <c r="IJQ197" s="360"/>
      <c r="IJR197" s="360"/>
      <c r="IJS197" s="360"/>
      <c r="IJT197" s="360"/>
      <c r="IJU197" s="360"/>
      <c r="IJV197" s="360"/>
      <c r="IJW197" s="360"/>
      <c r="IJX197" s="360"/>
      <c r="IJY197" s="360"/>
      <c r="IJZ197" s="360"/>
      <c r="IKA197" s="360"/>
      <c r="IKB197" s="360"/>
      <c r="IKC197" s="360"/>
      <c r="IKD197" s="360"/>
      <c r="IKE197" s="360"/>
      <c r="IKF197" s="360"/>
      <c r="IKG197" s="360"/>
      <c r="IKH197" s="360"/>
      <c r="IKI197" s="360"/>
      <c r="IKJ197" s="360"/>
      <c r="IKK197" s="360"/>
      <c r="IKL197" s="360"/>
      <c r="IKM197" s="360"/>
      <c r="IKN197" s="360"/>
      <c r="IKO197" s="360"/>
      <c r="IKP197" s="360"/>
      <c r="IKQ197" s="360"/>
      <c r="IKR197" s="360"/>
      <c r="IKS197" s="360"/>
      <c r="IKT197" s="360"/>
      <c r="IKU197" s="360"/>
      <c r="IKV197" s="360"/>
      <c r="IKW197" s="360"/>
      <c r="IKX197" s="360"/>
      <c r="IKY197" s="360"/>
      <c r="IKZ197" s="360"/>
      <c r="ILA197" s="360"/>
      <c r="ILB197" s="360"/>
      <c r="ILC197" s="360"/>
      <c r="ILD197" s="360"/>
      <c r="ILE197" s="360"/>
      <c r="ILF197" s="360"/>
      <c r="ILG197" s="360"/>
      <c r="ILH197" s="360"/>
      <c r="ILI197" s="360"/>
      <c r="ILJ197" s="360"/>
      <c r="ILK197" s="360"/>
      <c r="ILL197" s="360"/>
      <c r="ILM197" s="360"/>
      <c r="ILN197" s="360"/>
      <c r="ILO197" s="360"/>
      <c r="ILP197" s="360"/>
      <c r="ILQ197" s="360"/>
      <c r="ILR197" s="360"/>
      <c r="ILS197" s="360"/>
      <c r="ILT197" s="360"/>
      <c r="ILU197" s="360"/>
      <c r="ILV197" s="360"/>
      <c r="ILW197" s="360"/>
      <c r="ILX197" s="360"/>
      <c r="ILY197" s="360"/>
      <c r="ILZ197" s="360"/>
      <c r="IMA197" s="360"/>
      <c r="IMB197" s="360"/>
      <c r="IMC197" s="360"/>
      <c r="IMD197" s="360"/>
      <c r="IME197" s="360"/>
      <c r="IMF197" s="360"/>
      <c r="IMG197" s="360"/>
      <c r="IMH197" s="360"/>
      <c r="IMI197" s="360"/>
      <c r="IMJ197" s="360"/>
      <c r="IMK197" s="360"/>
      <c r="IML197" s="360"/>
      <c r="IMM197" s="360"/>
      <c r="IMN197" s="360"/>
      <c r="IMO197" s="360"/>
      <c r="IMP197" s="360"/>
      <c r="IMQ197" s="360"/>
      <c r="IMR197" s="360"/>
      <c r="IMS197" s="360"/>
      <c r="IMT197" s="360"/>
      <c r="IMU197" s="360"/>
      <c r="IMV197" s="360"/>
      <c r="IMW197" s="360"/>
      <c r="IMX197" s="360"/>
      <c r="IMY197" s="360"/>
      <c r="IMZ197" s="360"/>
      <c r="INA197" s="360"/>
      <c r="INB197" s="360"/>
      <c r="INC197" s="360"/>
      <c r="IND197" s="360"/>
      <c r="INE197" s="360"/>
      <c r="INF197" s="360"/>
      <c r="ING197" s="360"/>
      <c r="INH197" s="360"/>
      <c r="INI197" s="360"/>
      <c r="INJ197" s="360"/>
      <c r="INK197" s="360"/>
      <c r="INL197" s="360"/>
      <c r="INM197" s="360"/>
      <c r="INN197" s="360"/>
      <c r="INO197" s="360"/>
      <c r="INP197" s="360"/>
      <c r="INQ197" s="360"/>
      <c r="INR197" s="360"/>
      <c r="INS197" s="360"/>
      <c r="INT197" s="360"/>
      <c r="INU197" s="360"/>
      <c r="INV197" s="360"/>
      <c r="INW197" s="360"/>
      <c r="INX197" s="360"/>
      <c r="INY197" s="360"/>
      <c r="INZ197" s="360"/>
      <c r="IOA197" s="360"/>
      <c r="IOB197" s="360"/>
      <c r="IOC197" s="360"/>
      <c r="IOD197" s="360"/>
      <c r="IOE197" s="360"/>
      <c r="IOF197" s="360"/>
      <c r="IOG197" s="360"/>
      <c r="IOH197" s="360"/>
      <c r="IOI197" s="360"/>
      <c r="IOJ197" s="360"/>
      <c r="IOK197" s="360"/>
      <c r="IOL197" s="360"/>
      <c r="IOM197" s="360"/>
      <c r="ION197" s="360"/>
      <c r="IOO197" s="360"/>
      <c r="IOP197" s="360"/>
      <c r="IOQ197" s="360"/>
      <c r="IOR197" s="360"/>
      <c r="IOS197" s="360"/>
      <c r="IOT197" s="360"/>
      <c r="IOU197" s="360"/>
      <c r="IOV197" s="360"/>
      <c r="IOW197" s="360"/>
      <c r="IOX197" s="360"/>
      <c r="IOY197" s="360"/>
      <c r="IOZ197" s="360"/>
      <c r="IPA197" s="360"/>
      <c r="IPB197" s="360"/>
      <c r="IPC197" s="360"/>
      <c r="IPD197" s="360"/>
      <c r="IPE197" s="360"/>
      <c r="IPF197" s="360"/>
      <c r="IPG197" s="360"/>
      <c r="IPH197" s="360"/>
      <c r="IPI197" s="360"/>
      <c r="IPJ197" s="360"/>
      <c r="IPK197" s="360"/>
      <c r="IPL197" s="360"/>
      <c r="IPM197" s="360"/>
      <c r="IPN197" s="360"/>
      <c r="IPO197" s="360"/>
      <c r="IPP197" s="360"/>
      <c r="IPQ197" s="360"/>
      <c r="IPR197" s="360"/>
      <c r="IPS197" s="360"/>
      <c r="IPT197" s="360"/>
      <c r="IPU197" s="360"/>
      <c r="IPV197" s="360"/>
      <c r="IPW197" s="360"/>
      <c r="IPX197" s="360"/>
      <c r="IPY197" s="360"/>
      <c r="IPZ197" s="360"/>
      <c r="IQA197" s="360"/>
      <c r="IQB197" s="360"/>
      <c r="IQC197" s="360"/>
      <c r="IQD197" s="360"/>
      <c r="IQE197" s="360"/>
      <c r="IQF197" s="360"/>
      <c r="IQG197" s="360"/>
      <c r="IQH197" s="360"/>
      <c r="IQI197" s="360"/>
      <c r="IQJ197" s="360"/>
      <c r="IQK197" s="360"/>
      <c r="IQL197" s="360"/>
      <c r="IQM197" s="360"/>
      <c r="IQN197" s="360"/>
      <c r="IQO197" s="360"/>
      <c r="IQP197" s="360"/>
      <c r="IQQ197" s="360"/>
      <c r="IQR197" s="360"/>
      <c r="IQS197" s="360"/>
      <c r="IQT197" s="360"/>
      <c r="IQU197" s="360"/>
      <c r="IQV197" s="360"/>
      <c r="IQW197" s="360"/>
      <c r="IQX197" s="360"/>
      <c r="IQY197" s="360"/>
      <c r="IQZ197" s="360"/>
      <c r="IRA197" s="360"/>
      <c r="IRB197" s="360"/>
      <c r="IRC197" s="360"/>
      <c r="IRD197" s="360"/>
      <c r="IRE197" s="360"/>
      <c r="IRF197" s="360"/>
      <c r="IRG197" s="360"/>
      <c r="IRH197" s="360"/>
      <c r="IRI197" s="360"/>
      <c r="IRJ197" s="360"/>
      <c r="IRK197" s="360"/>
      <c r="IRL197" s="360"/>
      <c r="IRM197" s="360"/>
      <c r="IRN197" s="360"/>
      <c r="IRO197" s="360"/>
      <c r="IRP197" s="360"/>
      <c r="IRQ197" s="360"/>
      <c r="IRR197" s="360"/>
      <c r="IRS197" s="360"/>
      <c r="IRT197" s="360"/>
      <c r="IRU197" s="360"/>
      <c r="IRV197" s="360"/>
      <c r="IRW197" s="360"/>
      <c r="IRX197" s="360"/>
      <c r="IRY197" s="360"/>
      <c r="IRZ197" s="360"/>
      <c r="ISA197" s="360"/>
      <c r="ISB197" s="360"/>
      <c r="ISC197" s="360"/>
      <c r="ISD197" s="360"/>
      <c r="ISE197" s="360"/>
      <c r="ISF197" s="360"/>
      <c r="ISG197" s="360"/>
      <c r="ISH197" s="360"/>
      <c r="ISI197" s="360"/>
      <c r="ISJ197" s="360"/>
      <c r="ISK197" s="360"/>
      <c r="ISL197" s="360"/>
      <c r="ISM197" s="360"/>
      <c r="ISN197" s="360"/>
      <c r="ISO197" s="360"/>
      <c r="ISP197" s="360"/>
      <c r="ISQ197" s="360"/>
      <c r="ISR197" s="360"/>
      <c r="ISS197" s="360"/>
      <c r="IST197" s="360"/>
      <c r="ISU197" s="360"/>
      <c r="ISV197" s="360"/>
      <c r="ISW197" s="360"/>
      <c r="ISX197" s="360"/>
      <c r="ISY197" s="360"/>
      <c r="ISZ197" s="360"/>
      <c r="ITA197" s="360"/>
      <c r="ITB197" s="360"/>
      <c r="ITC197" s="360"/>
      <c r="ITD197" s="360"/>
      <c r="ITE197" s="360"/>
      <c r="ITF197" s="360"/>
      <c r="ITG197" s="360"/>
      <c r="ITH197" s="360"/>
      <c r="ITI197" s="360"/>
      <c r="ITJ197" s="360"/>
      <c r="ITK197" s="360"/>
      <c r="ITL197" s="360"/>
      <c r="ITM197" s="360"/>
      <c r="ITN197" s="360"/>
      <c r="ITO197" s="360"/>
      <c r="ITP197" s="360"/>
      <c r="ITQ197" s="360"/>
      <c r="ITR197" s="360"/>
      <c r="ITS197" s="360"/>
      <c r="ITT197" s="360"/>
      <c r="ITU197" s="360"/>
      <c r="ITV197" s="360"/>
      <c r="ITW197" s="360"/>
      <c r="ITX197" s="360"/>
      <c r="ITY197" s="360"/>
      <c r="ITZ197" s="360"/>
      <c r="IUA197" s="360"/>
      <c r="IUB197" s="360"/>
      <c r="IUC197" s="360"/>
      <c r="IUD197" s="360"/>
      <c r="IUE197" s="360"/>
      <c r="IUF197" s="360"/>
      <c r="IUG197" s="360"/>
      <c r="IUH197" s="360"/>
      <c r="IUI197" s="360"/>
      <c r="IUJ197" s="360"/>
      <c r="IUK197" s="360"/>
      <c r="IUL197" s="360"/>
      <c r="IUM197" s="360"/>
      <c r="IUN197" s="360"/>
      <c r="IUO197" s="360"/>
      <c r="IUP197" s="360"/>
      <c r="IUQ197" s="360"/>
      <c r="IUR197" s="360"/>
      <c r="IUS197" s="360"/>
      <c r="IUT197" s="360"/>
      <c r="IUU197" s="360"/>
      <c r="IUV197" s="360"/>
      <c r="IUW197" s="360"/>
      <c r="IUX197" s="360"/>
      <c r="IUY197" s="360"/>
      <c r="IUZ197" s="360"/>
      <c r="IVA197" s="360"/>
      <c r="IVB197" s="360"/>
      <c r="IVC197" s="360"/>
      <c r="IVD197" s="360"/>
      <c r="IVE197" s="360"/>
      <c r="IVF197" s="360"/>
      <c r="IVG197" s="360"/>
      <c r="IVH197" s="360"/>
      <c r="IVI197" s="360"/>
      <c r="IVJ197" s="360"/>
      <c r="IVK197" s="360"/>
      <c r="IVL197" s="360"/>
      <c r="IVM197" s="360"/>
      <c r="IVN197" s="360"/>
      <c r="IVO197" s="360"/>
      <c r="IVP197" s="360"/>
      <c r="IVQ197" s="360"/>
      <c r="IVR197" s="360"/>
      <c r="IVS197" s="360"/>
      <c r="IVT197" s="360"/>
      <c r="IVU197" s="360"/>
      <c r="IVV197" s="360"/>
      <c r="IVW197" s="360"/>
      <c r="IVX197" s="360"/>
      <c r="IVY197" s="360"/>
      <c r="IVZ197" s="360"/>
      <c r="IWA197" s="360"/>
      <c r="IWB197" s="360"/>
      <c r="IWC197" s="360"/>
      <c r="IWD197" s="360"/>
      <c r="IWE197" s="360"/>
      <c r="IWF197" s="360"/>
      <c r="IWG197" s="360"/>
      <c r="IWH197" s="360"/>
      <c r="IWI197" s="360"/>
      <c r="IWJ197" s="360"/>
      <c r="IWK197" s="360"/>
      <c r="IWL197" s="360"/>
      <c r="IWM197" s="360"/>
      <c r="IWN197" s="360"/>
      <c r="IWO197" s="360"/>
      <c r="IWP197" s="360"/>
      <c r="IWQ197" s="360"/>
      <c r="IWR197" s="360"/>
      <c r="IWS197" s="360"/>
      <c r="IWT197" s="360"/>
      <c r="IWU197" s="360"/>
      <c r="IWV197" s="360"/>
      <c r="IWW197" s="360"/>
      <c r="IWX197" s="360"/>
      <c r="IWY197" s="360"/>
      <c r="IWZ197" s="360"/>
      <c r="IXA197" s="360"/>
      <c r="IXB197" s="360"/>
      <c r="IXC197" s="360"/>
      <c r="IXD197" s="360"/>
      <c r="IXE197" s="360"/>
      <c r="IXF197" s="360"/>
      <c r="IXG197" s="360"/>
      <c r="IXH197" s="360"/>
      <c r="IXI197" s="360"/>
      <c r="IXJ197" s="360"/>
      <c r="IXK197" s="360"/>
      <c r="IXL197" s="360"/>
      <c r="IXM197" s="360"/>
      <c r="IXN197" s="360"/>
      <c r="IXO197" s="360"/>
      <c r="IXP197" s="360"/>
      <c r="IXQ197" s="360"/>
      <c r="IXR197" s="360"/>
      <c r="IXS197" s="360"/>
      <c r="IXT197" s="360"/>
      <c r="IXU197" s="360"/>
      <c r="IXV197" s="360"/>
      <c r="IXW197" s="360"/>
      <c r="IXX197" s="360"/>
      <c r="IXY197" s="360"/>
      <c r="IXZ197" s="360"/>
      <c r="IYA197" s="360"/>
      <c r="IYB197" s="360"/>
      <c r="IYC197" s="360"/>
      <c r="IYD197" s="360"/>
      <c r="IYE197" s="360"/>
      <c r="IYF197" s="360"/>
      <c r="IYG197" s="360"/>
      <c r="IYH197" s="360"/>
      <c r="IYI197" s="360"/>
      <c r="IYJ197" s="360"/>
      <c r="IYK197" s="360"/>
      <c r="IYL197" s="360"/>
      <c r="IYM197" s="360"/>
      <c r="IYN197" s="360"/>
      <c r="IYO197" s="360"/>
      <c r="IYP197" s="360"/>
      <c r="IYQ197" s="360"/>
      <c r="IYR197" s="360"/>
      <c r="IYS197" s="360"/>
      <c r="IYT197" s="360"/>
      <c r="IYU197" s="360"/>
      <c r="IYV197" s="360"/>
      <c r="IYW197" s="360"/>
      <c r="IYX197" s="360"/>
      <c r="IYY197" s="360"/>
      <c r="IYZ197" s="360"/>
      <c r="IZA197" s="360"/>
      <c r="IZB197" s="360"/>
      <c r="IZC197" s="360"/>
      <c r="IZD197" s="360"/>
      <c r="IZE197" s="360"/>
      <c r="IZF197" s="360"/>
      <c r="IZG197" s="360"/>
      <c r="IZH197" s="360"/>
      <c r="IZI197" s="360"/>
      <c r="IZJ197" s="360"/>
      <c r="IZK197" s="360"/>
      <c r="IZL197" s="360"/>
      <c r="IZM197" s="360"/>
      <c r="IZN197" s="360"/>
      <c r="IZO197" s="360"/>
      <c r="IZP197" s="360"/>
      <c r="IZQ197" s="360"/>
      <c r="IZR197" s="360"/>
      <c r="IZS197" s="360"/>
      <c r="IZT197" s="360"/>
      <c r="IZU197" s="360"/>
      <c r="IZV197" s="360"/>
      <c r="IZW197" s="360"/>
      <c r="IZX197" s="360"/>
      <c r="IZY197" s="360"/>
      <c r="IZZ197" s="360"/>
      <c r="JAA197" s="360"/>
      <c r="JAB197" s="360"/>
      <c r="JAC197" s="360"/>
      <c r="JAD197" s="360"/>
      <c r="JAE197" s="360"/>
      <c r="JAF197" s="360"/>
      <c r="JAG197" s="360"/>
      <c r="JAH197" s="360"/>
      <c r="JAI197" s="360"/>
      <c r="JAJ197" s="360"/>
      <c r="JAK197" s="360"/>
      <c r="JAL197" s="360"/>
      <c r="JAM197" s="360"/>
      <c r="JAN197" s="360"/>
      <c r="JAO197" s="360"/>
      <c r="JAP197" s="360"/>
      <c r="JAQ197" s="360"/>
      <c r="JAR197" s="360"/>
      <c r="JAS197" s="360"/>
      <c r="JAT197" s="360"/>
      <c r="JAU197" s="360"/>
      <c r="JAV197" s="360"/>
      <c r="JAW197" s="360"/>
      <c r="JAX197" s="360"/>
      <c r="JAY197" s="360"/>
      <c r="JAZ197" s="360"/>
      <c r="JBA197" s="360"/>
      <c r="JBB197" s="360"/>
      <c r="JBC197" s="360"/>
      <c r="JBD197" s="360"/>
      <c r="JBE197" s="360"/>
      <c r="JBF197" s="360"/>
      <c r="JBG197" s="360"/>
      <c r="JBH197" s="360"/>
      <c r="JBI197" s="360"/>
      <c r="JBJ197" s="360"/>
      <c r="JBK197" s="360"/>
      <c r="JBL197" s="360"/>
      <c r="JBM197" s="360"/>
      <c r="JBN197" s="360"/>
      <c r="JBO197" s="360"/>
      <c r="JBP197" s="360"/>
      <c r="JBQ197" s="360"/>
      <c r="JBR197" s="360"/>
      <c r="JBS197" s="360"/>
      <c r="JBT197" s="360"/>
      <c r="JBU197" s="360"/>
      <c r="JBV197" s="360"/>
      <c r="JBW197" s="360"/>
      <c r="JBX197" s="360"/>
      <c r="JBY197" s="360"/>
      <c r="JBZ197" s="360"/>
      <c r="JCA197" s="360"/>
      <c r="JCB197" s="360"/>
      <c r="JCC197" s="360"/>
      <c r="JCD197" s="360"/>
      <c r="JCE197" s="360"/>
      <c r="JCF197" s="360"/>
      <c r="JCG197" s="360"/>
      <c r="JCH197" s="360"/>
      <c r="JCI197" s="360"/>
      <c r="JCJ197" s="360"/>
      <c r="JCK197" s="360"/>
      <c r="JCL197" s="360"/>
      <c r="JCM197" s="360"/>
      <c r="JCN197" s="360"/>
      <c r="JCO197" s="360"/>
      <c r="JCP197" s="360"/>
      <c r="JCQ197" s="360"/>
      <c r="JCR197" s="360"/>
      <c r="JCS197" s="360"/>
      <c r="JCT197" s="360"/>
      <c r="JCU197" s="360"/>
      <c r="JCV197" s="360"/>
      <c r="JCW197" s="360"/>
      <c r="JCX197" s="360"/>
      <c r="JCY197" s="360"/>
      <c r="JCZ197" s="360"/>
      <c r="JDA197" s="360"/>
      <c r="JDB197" s="360"/>
      <c r="JDC197" s="360"/>
      <c r="JDD197" s="360"/>
      <c r="JDE197" s="360"/>
      <c r="JDF197" s="360"/>
      <c r="JDG197" s="360"/>
      <c r="JDH197" s="360"/>
      <c r="JDI197" s="360"/>
      <c r="JDJ197" s="360"/>
      <c r="JDK197" s="360"/>
      <c r="JDL197" s="360"/>
      <c r="JDM197" s="360"/>
      <c r="JDN197" s="360"/>
      <c r="JDO197" s="360"/>
      <c r="JDP197" s="360"/>
      <c r="JDQ197" s="360"/>
      <c r="JDR197" s="360"/>
      <c r="JDS197" s="360"/>
      <c r="JDT197" s="360"/>
      <c r="JDU197" s="360"/>
      <c r="JDV197" s="360"/>
      <c r="JDW197" s="360"/>
      <c r="JDX197" s="360"/>
      <c r="JDY197" s="360"/>
      <c r="JDZ197" s="360"/>
      <c r="JEA197" s="360"/>
      <c r="JEB197" s="360"/>
      <c r="JEC197" s="360"/>
      <c r="JED197" s="360"/>
      <c r="JEE197" s="360"/>
      <c r="JEF197" s="360"/>
      <c r="JEG197" s="360"/>
      <c r="JEH197" s="360"/>
      <c r="JEI197" s="360"/>
      <c r="JEJ197" s="360"/>
      <c r="JEK197" s="360"/>
      <c r="JEL197" s="360"/>
      <c r="JEM197" s="360"/>
      <c r="JEN197" s="360"/>
      <c r="JEO197" s="360"/>
      <c r="JEP197" s="360"/>
      <c r="JEQ197" s="360"/>
      <c r="JER197" s="360"/>
      <c r="JES197" s="360"/>
      <c r="JET197" s="360"/>
      <c r="JEU197" s="360"/>
      <c r="JEV197" s="360"/>
      <c r="JEW197" s="360"/>
      <c r="JEX197" s="360"/>
      <c r="JEY197" s="360"/>
      <c r="JEZ197" s="360"/>
      <c r="JFA197" s="360"/>
      <c r="JFB197" s="360"/>
      <c r="JFC197" s="360"/>
      <c r="JFD197" s="360"/>
      <c r="JFE197" s="360"/>
      <c r="JFF197" s="360"/>
      <c r="JFG197" s="360"/>
      <c r="JFH197" s="360"/>
      <c r="JFI197" s="360"/>
      <c r="JFJ197" s="360"/>
      <c r="JFK197" s="360"/>
      <c r="JFL197" s="360"/>
      <c r="JFM197" s="360"/>
      <c r="JFN197" s="360"/>
      <c r="JFO197" s="360"/>
      <c r="JFP197" s="360"/>
      <c r="JFQ197" s="360"/>
      <c r="JFR197" s="360"/>
      <c r="JFS197" s="360"/>
      <c r="JFT197" s="360"/>
      <c r="JFU197" s="360"/>
      <c r="JFV197" s="360"/>
      <c r="JFW197" s="360"/>
      <c r="JFX197" s="360"/>
      <c r="JFY197" s="360"/>
      <c r="JFZ197" s="360"/>
      <c r="JGA197" s="360"/>
      <c r="JGB197" s="360"/>
      <c r="JGC197" s="360"/>
      <c r="JGD197" s="360"/>
      <c r="JGE197" s="360"/>
      <c r="JGF197" s="360"/>
      <c r="JGG197" s="360"/>
      <c r="JGH197" s="360"/>
      <c r="JGI197" s="360"/>
      <c r="JGJ197" s="360"/>
      <c r="JGK197" s="360"/>
      <c r="JGL197" s="360"/>
      <c r="JGM197" s="360"/>
      <c r="JGN197" s="360"/>
      <c r="JGO197" s="360"/>
      <c r="JGP197" s="360"/>
      <c r="JGQ197" s="360"/>
      <c r="JGR197" s="360"/>
      <c r="JGS197" s="360"/>
      <c r="JGT197" s="360"/>
      <c r="JGU197" s="360"/>
      <c r="JGV197" s="360"/>
      <c r="JGW197" s="360"/>
      <c r="JGX197" s="360"/>
      <c r="JGY197" s="360"/>
      <c r="JGZ197" s="360"/>
      <c r="JHA197" s="360"/>
      <c r="JHB197" s="360"/>
      <c r="JHC197" s="360"/>
      <c r="JHD197" s="360"/>
      <c r="JHE197" s="360"/>
      <c r="JHF197" s="360"/>
      <c r="JHG197" s="360"/>
      <c r="JHH197" s="360"/>
      <c r="JHI197" s="360"/>
      <c r="JHJ197" s="360"/>
      <c r="JHK197" s="360"/>
      <c r="JHL197" s="360"/>
      <c r="JHM197" s="360"/>
      <c r="JHN197" s="360"/>
      <c r="JHO197" s="360"/>
      <c r="JHP197" s="360"/>
      <c r="JHQ197" s="360"/>
      <c r="JHR197" s="360"/>
      <c r="JHS197" s="360"/>
      <c r="JHT197" s="360"/>
      <c r="JHU197" s="360"/>
      <c r="JHV197" s="360"/>
      <c r="JHW197" s="360"/>
      <c r="JHX197" s="360"/>
      <c r="JHY197" s="360"/>
      <c r="JHZ197" s="360"/>
      <c r="JIA197" s="360"/>
      <c r="JIB197" s="360"/>
      <c r="JIC197" s="360"/>
      <c r="JID197" s="360"/>
      <c r="JIE197" s="360"/>
      <c r="JIF197" s="360"/>
      <c r="JIG197" s="360"/>
      <c r="JIH197" s="360"/>
      <c r="JII197" s="360"/>
      <c r="JIJ197" s="360"/>
      <c r="JIK197" s="360"/>
      <c r="JIL197" s="360"/>
      <c r="JIM197" s="360"/>
      <c r="JIN197" s="360"/>
      <c r="JIO197" s="360"/>
      <c r="JIP197" s="360"/>
      <c r="JIQ197" s="360"/>
      <c r="JIR197" s="360"/>
      <c r="JIS197" s="360"/>
      <c r="JIT197" s="360"/>
      <c r="JIU197" s="360"/>
      <c r="JIV197" s="360"/>
      <c r="JIW197" s="360"/>
      <c r="JIX197" s="360"/>
      <c r="JIY197" s="360"/>
      <c r="JIZ197" s="360"/>
      <c r="JJA197" s="360"/>
      <c r="JJB197" s="360"/>
      <c r="JJC197" s="360"/>
      <c r="JJD197" s="360"/>
      <c r="JJE197" s="360"/>
      <c r="JJF197" s="360"/>
      <c r="JJG197" s="360"/>
      <c r="JJH197" s="360"/>
      <c r="JJI197" s="360"/>
      <c r="JJJ197" s="360"/>
      <c r="JJK197" s="360"/>
      <c r="JJL197" s="360"/>
      <c r="JJM197" s="360"/>
      <c r="JJN197" s="360"/>
      <c r="JJO197" s="360"/>
      <c r="JJP197" s="360"/>
      <c r="JJQ197" s="360"/>
      <c r="JJR197" s="360"/>
      <c r="JJS197" s="360"/>
      <c r="JJT197" s="360"/>
      <c r="JJU197" s="360"/>
      <c r="JJV197" s="360"/>
      <c r="JJW197" s="360"/>
      <c r="JJX197" s="360"/>
      <c r="JJY197" s="360"/>
      <c r="JJZ197" s="360"/>
      <c r="JKA197" s="360"/>
      <c r="JKB197" s="360"/>
      <c r="JKC197" s="360"/>
      <c r="JKD197" s="360"/>
      <c r="JKE197" s="360"/>
      <c r="JKF197" s="360"/>
      <c r="JKG197" s="360"/>
      <c r="JKH197" s="360"/>
      <c r="JKI197" s="360"/>
      <c r="JKJ197" s="360"/>
      <c r="JKK197" s="360"/>
      <c r="JKL197" s="360"/>
      <c r="JKM197" s="360"/>
      <c r="JKN197" s="360"/>
      <c r="JKO197" s="360"/>
      <c r="JKP197" s="360"/>
      <c r="JKQ197" s="360"/>
      <c r="JKR197" s="360"/>
      <c r="JKS197" s="360"/>
      <c r="JKT197" s="360"/>
      <c r="JKU197" s="360"/>
      <c r="JKV197" s="360"/>
      <c r="JKW197" s="360"/>
      <c r="JKX197" s="360"/>
      <c r="JKY197" s="360"/>
      <c r="JKZ197" s="360"/>
      <c r="JLA197" s="360"/>
      <c r="JLB197" s="360"/>
      <c r="JLC197" s="360"/>
      <c r="JLD197" s="360"/>
      <c r="JLE197" s="360"/>
      <c r="JLF197" s="360"/>
      <c r="JLG197" s="360"/>
      <c r="JLH197" s="360"/>
      <c r="JLI197" s="360"/>
      <c r="JLJ197" s="360"/>
      <c r="JLK197" s="360"/>
      <c r="JLL197" s="360"/>
      <c r="JLM197" s="360"/>
      <c r="JLN197" s="360"/>
      <c r="JLO197" s="360"/>
      <c r="JLP197" s="360"/>
      <c r="JLQ197" s="360"/>
      <c r="JLR197" s="360"/>
      <c r="JLS197" s="360"/>
      <c r="JLT197" s="360"/>
      <c r="JLU197" s="360"/>
      <c r="JLV197" s="360"/>
      <c r="JLW197" s="360"/>
      <c r="JLX197" s="360"/>
      <c r="JLY197" s="360"/>
      <c r="JLZ197" s="360"/>
      <c r="JMA197" s="360"/>
      <c r="JMB197" s="360"/>
      <c r="JMC197" s="360"/>
      <c r="JMD197" s="360"/>
      <c r="JME197" s="360"/>
      <c r="JMF197" s="360"/>
      <c r="JMG197" s="360"/>
      <c r="JMH197" s="360"/>
      <c r="JMI197" s="360"/>
      <c r="JMJ197" s="360"/>
      <c r="JMK197" s="360"/>
      <c r="JML197" s="360"/>
      <c r="JMM197" s="360"/>
      <c r="JMN197" s="360"/>
      <c r="JMO197" s="360"/>
      <c r="JMP197" s="360"/>
      <c r="JMQ197" s="360"/>
      <c r="JMR197" s="360"/>
      <c r="JMS197" s="360"/>
      <c r="JMT197" s="360"/>
      <c r="JMU197" s="360"/>
      <c r="JMV197" s="360"/>
      <c r="JMW197" s="360"/>
      <c r="JMX197" s="360"/>
      <c r="JMY197" s="360"/>
      <c r="JMZ197" s="360"/>
      <c r="JNA197" s="360"/>
      <c r="JNB197" s="360"/>
      <c r="JNC197" s="360"/>
      <c r="JND197" s="360"/>
      <c r="JNE197" s="360"/>
      <c r="JNF197" s="360"/>
      <c r="JNG197" s="360"/>
      <c r="JNH197" s="360"/>
      <c r="JNI197" s="360"/>
      <c r="JNJ197" s="360"/>
      <c r="JNK197" s="360"/>
      <c r="JNL197" s="360"/>
      <c r="JNM197" s="360"/>
      <c r="JNN197" s="360"/>
      <c r="JNO197" s="360"/>
      <c r="JNP197" s="360"/>
      <c r="JNQ197" s="360"/>
      <c r="JNR197" s="360"/>
      <c r="JNS197" s="360"/>
      <c r="JNT197" s="360"/>
      <c r="JNU197" s="360"/>
      <c r="JNV197" s="360"/>
      <c r="JNW197" s="360"/>
      <c r="JNX197" s="360"/>
      <c r="JNY197" s="360"/>
      <c r="JNZ197" s="360"/>
      <c r="JOA197" s="360"/>
      <c r="JOB197" s="360"/>
      <c r="JOC197" s="360"/>
      <c r="JOD197" s="360"/>
      <c r="JOE197" s="360"/>
      <c r="JOF197" s="360"/>
      <c r="JOG197" s="360"/>
      <c r="JOH197" s="360"/>
      <c r="JOI197" s="360"/>
      <c r="JOJ197" s="360"/>
      <c r="JOK197" s="360"/>
      <c r="JOL197" s="360"/>
      <c r="JOM197" s="360"/>
      <c r="JON197" s="360"/>
      <c r="JOO197" s="360"/>
      <c r="JOP197" s="360"/>
      <c r="JOQ197" s="360"/>
      <c r="JOR197" s="360"/>
      <c r="JOS197" s="360"/>
      <c r="JOT197" s="360"/>
      <c r="JOU197" s="360"/>
      <c r="JOV197" s="360"/>
      <c r="JOW197" s="360"/>
      <c r="JOX197" s="360"/>
      <c r="JOY197" s="360"/>
      <c r="JOZ197" s="360"/>
      <c r="JPA197" s="360"/>
      <c r="JPB197" s="360"/>
      <c r="JPC197" s="360"/>
      <c r="JPD197" s="360"/>
      <c r="JPE197" s="360"/>
      <c r="JPF197" s="360"/>
      <c r="JPG197" s="360"/>
      <c r="JPH197" s="360"/>
      <c r="JPI197" s="360"/>
      <c r="JPJ197" s="360"/>
      <c r="JPK197" s="360"/>
      <c r="JPL197" s="360"/>
      <c r="JPM197" s="360"/>
      <c r="JPN197" s="360"/>
      <c r="JPO197" s="360"/>
      <c r="JPP197" s="360"/>
      <c r="JPQ197" s="360"/>
      <c r="JPR197" s="360"/>
      <c r="JPS197" s="360"/>
      <c r="JPT197" s="360"/>
      <c r="JPU197" s="360"/>
      <c r="JPV197" s="360"/>
      <c r="JPW197" s="360"/>
      <c r="JPX197" s="360"/>
      <c r="JPY197" s="360"/>
      <c r="JPZ197" s="360"/>
      <c r="JQA197" s="360"/>
      <c r="JQB197" s="360"/>
      <c r="JQC197" s="360"/>
      <c r="JQD197" s="360"/>
      <c r="JQE197" s="360"/>
      <c r="JQF197" s="360"/>
      <c r="JQG197" s="360"/>
      <c r="JQH197" s="360"/>
      <c r="JQI197" s="360"/>
      <c r="JQJ197" s="360"/>
      <c r="JQK197" s="360"/>
      <c r="JQL197" s="360"/>
      <c r="JQM197" s="360"/>
      <c r="JQN197" s="360"/>
      <c r="JQO197" s="360"/>
      <c r="JQP197" s="360"/>
      <c r="JQQ197" s="360"/>
      <c r="JQR197" s="360"/>
      <c r="JQS197" s="360"/>
      <c r="JQT197" s="360"/>
      <c r="JQU197" s="360"/>
      <c r="JQV197" s="360"/>
      <c r="JQW197" s="360"/>
      <c r="JQX197" s="360"/>
      <c r="JQY197" s="360"/>
      <c r="JQZ197" s="360"/>
      <c r="JRA197" s="360"/>
      <c r="JRB197" s="360"/>
      <c r="JRC197" s="360"/>
      <c r="JRD197" s="360"/>
      <c r="JRE197" s="360"/>
      <c r="JRF197" s="360"/>
      <c r="JRG197" s="360"/>
      <c r="JRH197" s="360"/>
      <c r="JRI197" s="360"/>
      <c r="JRJ197" s="360"/>
      <c r="JRK197" s="360"/>
      <c r="JRL197" s="360"/>
      <c r="JRM197" s="360"/>
      <c r="JRN197" s="360"/>
      <c r="JRO197" s="360"/>
      <c r="JRP197" s="360"/>
      <c r="JRQ197" s="360"/>
      <c r="JRR197" s="360"/>
      <c r="JRS197" s="360"/>
      <c r="JRT197" s="360"/>
      <c r="JRU197" s="360"/>
      <c r="JRV197" s="360"/>
      <c r="JRW197" s="360"/>
      <c r="JRX197" s="360"/>
      <c r="JRY197" s="360"/>
      <c r="JRZ197" s="360"/>
      <c r="JSA197" s="360"/>
      <c r="JSB197" s="360"/>
      <c r="JSC197" s="360"/>
      <c r="JSD197" s="360"/>
      <c r="JSE197" s="360"/>
      <c r="JSF197" s="360"/>
      <c r="JSG197" s="360"/>
      <c r="JSH197" s="360"/>
      <c r="JSI197" s="360"/>
      <c r="JSJ197" s="360"/>
      <c r="JSK197" s="360"/>
      <c r="JSL197" s="360"/>
      <c r="JSM197" s="360"/>
      <c r="JSN197" s="360"/>
      <c r="JSO197" s="360"/>
      <c r="JSP197" s="360"/>
      <c r="JSQ197" s="360"/>
      <c r="JSR197" s="360"/>
      <c r="JSS197" s="360"/>
      <c r="JST197" s="360"/>
      <c r="JSU197" s="360"/>
      <c r="JSV197" s="360"/>
      <c r="JSW197" s="360"/>
      <c r="JSX197" s="360"/>
      <c r="JSY197" s="360"/>
      <c r="JSZ197" s="360"/>
      <c r="JTA197" s="360"/>
      <c r="JTB197" s="360"/>
      <c r="JTC197" s="360"/>
      <c r="JTD197" s="360"/>
      <c r="JTE197" s="360"/>
      <c r="JTF197" s="360"/>
      <c r="JTG197" s="360"/>
      <c r="JTH197" s="360"/>
      <c r="JTI197" s="360"/>
      <c r="JTJ197" s="360"/>
      <c r="JTK197" s="360"/>
      <c r="JTL197" s="360"/>
      <c r="JTM197" s="360"/>
      <c r="JTN197" s="360"/>
      <c r="JTO197" s="360"/>
      <c r="JTP197" s="360"/>
      <c r="JTQ197" s="360"/>
      <c r="JTR197" s="360"/>
      <c r="JTS197" s="360"/>
      <c r="JTT197" s="360"/>
      <c r="JTU197" s="360"/>
      <c r="JTV197" s="360"/>
      <c r="JTW197" s="360"/>
      <c r="JTX197" s="360"/>
      <c r="JTY197" s="360"/>
      <c r="JTZ197" s="360"/>
      <c r="JUA197" s="360"/>
      <c r="JUB197" s="360"/>
      <c r="JUC197" s="360"/>
      <c r="JUD197" s="360"/>
      <c r="JUE197" s="360"/>
      <c r="JUF197" s="360"/>
      <c r="JUG197" s="360"/>
      <c r="JUH197" s="360"/>
      <c r="JUI197" s="360"/>
      <c r="JUJ197" s="360"/>
      <c r="JUK197" s="360"/>
      <c r="JUL197" s="360"/>
      <c r="JUM197" s="360"/>
      <c r="JUN197" s="360"/>
      <c r="JUO197" s="360"/>
      <c r="JUP197" s="360"/>
      <c r="JUQ197" s="360"/>
      <c r="JUR197" s="360"/>
      <c r="JUS197" s="360"/>
      <c r="JUT197" s="360"/>
      <c r="JUU197" s="360"/>
      <c r="JUV197" s="360"/>
      <c r="JUW197" s="360"/>
      <c r="JUX197" s="360"/>
      <c r="JUY197" s="360"/>
      <c r="JUZ197" s="360"/>
      <c r="JVA197" s="360"/>
      <c r="JVB197" s="360"/>
      <c r="JVC197" s="360"/>
      <c r="JVD197" s="360"/>
      <c r="JVE197" s="360"/>
      <c r="JVF197" s="360"/>
      <c r="JVG197" s="360"/>
      <c r="JVH197" s="360"/>
      <c r="JVI197" s="360"/>
      <c r="JVJ197" s="360"/>
      <c r="JVK197" s="360"/>
      <c r="JVL197" s="360"/>
      <c r="JVM197" s="360"/>
      <c r="JVN197" s="360"/>
      <c r="JVO197" s="360"/>
      <c r="JVP197" s="360"/>
      <c r="JVQ197" s="360"/>
      <c r="JVR197" s="360"/>
      <c r="JVS197" s="360"/>
      <c r="JVT197" s="360"/>
      <c r="JVU197" s="360"/>
      <c r="JVV197" s="360"/>
      <c r="JVW197" s="360"/>
      <c r="JVX197" s="360"/>
      <c r="JVY197" s="360"/>
      <c r="JVZ197" s="360"/>
      <c r="JWA197" s="360"/>
      <c r="JWB197" s="360"/>
      <c r="JWC197" s="360"/>
      <c r="JWD197" s="360"/>
      <c r="JWE197" s="360"/>
      <c r="JWF197" s="360"/>
      <c r="JWG197" s="360"/>
      <c r="JWH197" s="360"/>
      <c r="JWI197" s="360"/>
      <c r="JWJ197" s="360"/>
      <c r="JWK197" s="360"/>
      <c r="JWL197" s="360"/>
      <c r="JWM197" s="360"/>
      <c r="JWN197" s="360"/>
      <c r="JWO197" s="360"/>
      <c r="JWP197" s="360"/>
      <c r="JWQ197" s="360"/>
      <c r="JWR197" s="360"/>
      <c r="JWS197" s="360"/>
      <c r="JWT197" s="360"/>
      <c r="JWU197" s="360"/>
      <c r="JWV197" s="360"/>
      <c r="JWW197" s="360"/>
      <c r="JWX197" s="360"/>
      <c r="JWY197" s="360"/>
      <c r="JWZ197" s="360"/>
      <c r="JXA197" s="360"/>
      <c r="JXB197" s="360"/>
      <c r="JXC197" s="360"/>
      <c r="JXD197" s="360"/>
      <c r="JXE197" s="360"/>
      <c r="JXF197" s="360"/>
      <c r="JXG197" s="360"/>
      <c r="JXH197" s="360"/>
      <c r="JXI197" s="360"/>
      <c r="JXJ197" s="360"/>
      <c r="JXK197" s="360"/>
      <c r="JXL197" s="360"/>
      <c r="JXM197" s="360"/>
      <c r="JXN197" s="360"/>
      <c r="JXO197" s="360"/>
      <c r="JXP197" s="360"/>
      <c r="JXQ197" s="360"/>
      <c r="JXR197" s="360"/>
      <c r="JXS197" s="360"/>
      <c r="JXT197" s="360"/>
      <c r="JXU197" s="360"/>
      <c r="JXV197" s="360"/>
      <c r="JXW197" s="360"/>
      <c r="JXX197" s="360"/>
      <c r="JXY197" s="360"/>
      <c r="JXZ197" s="360"/>
      <c r="JYA197" s="360"/>
      <c r="JYB197" s="360"/>
      <c r="JYC197" s="360"/>
      <c r="JYD197" s="360"/>
      <c r="JYE197" s="360"/>
      <c r="JYF197" s="360"/>
      <c r="JYG197" s="360"/>
      <c r="JYH197" s="360"/>
      <c r="JYI197" s="360"/>
      <c r="JYJ197" s="360"/>
      <c r="JYK197" s="360"/>
      <c r="JYL197" s="360"/>
      <c r="JYM197" s="360"/>
      <c r="JYN197" s="360"/>
      <c r="JYO197" s="360"/>
      <c r="JYP197" s="360"/>
      <c r="JYQ197" s="360"/>
      <c r="JYR197" s="360"/>
      <c r="JYS197" s="360"/>
      <c r="JYT197" s="360"/>
      <c r="JYU197" s="360"/>
      <c r="JYV197" s="360"/>
      <c r="JYW197" s="360"/>
      <c r="JYX197" s="360"/>
      <c r="JYY197" s="360"/>
      <c r="JYZ197" s="360"/>
      <c r="JZA197" s="360"/>
      <c r="JZB197" s="360"/>
      <c r="JZC197" s="360"/>
      <c r="JZD197" s="360"/>
      <c r="JZE197" s="360"/>
      <c r="JZF197" s="360"/>
      <c r="JZG197" s="360"/>
      <c r="JZH197" s="360"/>
      <c r="JZI197" s="360"/>
      <c r="JZJ197" s="360"/>
      <c r="JZK197" s="360"/>
      <c r="JZL197" s="360"/>
      <c r="JZM197" s="360"/>
      <c r="JZN197" s="360"/>
      <c r="JZO197" s="360"/>
      <c r="JZP197" s="360"/>
      <c r="JZQ197" s="360"/>
      <c r="JZR197" s="360"/>
      <c r="JZS197" s="360"/>
      <c r="JZT197" s="360"/>
      <c r="JZU197" s="360"/>
      <c r="JZV197" s="360"/>
      <c r="JZW197" s="360"/>
      <c r="JZX197" s="360"/>
      <c r="JZY197" s="360"/>
      <c r="JZZ197" s="360"/>
      <c r="KAA197" s="360"/>
      <c r="KAB197" s="360"/>
      <c r="KAC197" s="360"/>
      <c r="KAD197" s="360"/>
      <c r="KAE197" s="360"/>
      <c r="KAF197" s="360"/>
      <c r="KAG197" s="360"/>
      <c r="KAH197" s="360"/>
      <c r="KAI197" s="360"/>
      <c r="KAJ197" s="360"/>
      <c r="KAK197" s="360"/>
      <c r="KAL197" s="360"/>
      <c r="KAM197" s="360"/>
      <c r="KAN197" s="360"/>
      <c r="KAO197" s="360"/>
      <c r="KAP197" s="360"/>
      <c r="KAQ197" s="360"/>
      <c r="KAR197" s="360"/>
      <c r="KAS197" s="360"/>
      <c r="KAT197" s="360"/>
      <c r="KAU197" s="360"/>
      <c r="KAV197" s="360"/>
      <c r="KAW197" s="360"/>
      <c r="KAX197" s="360"/>
      <c r="KAY197" s="360"/>
      <c r="KAZ197" s="360"/>
      <c r="KBA197" s="360"/>
      <c r="KBB197" s="360"/>
      <c r="KBC197" s="360"/>
      <c r="KBD197" s="360"/>
      <c r="KBE197" s="360"/>
      <c r="KBF197" s="360"/>
      <c r="KBG197" s="360"/>
      <c r="KBH197" s="360"/>
      <c r="KBI197" s="360"/>
      <c r="KBJ197" s="360"/>
      <c r="KBK197" s="360"/>
      <c r="KBL197" s="360"/>
      <c r="KBM197" s="360"/>
      <c r="KBN197" s="360"/>
      <c r="KBO197" s="360"/>
      <c r="KBP197" s="360"/>
      <c r="KBQ197" s="360"/>
      <c r="KBR197" s="360"/>
      <c r="KBS197" s="360"/>
      <c r="KBT197" s="360"/>
      <c r="KBU197" s="360"/>
      <c r="KBV197" s="360"/>
      <c r="KBW197" s="360"/>
      <c r="KBX197" s="360"/>
      <c r="KBY197" s="360"/>
      <c r="KBZ197" s="360"/>
      <c r="KCA197" s="360"/>
      <c r="KCB197" s="360"/>
      <c r="KCC197" s="360"/>
      <c r="KCD197" s="360"/>
      <c r="KCE197" s="360"/>
      <c r="KCF197" s="360"/>
      <c r="KCG197" s="360"/>
      <c r="KCH197" s="360"/>
      <c r="KCI197" s="360"/>
      <c r="KCJ197" s="360"/>
      <c r="KCK197" s="360"/>
      <c r="KCL197" s="360"/>
      <c r="KCM197" s="360"/>
      <c r="KCN197" s="360"/>
      <c r="KCO197" s="360"/>
      <c r="KCP197" s="360"/>
      <c r="KCQ197" s="360"/>
      <c r="KCR197" s="360"/>
      <c r="KCS197" s="360"/>
      <c r="KCT197" s="360"/>
      <c r="KCU197" s="360"/>
      <c r="KCV197" s="360"/>
      <c r="KCW197" s="360"/>
      <c r="KCX197" s="360"/>
      <c r="KCY197" s="360"/>
      <c r="KCZ197" s="360"/>
      <c r="KDA197" s="360"/>
      <c r="KDB197" s="360"/>
      <c r="KDC197" s="360"/>
      <c r="KDD197" s="360"/>
      <c r="KDE197" s="360"/>
      <c r="KDF197" s="360"/>
      <c r="KDG197" s="360"/>
      <c r="KDH197" s="360"/>
      <c r="KDI197" s="360"/>
      <c r="KDJ197" s="360"/>
      <c r="KDK197" s="360"/>
      <c r="KDL197" s="360"/>
      <c r="KDM197" s="360"/>
      <c r="KDN197" s="360"/>
      <c r="KDO197" s="360"/>
      <c r="KDP197" s="360"/>
      <c r="KDQ197" s="360"/>
      <c r="KDR197" s="360"/>
      <c r="KDS197" s="360"/>
      <c r="KDT197" s="360"/>
      <c r="KDU197" s="360"/>
      <c r="KDV197" s="360"/>
      <c r="KDW197" s="360"/>
      <c r="KDX197" s="360"/>
      <c r="KDY197" s="360"/>
      <c r="KDZ197" s="360"/>
      <c r="KEA197" s="360"/>
      <c r="KEB197" s="360"/>
      <c r="KEC197" s="360"/>
      <c r="KED197" s="360"/>
      <c r="KEE197" s="360"/>
      <c r="KEF197" s="360"/>
      <c r="KEG197" s="360"/>
      <c r="KEH197" s="360"/>
      <c r="KEI197" s="360"/>
      <c r="KEJ197" s="360"/>
      <c r="KEK197" s="360"/>
      <c r="KEL197" s="360"/>
      <c r="KEM197" s="360"/>
      <c r="KEN197" s="360"/>
      <c r="KEO197" s="360"/>
      <c r="KEP197" s="360"/>
      <c r="KEQ197" s="360"/>
      <c r="KER197" s="360"/>
      <c r="KES197" s="360"/>
      <c r="KET197" s="360"/>
      <c r="KEU197" s="360"/>
      <c r="KEV197" s="360"/>
      <c r="KEW197" s="360"/>
      <c r="KEX197" s="360"/>
      <c r="KEY197" s="360"/>
      <c r="KEZ197" s="360"/>
      <c r="KFA197" s="360"/>
      <c r="KFB197" s="360"/>
      <c r="KFC197" s="360"/>
      <c r="KFD197" s="360"/>
      <c r="KFE197" s="360"/>
      <c r="KFF197" s="360"/>
      <c r="KFG197" s="360"/>
      <c r="KFH197" s="360"/>
      <c r="KFI197" s="360"/>
      <c r="KFJ197" s="360"/>
      <c r="KFK197" s="360"/>
      <c r="KFL197" s="360"/>
      <c r="KFM197" s="360"/>
      <c r="KFN197" s="360"/>
      <c r="KFO197" s="360"/>
      <c r="KFP197" s="360"/>
      <c r="KFQ197" s="360"/>
      <c r="KFR197" s="360"/>
      <c r="KFS197" s="360"/>
      <c r="KFT197" s="360"/>
      <c r="KFU197" s="360"/>
      <c r="KFV197" s="360"/>
      <c r="KFW197" s="360"/>
      <c r="KFX197" s="360"/>
      <c r="KFY197" s="360"/>
      <c r="KFZ197" s="360"/>
      <c r="KGA197" s="360"/>
      <c r="KGB197" s="360"/>
      <c r="KGC197" s="360"/>
      <c r="KGD197" s="360"/>
      <c r="KGE197" s="360"/>
      <c r="KGF197" s="360"/>
      <c r="KGG197" s="360"/>
      <c r="KGH197" s="360"/>
      <c r="KGI197" s="360"/>
      <c r="KGJ197" s="360"/>
      <c r="KGK197" s="360"/>
      <c r="KGL197" s="360"/>
      <c r="KGM197" s="360"/>
      <c r="KGN197" s="360"/>
      <c r="KGO197" s="360"/>
      <c r="KGP197" s="360"/>
      <c r="KGQ197" s="360"/>
      <c r="KGR197" s="360"/>
      <c r="KGS197" s="360"/>
      <c r="KGT197" s="360"/>
      <c r="KGU197" s="360"/>
      <c r="KGV197" s="360"/>
      <c r="KGW197" s="360"/>
      <c r="KGX197" s="360"/>
      <c r="KGY197" s="360"/>
      <c r="KGZ197" s="360"/>
      <c r="KHA197" s="360"/>
      <c r="KHB197" s="360"/>
      <c r="KHC197" s="360"/>
      <c r="KHD197" s="360"/>
      <c r="KHE197" s="360"/>
      <c r="KHF197" s="360"/>
      <c r="KHG197" s="360"/>
      <c r="KHH197" s="360"/>
      <c r="KHI197" s="360"/>
      <c r="KHJ197" s="360"/>
      <c r="KHK197" s="360"/>
      <c r="KHL197" s="360"/>
      <c r="KHM197" s="360"/>
      <c r="KHN197" s="360"/>
      <c r="KHO197" s="360"/>
      <c r="KHP197" s="360"/>
      <c r="KHQ197" s="360"/>
      <c r="KHR197" s="360"/>
      <c r="KHS197" s="360"/>
      <c r="KHT197" s="360"/>
      <c r="KHU197" s="360"/>
      <c r="KHV197" s="360"/>
      <c r="KHW197" s="360"/>
      <c r="KHX197" s="360"/>
      <c r="KHY197" s="360"/>
      <c r="KHZ197" s="360"/>
      <c r="KIA197" s="360"/>
      <c r="KIB197" s="360"/>
      <c r="KIC197" s="360"/>
      <c r="KID197" s="360"/>
      <c r="KIE197" s="360"/>
      <c r="KIF197" s="360"/>
      <c r="KIG197" s="360"/>
      <c r="KIH197" s="360"/>
      <c r="KII197" s="360"/>
      <c r="KIJ197" s="360"/>
      <c r="KIK197" s="360"/>
      <c r="KIL197" s="360"/>
      <c r="KIM197" s="360"/>
      <c r="KIN197" s="360"/>
      <c r="KIO197" s="360"/>
      <c r="KIP197" s="360"/>
      <c r="KIQ197" s="360"/>
      <c r="KIR197" s="360"/>
      <c r="KIS197" s="360"/>
      <c r="KIT197" s="360"/>
      <c r="KIU197" s="360"/>
      <c r="KIV197" s="360"/>
      <c r="KIW197" s="360"/>
      <c r="KIX197" s="360"/>
      <c r="KIY197" s="360"/>
      <c r="KIZ197" s="360"/>
      <c r="KJA197" s="360"/>
      <c r="KJB197" s="360"/>
      <c r="KJC197" s="360"/>
      <c r="KJD197" s="360"/>
      <c r="KJE197" s="360"/>
      <c r="KJF197" s="360"/>
      <c r="KJG197" s="360"/>
      <c r="KJH197" s="360"/>
      <c r="KJI197" s="360"/>
      <c r="KJJ197" s="360"/>
      <c r="KJK197" s="360"/>
      <c r="KJL197" s="360"/>
      <c r="KJM197" s="360"/>
      <c r="KJN197" s="360"/>
      <c r="KJO197" s="360"/>
      <c r="KJP197" s="360"/>
      <c r="KJQ197" s="360"/>
      <c r="KJR197" s="360"/>
      <c r="KJS197" s="360"/>
      <c r="KJT197" s="360"/>
      <c r="KJU197" s="360"/>
      <c r="KJV197" s="360"/>
      <c r="KJW197" s="360"/>
      <c r="KJX197" s="360"/>
      <c r="KJY197" s="360"/>
      <c r="KJZ197" s="360"/>
      <c r="KKA197" s="360"/>
      <c r="KKB197" s="360"/>
      <c r="KKC197" s="360"/>
      <c r="KKD197" s="360"/>
      <c r="KKE197" s="360"/>
      <c r="KKF197" s="360"/>
      <c r="KKG197" s="360"/>
      <c r="KKH197" s="360"/>
      <c r="KKI197" s="360"/>
      <c r="KKJ197" s="360"/>
      <c r="KKK197" s="360"/>
      <c r="KKL197" s="360"/>
      <c r="KKM197" s="360"/>
      <c r="KKN197" s="360"/>
      <c r="KKO197" s="360"/>
      <c r="KKP197" s="360"/>
      <c r="KKQ197" s="360"/>
      <c r="KKR197" s="360"/>
      <c r="KKS197" s="360"/>
      <c r="KKT197" s="360"/>
      <c r="KKU197" s="360"/>
      <c r="KKV197" s="360"/>
      <c r="KKW197" s="360"/>
      <c r="KKX197" s="360"/>
      <c r="KKY197" s="360"/>
      <c r="KKZ197" s="360"/>
      <c r="KLA197" s="360"/>
      <c r="KLB197" s="360"/>
      <c r="KLC197" s="360"/>
      <c r="KLD197" s="360"/>
      <c r="KLE197" s="360"/>
      <c r="KLF197" s="360"/>
      <c r="KLG197" s="360"/>
      <c r="KLH197" s="360"/>
      <c r="KLI197" s="360"/>
      <c r="KLJ197" s="360"/>
      <c r="KLK197" s="360"/>
      <c r="KLL197" s="360"/>
      <c r="KLM197" s="360"/>
      <c r="KLN197" s="360"/>
      <c r="KLO197" s="360"/>
      <c r="KLP197" s="360"/>
      <c r="KLQ197" s="360"/>
      <c r="KLR197" s="360"/>
      <c r="KLS197" s="360"/>
      <c r="KLT197" s="360"/>
      <c r="KLU197" s="360"/>
      <c r="KLV197" s="360"/>
      <c r="KLW197" s="360"/>
      <c r="KLX197" s="360"/>
      <c r="KLY197" s="360"/>
      <c r="KLZ197" s="360"/>
      <c r="KMA197" s="360"/>
      <c r="KMB197" s="360"/>
      <c r="KMC197" s="360"/>
      <c r="KMD197" s="360"/>
      <c r="KME197" s="360"/>
      <c r="KMF197" s="360"/>
      <c r="KMG197" s="360"/>
      <c r="KMH197" s="360"/>
      <c r="KMI197" s="360"/>
      <c r="KMJ197" s="360"/>
      <c r="KMK197" s="360"/>
      <c r="KML197" s="360"/>
      <c r="KMM197" s="360"/>
      <c r="KMN197" s="360"/>
      <c r="KMO197" s="360"/>
      <c r="KMP197" s="360"/>
      <c r="KMQ197" s="360"/>
      <c r="KMR197" s="360"/>
      <c r="KMS197" s="360"/>
      <c r="KMT197" s="360"/>
      <c r="KMU197" s="360"/>
      <c r="KMV197" s="360"/>
      <c r="KMW197" s="360"/>
      <c r="KMX197" s="360"/>
      <c r="KMY197" s="360"/>
      <c r="KMZ197" s="360"/>
      <c r="KNA197" s="360"/>
      <c r="KNB197" s="360"/>
      <c r="KNC197" s="360"/>
      <c r="KND197" s="360"/>
      <c r="KNE197" s="360"/>
      <c r="KNF197" s="360"/>
      <c r="KNG197" s="360"/>
      <c r="KNH197" s="360"/>
      <c r="KNI197" s="360"/>
      <c r="KNJ197" s="360"/>
      <c r="KNK197" s="360"/>
      <c r="KNL197" s="360"/>
      <c r="KNM197" s="360"/>
      <c r="KNN197" s="360"/>
      <c r="KNO197" s="360"/>
      <c r="KNP197" s="360"/>
      <c r="KNQ197" s="360"/>
      <c r="KNR197" s="360"/>
      <c r="KNS197" s="360"/>
      <c r="KNT197" s="360"/>
      <c r="KNU197" s="360"/>
      <c r="KNV197" s="360"/>
      <c r="KNW197" s="360"/>
      <c r="KNX197" s="360"/>
      <c r="KNY197" s="360"/>
      <c r="KNZ197" s="360"/>
      <c r="KOA197" s="360"/>
      <c r="KOB197" s="360"/>
      <c r="KOC197" s="360"/>
      <c r="KOD197" s="360"/>
      <c r="KOE197" s="360"/>
      <c r="KOF197" s="360"/>
      <c r="KOG197" s="360"/>
      <c r="KOH197" s="360"/>
      <c r="KOI197" s="360"/>
      <c r="KOJ197" s="360"/>
      <c r="KOK197" s="360"/>
      <c r="KOL197" s="360"/>
      <c r="KOM197" s="360"/>
      <c r="KON197" s="360"/>
      <c r="KOO197" s="360"/>
      <c r="KOP197" s="360"/>
      <c r="KOQ197" s="360"/>
      <c r="KOR197" s="360"/>
      <c r="KOS197" s="360"/>
      <c r="KOT197" s="360"/>
      <c r="KOU197" s="360"/>
      <c r="KOV197" s="360"/>
      <c r="KOW197" s="360"/>
      <c r="KOX197" s="360"/>
      <c r="KOY197" s="360"/>
      <c r="KOZ197" s="360"/>
      <c r="KPA197" s="360"/>
      <c r="KPB197" s="360"/>
      <c r="KPC197" s="360"/>
      <c r="KPD197" s="360"/>
      <c r="KPE197" s="360"/>
      <c r="KPF197" s="360"/>
      <c r="KPG197" s="360"/>
      <c r="KPH197" s="360"/>
      <c r="KPI197" s="360"/>
      <c r="KPJ197" s="360"/>
      <c r="KPK197" s="360"/>
      <c r="KPL197" s="360"/>
      <c r="KPM197" s="360"/>
      <c r="KPN197" s="360"/>
      <c r="KPO197" s="360"/>
      <c r="KPP197" s="360"/>
      <c r="KPQ197" s="360"/>
      <c r="KPR197" s="360"/>
      <c r="KPS197" s="360"/>
      <c r="KPT197" s="360"/>
      <c r="KPU197" s="360"/>
      <c r="KPV197" s="360"/>
      <c r="KPW197" s="360"/>
      <c r="KPX197" s="360"/>
      <c r="KPY197" s="360"/>
      <c r="KPZ197" s="360"/>
      <c r="KQA197" s="360"/>
      <c r="KQB197" s="360"/>
      <c r="KQC197" s="360"/>
      <c r="KQD197" s="360"/>
      <c r="KQE197" s="360"/>
      <c r="KQF197" s="360"/>
      <c r="KQG197" s="360"/>
      <c r="KQH197" s="360"/>
      <c r="KQI197" s="360"/>
      <c r="KQJ197" s="360"/>
      <c r="KQK197" s="360"/>
      <c r="KQL197" s="360"/>
      <c r="KQM197" s="360"/>
      <c r="KQN197" s="360"/>
      <c r="KQO197" s="360"/>
      <c r="KQP197" s="360"/>
      <c r="KQQ197" s="360"/>
      <c r="KQR197" s="360"/>
      <c r="KQS197" s="360"/>
      <c r="KQT197" s="360"/>
      <c r="KQU197" s="360"/>
      <c r="KQV197" s="360"/>
      <c r="KQW197" s="360"/>
      <c r="KQX197" s="360"/>
      <c r="KQY197" s="360"/>
      <c r="KQZ197" s="360"/>
      <c r="KRA197" s="360"/>
      <c r="KRB197" s="360"/>
      <c r="KRC197" s="360"/>
      <c r="KRD197" s="360"/>
      <c r="KRE197" s="360"/>
      <c r="KRF197" s="360"/>
      <c r="KRG197" s="360"/>
      <c r="KRH197" s="360"/>
      <c r="KRI197" s="360"/>
      <c r="KRJ197" s="360"/>
      <c r="KRK197" s="360"/>
      <c r="KRL197" s="360"/>
      <c r="KRM197" s="360"/>
      <c r="KRN197" s="360"/>
      <c r="KRO197" s="360"/>
      <c r="KRP197" s="360"/>
      <c r="KRQ197" s="360"/>
      <c r="KRR197" s="360"/>
      <c r="KRS197" s="360"/>
      <c r="KRT197" s="360"/>
      <c r="KRU197" s="360"/>
      <c r="KRV197" s="360"/>
      <c r="KRW197" s="360"/>
      <c r="KRX197" s="360"/>
      <c r="KRY197" s="360"/>
      <c r="KRZ197" s="360"/>
      <c r="KSA197" s="360"/>
      <c r="KSB197" s="360"/>
      <c r="KSC197" s="360"/>
      <c r="KSD197" s="360"/>
      <c r="KSE197" s="360"/>
      <c r="KSF197" s="360"/>
      <c r="KSG197" s="360"/>
      <c r="KSH197" s="360"/>
      <c r="KSI197" s="360"/>
      <c r="KSJ197" s="360"/>
      <c r="KSK197" s="360"/>
      <c r="KSL197" s="360"/>
      <c r="KSM197" s="360"/>
      <c r="KSN197" s="360"/>
      <c r="KSO197" s="360"/>
      <c r="KSP197" s="360"/>
      <c r="KSQ197" s="360"/>
      <c r="KSR197" s="360"/>
      <c r="KSS197" s="360"/>
      <c r="KST197" s="360"/>
      <c r="KSU197" s="360"/>
      <c r="KSV197" s="360"/>
      <c r="KSW197" s="360"/>
      <c r="KSX197" s="360"/>
      <c r="KSY197" s="360"/>
      <c r="KSZ197" s="360"/>
      <c r="KTA197" s="360"/>
      <c r="KTB197" s="360"/>
      <c r="KTC197" s="360"/>
      <c r="KTD197" s="360"/>
      <c r="KTE197" s="360"/>
      <c r="KTF197" s="360"/>
      <c r="KTG197" s="360"/>
      <c r="KTH197" s="360"/>
      <c r="KTI197" s="360"/>
      <c r="KTJ197" s="360"/>
      <c r="KTK197" s="360"/>
      <c r="KTL197" s="360"/>
      <c r="KTM197" s="360"/>
      <c r="KTN197" s="360"/>
      <c r="KTO197" s="360"/>
      <c r="KTP197" s="360"/>
      <c r="KTQ197" s="360"/>
      <c r="KTR197" s="360"/>
      <c r="KTS197" s="360"/>
      <c r="KTT197" s="360"/>
      <c r="KTU197" s="360"/>
      <c r="KTV197" s="360"/>
      <c r="KTW197" s="360"/>
      <c r="KTX197" s="360"/>
      <c r="KTY197" s="360"/>
      <c r="KTZ197" s="360"/>
      <c r="KUA197" s="360"/>
      <c r="KUB197" s="360"/>
      <c r="KUC197" s="360"/>
      <c r="KUD197" s="360"/>
      <c r="KUE197" s="360"/>
      <c r="KUF197" s="360"/>
      <c r="KUG197" s="360"/>
      <c r="KUH197" s="360"/>
      <c r="KUI197" s="360"/>
      <c r="KUJ197" s="360"/>
      <c r="KUK197" s="360"/>
      <c r="KUL197" s="360"/>
      <c r="KUM197" s="360"/>
      <c r="KUN197" s="360"/>
      <c r="KUO197" s="360"/>
      <c r="KUP197" s="360"/>
      <c r="KUQ197" s="360"/>
      <c r="KUR197" s="360"/>
      <c r="KUS197" s="360"/>
      <c r="KUT197" s="360"/>
      <c r="KUU197" s="360"/>
      <c r="KUV197" s="360"/>
      <c r="KUW197" s="360"/>
      <c r="KUX197" s="360"/>
      <c r="KUY197" s="360"/>
      <c r="KUZ197" s="360"/>
      <c r="KVA197" s="360"/>
      <c r="KVB197" s="360"/>
      <c r="KVC197" s="360"/>
      <c r="KVD197" s="360"/>
      <c r="KVE197" s="360"/>
      <c r="KVF197" s="360"/>
      <c r="KVG197" s="360"/>
      <c r="KVH197" s="360"/>
      <c r="KVI197" s="360"/>
      <c r="KVJ197" s="360"/>
      <c r="KVK197" s="360"/>
      <c r="KVL197" s="360"/>
      <c r="KVM197" s="360"/>
      <c r="KVN197" s="360"/>
      <c r="KVO197" s="360"/>
      <c r="KVP197" s="360"/>
      <c r="KVQ197" s="360"/>
      <c r="KVR197" s="360"/>
      <c r="KVS197" s="360"/>
      <c r="KVT197" s="360"/>
      <c r="KVU197" s="360"/>
      <c r="KVV197" s="360"/>
      <c r="KVW197" s="360"/>
      <c r="KVX197" s="360"/>
      <c r="KVY197" s="360"/>
      <c r="KVZ197" s="360"/>
      <c r="KWA197" s="360"/>
      <c r="KWB197" s="360"/>
      <c r="KWC197" s="360"/>
      <c r="KWD197" s="360"/>
      <c r="KWE197" s="360"/>
      <c r="KWF197" s="360"/>
      <c r="KWG197" s="360"/>
      <c r="KWH197" s="360"/>
      <c r="KWI197" s="360"/>
      <c r="KWJ197" s="360"/>
      <c r="KWK197" s="360"/>
      <c r="KWL197" s="360"/>
      <c r="KWM197" s="360"/>
      <c r="KWN197" s="360"/>
      <c r="KWO197" s="360"/>
      <c r="KWP197" s="360"/>
      <c r="KWQ197" s="360"/>
      <c r="KWR197" s="360"/>
      <c r="KWS197" s="360"/>
      <c r="KWT197" s="360"/>
      <c r="KWU197" s="360"/>
      <c r="KWV197" s="360"/>
      <c r="KWW197" s="360"/>
      <c r="KWX197" s="360"/>
      <c r="KWY197" s="360"/>
      <c r="KWZ197" s="360"/>
      <c r="KXA197" s="360"/>
      <c r="KXB197" s="360"/>
      <c r="KXC197" s="360"/>
      <c r="KXD197" s="360"/>
      <c r="KXE197" s="360"/>
      <c r="KXF197" s="360"/>
      <c r="KXG197" s="360"/>
      <c r="KXH197" s="360"/>
      <c r="KXI197" s="360"/>
      <c r="KXJ197" s="360"/>
      <c r="KXK197" s="360"/>
      <c r="KXL197" s="360"/>
      <c r="KXM197" s="360"/>
      <c r="KXN197" s="360"/>
      <c r="KXO197" s="360"/>
      <c r="KXP197" s="360"/>
      <c r="KXQ197" s="360"/>
      <c r="KXR197" s="360"/>
      <c r="KXS197" s="360"/>
      <c r="KXT197" s="360"/>
      <c r="KXU197" s="360"/>
      <c r="KXV197" s="360"/>
      <c r="KXW197" s="360"/>
      <c r="KXX197" s="360"/>
      <c r="KXY197" s="360"/>
      <c r="KXZ197" s="360"/>
      <c r="KYA197" s="360"/>
      <c r="KYB197" s="360"/>
      <c r="KYC197" s="360"/>
      <c r="KYD197" s="360"/>
      <c r="KYE197" s="360"/>
      <c r="KYF197" s="360"/>
      <c r="KYG197" s="360"/>
      <c r="KYH197" s="360"/>
      <c r="KYI197" s="360"/>
      <c r="KYJ197" s="360"/>
      <c r="KYK197" s="360"/>
      <c r="KYL197" s="360"/>
      <c r="KYM197" s="360"/>
      <c r="KYN197" s="360"/>
      <c r="KYO197" s="360"/>
      <c r="KYP197" s="360"/>
      <c r="KYQ197" s="360"/>
      <c r="KYR197" s="360"/>
      <c r="KYS197" s="360"/>
      <c r="KYT197" s="360"/>
      <c r="KYU197" s="360"/>
      <c r="KYV197" s="360"/>
      <c r="KYW197" s="360"/>
      <c r="KYX197" s="360"/>
      <c r="KYY197" s="360"/>
      <c r="KYZ197" s="360"/>
      <c r="KZA197" s="360"/>
      <c r="KZB197" s="360"/>
      <c r="KZC197" s="360"/>
      <c r="KZD197" s="360"/>
      <c r="KZE197" s="360"/>
      <c r="KZF197" s="360"/>
      <c r="KZG197" s="360"/>
      <c r="KZH197" s="360"/>
      <c r="KZI197" s="360"/>
      <c r="KZJ197" s="360"/>
      <c r="KZK197" s="360"/>
      <c r="KZL197" s="360"/>
      <c r="KZM197" s="360"/>
      <c r="KZN197" s="360"/>
      <c r="KZO197" s="360"/>
      <c r="KZP197" s="360"/>
      <c r="KZQ197" s="360"/>
      <c r="KZR197" s="360"/>
      <c r="KZS197" s="360"/>
      <c r="KZT197" s="360"/>
      <c r="KZU197" s="360"/>
      <c r="KZV197" s="360"/>
      <c r="KZW197" s="360"/>
      <c r="KZX197" s="360"/>
      <c r="KZY197" s="360"/>
      <c r="KZZ197" s="360"/>
      <c r="LAA197" s="360"/>
      <c r="LAB197" s="360"/>
      <c r="LAC197" s="360"/>
      <c r="LAD197" s="360"/>
      <c r="LAE197" s="360"/>
      <c r="LAF197" s="360"/>
      <c r="LAG197" s="360"/>
      <c r="LAH197" s="360"/>
      <c r="LAI197" s="360"/>
      <c r="LAJ197" s="360"/>
      <c r="LAK197" s="360"/>
      <c r="LAL197" s="360"/>
      <c r="LAM197" s="360"/>
      <c r="LAN197" s="360"/>
      <c r="LAO197" s="360"/>
      <c r="LAP197" s="360"/>
      <c r="LAQ197" s="360"/>
      <c r="LAR197" s="360"/>
      <c r="LAS197" s="360"/>
      <c r="LAT197" s="360"/>
      <c r="LAU197" s="360"/>
      <c r="LAV197" s="360"/>
      <c r="LAW197" s="360"/>
      <c r="LAX197" s="360"/>
      <c r="LAY197" s="360"/>
      <c r="LAZ197" s="360"/>
      <c r="LBA197" s="360"/>
      <c r="LBB197" s="360"/>
      <c r="LBC197" s="360"/>
      <c r="LBD197" s="360"/>
      <c r="LBE197" s="360"/>
      <c r="LBF197" s="360"/>
      <c r="LBG197" s="360"/>
      <c r="LBH197" s="360"/>
      <c r="LBI197" s="360"/>
      <c r="LBJ197" s="360"/>
      <c r="LBK197" s="360"/>
      <c r="LBL197" s="360"/>
      <c r="LBM197" s="360"/>
      <c r="LBN197" s="360"/>
      <c r="LBO197" s="360"/>
      <c r="LBP197" s="360"/>
      <c r="LBQ197" s="360"/>
      <c r="LBR197" s="360"/>
      <c r="LBS197" s="360"/>
      <c r="LBT197" s="360"/>
      <c r="LBU197" s="360"/>
      <c r="LBV197" s="360"/>
      <c r="LBW197" s="360"/>
      <c r="LBX197" s="360"/>
      <c r="LBY197" s="360"/>
      <c r="LBZ197" s="360"/>
      <c r="LCA197" s="360"/>
      <c r="LCB197" s="360"/>
      <c r="LCC197" s="360"/>
      <c r="LCD197" s="360"/>
      <c r="LCE197" s="360"/>
      <c r="LCF197" s="360"/>
      <c r="LCG197" s="360"/>
      <c r="LCH197" s="360"/>
      <c r="LCI197" s="360"/>
      <c r="LCJ197" s="360"/>
      <c r="LCK197" s="360"/>
      <c r="LCL197" s="360"/>
      <c r="LCM197" s="360"/>
      <c r="LCN197" s="360"/>
      <c r="LCO197" s="360"/>
      <c r="LCP197" s="360"/>
      <c r="LCQ197" s="360"/>
      <c r="LCR197" s="360"/>
      <c r="LCS197" s="360"/>
      <c r="LCT197" s="360"/>
      <c r="LCU197" s="360"/>
      <c r="LCV197" s="360"/>
      <c r="LCW197" s="360"/>
      <c r="LCX197" s="360"/>
      <c r="LCY197" s="360"/>
      <c r="LCZ197" s="360"/>
      <c r="LDA197" s="360"/>
      <c r="LDB197" s="360"/>
      <c r="LDC197" s="360"/>
      <c r="LDD197" s="360"/>
      <c r="LDE197" s="360"/>
      <c r="LDF197" s="360"/>
      <c r="LDG197" s="360"/>
      <c r="LDH197" s="360"/>
      <c r="LDI197" s="360"/>
      <c r="LDJ197" s="360"/>
      <c r="LDK197" s="360"/>
      <c r="LDL197" s="360"/>
      <c r="LDM197" s="360"/>
      <c r="LDN197" s="360"/>
      <c r="LDO197" s="360"/>
      <c r="LDP197" s="360"/>
      <c r="LDQ197" s="360"/>
      <c r="LDR197" s="360"/>
      <c r="LDS197" s="360"/>
      <c r="LDT197" s="360"/>
      <c r="LDU197" s="360"/>
      <c r="LDV197" s="360"/>
      <c r="LDW197" s="360"/>
      <c r="LDX197" s="360"/>
      <c r="LDY197" s="360"/>
      <c r="LDZ197" s="360"/>
      <c r="LEA197" s="360"/>
      <c r="LEB197" s="360"/>
      <c r="LEC197" s="360"/>
      <c r="LED197" s="360"/>
      <c r="LEE197" s="360"/>
      <c r="LEF197" s="360"/>
      <c r="LEG197" s="360"/>
      <c r="LEH197" s="360"/>
      <c r="LEI197" s="360"/>
      <c r="LEJ197" s="360"/>
      <c r="LEK197" s="360"/>
      <c r="LEL197" s="360"/>
      <c r="LEM197" s="360"/>
      <c r="LEN197" s="360"/>
      <c r="LEO197" s="360"/>
      <c r="LEP197" s="360"/>
      <c r="LEQ197" s="360"/>
      <c r="LER197" s="360"/>
      <c r="LES197" s="360"/>
      <c r="LET197" s="360"/>
      <c r="LEU197" s="360"/>
      <c r="LEV197" s="360"/>
      <c r="LEW197" s="360"/>
      <c r="LEX197" s="360"/>
      <c r="LEY197" s="360"/>
      <c r="LEZ197" s="360"/>
      <c r="LFA197" s="360"/>
      <c r="LFB197" s="360"/>
      <c r="LFC197" s="360"/>
      <c r="LFD197" s="360"/>
      <c r="LFE197" s="360"/>
      <c r="LFF197" s="360"/>
      <c r="LFG197" s="360"/>
      <c r="LFH197" s="360"/>
      <c r="LFI197" s="360"/>
      <c r="LFJ197" s="360"/>
      <c r="LFK197" s="360"/>
      <c r="LFL197" s="360"/>
      <c r="LFM197" s="360"/>
      <c r="LFN197" s="360"/>
      <c r="LFO197" s="360"/>
      <c r="LFP197" s="360"/>
      <c r="LFQ197" s="360"/>
      <c r="LFR197" s="360"/>
      <c r="LFS197" s="360"/>
      <c r="LFT197" s="360"/>
      <c r="LFU197" s="360"/>
      <c r="LFV197" s="360"/>
      <c r="LFW197" s="360"/>
      <c r="LFX197" s="360"/>
      <c r="LFY197" s="360"/>
      <c r="LFZ197" s="360"/>
      <c r="LGA197" s="360"/>
      <c r="LGB197" s="360"/>
      <c r="LGC197" s="360"/>
      <c r="LGD197" s="360"/>
      <c r="LGE197" s="360"/>
      <c r="LGF197" s="360"/>
      <c r="LGG197" s="360"/>
      <c r="LGH197" s="360"/>
      <c r="LGI197" s="360"/>
      <c r="LGJ197" s="360"/>
      <c r="LGK197" s="360"/>
      <c r="LGL197" s="360"/>
      <c r="LGM197" s="360"/>
      <c r="LGN197" s="360"/>
      <c r="LGO197" s="360"/>
      <c r="LGP197" s="360"/>
      <c r="LGQ197" s="360"/>
      <c r="LGR197" s="360"/>
      <c r="LGS197" s="360"/>
      <c r="LGT197" s="360"/>
      <c r="LGU197" s="360"/>
      <c r="LGV197" s="360"/>
      <c r="LGW197" s="360"/>
      <c r="LGX197" s="360"/>
      <c r="LGY197" s="360"/>
      <c r="LGZ197" s="360"/>
      <c r="LHA197" s="360"/>
      <c r="LHB197" s="360"/>
      <c r="LHC197" s="360"/>
      <c r="LHD197" s="360"/>
      <c r="LHE197" s="360"/>
      <c r="LHF197" s="360"/>
      <c r="LHG197" s="360"/>
      <c r="LHH197" s="360"/>
      <c r="LHI197" s="360"/>
      <c r="LHJ197" s="360"/>
      <c r="LHK197" s="360"/>
      <c r="LHL197" s="360"/>
      <c r="LHM197" s="360"/>
      <c r="LHN197" s="360"/>
      <c r="LHO197" s="360"/>
      <c r="LHP197" s="360"/>
      <c r="LHQ197" s="360"/>
      <c r="LHR197" s="360"/>
      <c r="LHS197" s="360"/>
      <c r="LHT197" s="360"/>
      <c r="LHU197" s="360"/>
      <c r="LHV197" s="360"/>
      <c r="LHW197" s="360"/>
      <c r="LHX197" s="360"/>
      <c r="LHY197" s="360"/>
      <c r="LHZ197" s="360"/>
      <c r="LIA197" s="360"/>
      <c r="LIB197" s="360"/>
      <c r="LIC197" s="360"/>
      <c r="LID197" s="360"/>
      <c r="LIE197" s="360"/>
      <c r="LIF197" s="360"/>
      <c r="LIG197" s="360"/>
      <c r="LIH197" s="360"/>
      <c r="LII197" s="360"/>
      <c r="LIJ197" s="360"/>
      <c r="LIK197" s="360"/>
      <c r="LIL197" s="360"/>
      <c r="LIM197" s="360"/>
      <c r="LIN197" s="360"/>
      <c r="LIO197" s="360"/>
      <c r="LIP197" s="360"/>
      <c r="LIQ197" s="360"/>
      <c r="LIR197" s="360"/>
      <c r="LIS197" s="360"/>
      <c r="LIT197" s="360"/>
      <c r="LIU197" s="360"/>
      <c r="LIV197" s="360"/>
      <c r="LIW197" s="360"/>
      <c r="LIX197" s="360"/>
      <c r="LIY197" s="360"/>
      <c r="LIZ197" s="360"/>
      <c r="LJA197" s="360"/>
      <c r="LJB197" s="360"/>
      <c r="LJC197" s="360"/>
      <c r="LJD197" s="360"/>
      <c r="LJE197" s="360"/>
      <c r="LJF197" s="360"/>
      <c r="LJG197" s="360"/>
      <c r="LJH197" s="360"/>
      <c r="LJI197" s="360"/>
      <c r="LJJ197" s="360"/>
      <c r="LJK197" s="360"/>
      <c r="LJL197" s="360"/>
      <c r="LJM197" s="360"/>
      <c r="LJN197" s="360"/>
      <c r="LJO197" s="360"/>
      <c r="LJP197" s="360"/>
      <c r="LJQ197" s="360"/>
      <c r="LJR197" s="360"/>
      <c r="LJS197" s="360"/>
      <c r="LJT197" s="360"/>
      <c r="LJU197" s="360"/>
      <c r="LJV197" s="360"/>
      <c r="LJW197" s="360"/>
      <c r="LJX197" s="360"/>
      <c r="LJY197" s="360"/>
      <c r="LJZ197" s="360"/>
      <c r="LKA197" s="360"/>
      <c r="LKB197" s="360"/>
      <c r="LKC197" s="360"/>
      <c r="LKD197" s="360"/>
      <c r="LKE197" s="360"/>
      <c r="LKF197" s="360"/>
      <c r="LKG197" s="360"/>
      <c r="LKH197" s="360"/>
      <c r="LKI197" s="360"/>
      <c r="LKJ197" s="360"/>
      <c r="LKK197" s="360"/>
      <c r="LKL197" s="360"/>
      <c r="LKM197" s="360"/>
      <c r="LKN197" s="360"/>
      <c r="LKO197" s="360"/>
      <c r="LKP197" s="360"/>
      <c r="LKQ197" s="360"/>
      <c r="LKR197" s="360"/>
      <c r="LKS197" s="360"/>
      <c r="LKT197" s="360"/>
      <c r="LKU197" s="360"/>
      <c r="LKV197" s="360"/>
      <c r="LKW197" s="360"/>
      <c r="LKX197" s="360"/>
      <c r="LKY197" s="360"/>
      <c r="LKZ197" s="360"/>
      <c r="LLA197" s="360"/>
      <c r="LLB197" s="360"/>
      <c r="LLC197" s="360"/>
      <c r="LLD197" s="360"/>
      <c r="LLE197" s="360"/>
      <c r="LLF197" s="360"/>
      <c r="LLG197" s="360"/>
      <c r="LLH197" s="360"/>
      <c r="LLI197" s="360"/>
      <c r="LLJ197" s="360"/>
      <c r="LLK197" s="360"/>
      <c r="LLL197" s="360"/>
      <c r="LLM197" s="360"/>
      <c r="LLN197" s="360"/>
      <c r="LLO197" s="360"/>
      <c r="LLP197" s="360"/>
      <c r="LLQ197" s="360"/>
      <c r="LLR197" s="360"/>
      <c r="LLS197" s="360"/>
      <c r="LLT197" s="360"/>
      <c r="LLU197" s="360"/>
      <c r="LLV197" s="360"/>
      <c r="LLW197" s="360"/>
      <c r="LLX197" s="360"/>
      <c r="LLY197" s="360"/>
      <c r="LLZ197" s="360"/>
      <c r="LMA197" s="360"/>
      <c r="LMB197" s="360"/>
      <c r="LMC197" s="360"/>
      <c r="LMD197" s="360"/>
      <c r="LME197" s="360"/>
      <c r="LMF197" s="360"/>
      <c r="LMG197" s="360"/>
      <c r="LMH197" s="360"/>
      <c r="LMI197" s="360"/>
      <c r="LMJ197" s="360"/>
      <c r="LMK197" s="360"/>
      <c r="LML197" s="360"/>
      <c r="LMM197" s="360"/>
      <c r="LMN197" s="360"/>
      <c r="LMO197" s="360"/>
      <c r="LMP197" s="360"/>
      <c r="LMQ197" s="360"/>
      <c r="LMR197" s="360"/>
      <c r="LMS197" s="360"/>
      <c r="LMT197" s="360"/>
      <c r="LMU197" s="360"/>
      <c r="LMV197" s="360"/>
      <c r="LMW197" s="360"/>
      <c r="LMX197" s="360"/>
      <c r="LMY197" s="360"/>
      <c r="LMZ197" s="360"/>
      <c r="LNA197" s="360"/>
      <c r="LNB197" s="360"/>
      <c r="LNC197" s="360"/>
      <c r="LND197" s="360"/>
      <c r="LNE197" s="360"/>
      <c r="LNF197" s="360"/>
      <c r="LNG197" s="360"/>
      <c r="LNH197" s="360"/>
      <c r="LNI197" s="360"/>
      <c r="LNJ197" s="360"/>
      <c r="LNK197" s="360"/>
      <c r="LNL197" s="360"/>
      <c r="LNM197" s="360"/>
      <c r="LNN197" s="360"/>
      <c r="LNO197" s="360"/>
      <c r="LNP197" s="360"/>
      <c r="LNQ197" s="360"/>
      <c r="LNR197" s="360"/>
      <c r="LNS197" s="360"/>
      <c r="LNT197" s="360"/>
      <c r="LNU197" s="360"/>
      <c r="LNV197" s="360"/>
      <c r="LNW197" s="360"/>
      <c r="LNX197" s="360"/>
      <c r="LNY197" s="360"/>
      <c r="LNZ197" s="360"/>
      <c r="LOA197" s="360"/>
      <c r="LOB197" s="360"/>
      <c r="LOC197" s="360"/>
      <c r="LOD197" s="360"/>
      <c r="LOE197" s="360"/>
      <c r="LOF197" s="360"/>
      <c r="LOG197" s="360"/>
      <c r="LOH197" s="360"/>
      <c r="LOI197" s="360"/>
      <c r="LOJ197" s="360"/>
      <c r="LOK197" s="360"/>
      <c r="LOL197" s="360"/>
      <c r="LOM197" s="360"/>
      <c r="LON197" s="360"/>
      <c r="LOO197" s="360"/>
      <c r="LOP197" s="360"/>
      <c r="LOQ197" s="360"/>
      <c r="LOR197" s="360"/>
      <c r="LOS197" s="360"/>
      <c r="LOT197" s="360"/>
      <c r="LOU197" s="360"/>
      <c r="LOV197" s="360"/>
      <c r="LOW197" s="360"/>
      <c r="LOX197" s="360"/>
      <c r="LOY197" s="360"/>
      <c r="LOZ197" s="360"/>
      <c r="LPA197" s="360"/>
      <c r="LPB197" s="360"/>
      <c r="LPC197" s="360"/>
      <c r="LPD197" s="360"/>
      <c r="LPE197" s="360"/>
      <c r="LPF197" s="360"/>
      <c r="LPG197" s="360"/>
      <c r="LPH197" s="360"/>
      <c r="LPI197" s="360"/>
      <c r="LPJ197" s="360"/>
      <c r="LPK197" s="360"/>
      <c r="LPL197" s="360"/>
      <c r="LPM197" s="360"/>
      <c r="LPN197" s="360"/>
      <c r="LPO197" s="360"/>
      <c r="LPP197" s="360"/>
      <c r="LPQ197" s="360"/>
      <c r="LPR197" s="360"/>
      <c r="LPS197" s="360"/>
      <c r="LPT197" s="360"/>
      <c r="LPU197" s="360"/>
      <c r="LPV197" s="360"/>
      <c r="LPW197" s="360"/>
      <c r="LPX197" s="360"/>
      <c r="LPY197" s="360"/>
      <c r="LPZ197" s="360"/>
      <c r="LQA197" s="360"/>
      <c r="LQB197" s="360"/>
      <c r="LQC197" s="360"/>
      <c r="LQD197" s="360"/>
      <c r="LQE197" s="360"/>
      <c r="LQF197" s="360"/>
      <c r="LQG197" s="360"/>
      <c r="LQH197" s="360"/>
      <c r="LQI197" s="360"/>
      <c r="LQJ197" s="360"/>
      <c r="LQK197" s="360"/>
      <c r="LQL197" s="360"/>
      <c r="LQM197" s="360"/>
      <c r="LQN197" s="360"/>
      <c r="LQO197" s="360"/>
      <c r="LQP197" s="360"/>
      <c r="LQQ197" s="360"/>
      <c r="LQR197" s="360"/>
      <c r="LQS197" s="360"/>
      <c r="LQT197" s="360"/>
      <c r="LQU197" s="360"/>
      <c r="LQV197" s="360"/>
      <c r="LQW197" s="360"/>
      <c r="LQX197" s="360"/>
      <c r="LQY197" s="360"/>
      <c r="LQZ197" s="360"/>
      <c r="LRA197" s="360"/>
      <c r="LRB197" s="360"/>
      <c r="LRC197" s="360"/>
      <c r="LRD197" s="360"/>
      <c r="LRE197" s="360"/>
      <c r="LRF197" s="360"/>
      <c r="LRG197" s="360"/>
      <c r="LRH197" s="360"/>
      <c r="LRI197" s="360"/>
      <c r="LRJ197" s="360"/>
      <c r="LRK197" s="360"/>
      <c r="LRL197" s="360"/>
      <c r="LRM197" s="360"/>
      <c r="LRN197" s="360"/>
      <c r="LRO197" s="360"/>
      <c r="LRP197" s="360"/>
      <c r="LRQ197" s="360"/>
      <c r="LRR197" s="360"/>
      <c r="LRS197" s="360"/>
      <c r="LRT197" s="360"/>
      <c r="LRU197" s="360"/>
      <c r="LRV197" s="360"/>
      <c r="LRW197" s="360"/>
      <c r="LRX197" s="360"/>
      <c r="LRY197" s="360"/>
      <c r="LRZ197" s="360"/>
      <c r="LSA197" s="360"/>
      <c r="LSB197" s="360"/>
      <c r="LSC197" s="360"/>
      <c r="LSD197" s="360"/>
      <c r="LSE197" s="360"/>
      <c r="LSF197" s="360"/>
      <c r="LSG197" s="360"/>
      <c r="LSH197" s="360"/>
      <c r="LSI197" s="360"/>
      <c r="LSJ197" s="360"/>
      <c r="LSK197" s="360"/>
      <c r="LSL197" s="360"/>
      <c r="LSM197" s="360"/>
      <c r="LSN197" s="360"/>
      <c r="LSO197" s="360"/>
      <c r="LSP197" s="360"/>
      <c r="LSQ197" s="360"/>
      <c r="LSR197" s="360"/>
      <c r="LSS197" s="360"/>
      <c r="LST197" s="360"/>
      <c r="LSU197" s="360"/>
      <c r="LSV197" s="360"/>
      <c r="LSW197" s="360"/>
      <c r="LSX197" s="360"/>
      <c r="LSY197" s="360"/>
      <c r="LSZ197" s="360"/>
      <c r="LTA197" s="360"/>
      <c r="LTB197" s="360"/>
      <c r="LTC197" s="360"/>
      <c r="LTD197" s="360"/>
      <c r="LTE197" s="360"/>
      <c r="LTF197" s="360"/>
      <c r="LTG197" s="360"/>
      <c r="LTH197" s="360"/>
      <c r="LTI197" s="360"/>
      <c r="LTJ197" s="360"/>
      <c r="LTK197" s="360"/>
      <c r="LTL197" s="360"/>
      <c r="LTM197" s="360"/>
      <c r="LTN197" s="360"/>
      <c r="LTO197" s="360"/>
      <c r="LTP197" s="360"/>
      <c r="LTQ197" s="360"/>
      <c r="LTR197" s="360"/>
      <c r="LTS197" s="360"/>
      <c r="LTT197" s="360"/>
      <c r="LTU197" s="360"/>
      <c r="LTV197" s="360"/>
      <c r="LTW197" s="360"/>
      <c r="LTX197" s="360"/>
      <c r="LTY197" s="360"/>
      <c r="LTZ197" s="360"/>
      <c r="LUA197" s="360"/>
      <c r="LUB197" s="360"/>
      <c r="LUC197" s="360"/>
      <c r="LUD197" s="360"/>
      <c r="LUE197" s="360"/>
      <c r="LUF197" s="360"/>
      <c r="LUG197" s="360"/>
      <c r="LUH197" s="360"/>
      <c r="LUI197" s="360"/>
      <c r="LUJ197" s="360"/>
      <c r="LUK197" s="360"/>
      <c r="LUL197" s="360"/>
      <c r="LUM197" s="360"/>
      <c r="LUN197" s="360"/>
      <c r="LUO197" s="360"/>
      <c r="LUP197" s="360"/>
      <c r="LUQ197" s="360"/>
      <c r="LUR197" s="360"/>
      <c r="LUS197" s="360"/>
      <c r="LUT197" s="360"/>
      <c r="LUU197" s="360"/>
      <c r="LUV197" s="360"/>
      <c r="LUW197" s="360"/>
      <c r="LUX197" s="360"/>
      <c r="LUY197" s="360"/>
      <c r="LUZ197" s="360"/>
      <c r="LVA197" s="360"/>
      <c r="LVB197" s="360"/>
      <c r="LVC197" s="360"/>
      <c r="LVD197" s="360"/>
      <c r="LVE197" s="360"/>
      <c r="LVF197" s="360"/>
      <c r="LVG197" s="360"/>
      <c r="LVH197" s="360"/>
      <c r="LVI197" s="360"/>
      <c r="LVJ197" s="360"/>
      <c r="LVK197" s="360"/>
      <c r="LVL197" s="360"/>
      <c r="LVM197" s="360"/>
      <c r="LVN197" s="360"/>
      <c r="LVO197" s="360"/>
      <c r="LVP197" s="360"/>
      <c r="LVQ197" s="360"/>
      <c r="LVR197" s="360"/>
      <c r="LVS197" s="360"/>
      <c r="LVT197" s="360"/>
      <c r="LVU197" s="360"/>
      <c r="LVV197" s="360"/>
      <c r="LVW197" s="360"/>
      <c r="LVX197" s="360"/>
      <c r="LVY197" s="360"/>
      <c r="LVZ197" s="360"/>
      <c r="LWA197" s="360"/>
      <c r="LWB197" s="360"/>
      <c r="LWC197" s="360"/>
      <c r="LWD197" s="360"/>
      <c r="LWE197" s="360"/>
      <c r="LWF197" s="360"/>
      <c r="LWG197" s="360"/>
      <c r="LWH197" s="360"/>
      <c r="LWI197" s="360"/>
      <c r="LWJ197" s="360"/>
      <c r="LWK197" s="360"/>
      <c r="LWL197" s="360"/>
      <c r="LWM197" s="360"/>
      <c r="LWN197" s="360"/>
      <c r="LWO197" s="360"/>
      <c r="LWP197" s="360"/>
      <c r="LWQ197" s="360"/>
      <c r="LWR197" s="360"/>
      <c r="LWS197" s="360"/>
      <c r="LWT197" s="360"/>
      <c r="LWU197" s="360"/>
      <c r="LWV197" s="360"/>
      <c r="LWW197" s="360"/>
      <c r="LWX197" s="360"/>
      <c r="LWY197" s="360"/>
      <c r="LWZ197" s="360"/>
      <c r="LXA197" s="360"/>
      <c r="LXB197" s="360"/>
      <c r="LXC197" s="360"/>
      <c r="LXD197" s="360"/>
      <c r="LXE197" s="360"/>
      <c r="LXF197" s="360"/>
      <c r="LXG197" s="360"/>
      <c r="LXH197" s="360"/>
      <c r="LXI197" s="360"/>
      <c r="LXJ197" s="360"/>
      <c r="LXK197" s="360"/>
      <c r="LXL197" s="360"/>
      <c r="LXM197" s="360"/>
      <c r="LXN197" s="360"/>
      <c r="LXO197" s="360"/>
      <c r="LXP197" s="360"/>
      <c r="LXQ197" s="360"/>
      <c r="LXR197" s="360"/>
      <c r="LXS197" s="360"/>
      <c r="LXT197" s="360"/>
      <c r="LXU197" s="360"/>
      <c r="LXV197" s="360"/>
      <c r="LXW197" s="360"/>
      <c r="LXX197" s="360"/>
      <c r="LXY197" s="360"/>
      <c r="LXZ197" s="360"/>
      <c r="LYA197" s="360"/>
      <c r="LYB197" s="360"/>
      <c r="LYC197" s="360"/>
      <c r="LYD197" s="360"/>
      <c r="LYE197" s="360"/>
      <c r="LYF197" s="360"/>
      <c r="LYG197" s="360"/>
      <c r="LYH197" s="360"/>
      <c r="LYI197" s="360"/>
      <c r="LYJ197" s="360"/>
      <c r="LYK197" s="360"/>
      <c r="LYL197" s="360"/>
      <c r="LYM197" s="360"/>
      <c r="LYN197" s="360"/>
      <c r="LYO197" s="360"/>
      <c r="LYP197" s="360"/>
      <c r="LYQ197" s="360"/>
      <c r="LYR197" s="360"/>
      <c r="LYS197" s="360"/>
      <c r="LYT197" s="360"/>
      <c r="LYU197" s="360"/>
      <c r="LYV197" s="360"/>
      <c r="LYW197" s="360"/>
      <c r="LYX197" s="360"/>
      <c r="LYY197" s="360"/>
      <c r="LYZ197" s="360"/>
      <c r="LZA197" s="360"/>
      <c r="LZB197" s="360"/>
      <c r="LZC197" s="360"/>
      <c r="LZD197" s="360"/>
      <c r="LZE197" s="360"/>
      <c r="LZF197" s="360"/>
      <c r="LZG197" s="360"/>
      <c r="LZH197" s="360"/>
      <c r="LZI197" s="360"/>
      <c r="LZJ197" s="360"/>
      <c r="LZK197" s="360"/>
      <c r="LZL197" s="360"/>
      <c r="LZM197" s="360"/>
      <c r="LZN197" s="360"/>
      <c r="LZO197" s="360"/>
      <c r="LZP197" s="360"/>
      <c r="LZQ197" s="360"/>
      <c r="LZR197" s="360"/>
      <c r="LZS197" s="360"/>
      <c r="LZT197" s="360"/>
      <c r="LZU197" s="360"/>
      <c r="LZV197" s="360"/>
      <c r="LZW197" s="360"/>
      <c r="LZX197" s="360"/>
      <c r="LZY197" s="360"/>
      <c r="LZZ197" s="360"/>
      <c r="MAA197" s="360"/>
      <c r="MAB197" s="360"/>
      <c r="MAC197" s="360"/>
      <c r="MAD197" s="360"/>
      <c r="MAE197" s="360"/>
      <c r="MAF197" s="360"/>
      <c r="MAG197" s="360"/>
      <c r="MAH197" s="360"/>
      <c r="MAI197" s="360"/>
      <c r="MAJ197" s="360"/>
      <c r="MAK197" s="360"/>
      <c r="MAL197" s="360"/>
      <c r="MAM197" s="360"/>
      <c r="MAN197" s="360"/>
      <c r="MAO197" s="360"/>
      <c r="MAP197" s="360"/>
      <c r="MAQ197" s="360"/>
      <c r="MAR197" s="360"/>
      <c r="MAS197" s="360"/>
      <c r="MAT197" s="360"/>
      <c r="MAU197" s="360"/>
      <c r="MAV197" s="360"/>
      <c r="MAW197" s="360"/>
      <c r="MAX197" s="360"/>
      <c r="MAY197" s="360"/>
      <c r="MAZ197" s="360"/>
      <c r="MBA197" s="360"/>
      <c r="MBB197" s="360"/>
      <c r="MBC197" s="360"/>
      <c r="MBD197" s="360"/>
      <c r="MBE197" s="360"/>
      <c r="MBF197" s="360"/>
      <c r="MBG197" s="360"/>
      <c r="MBH197" s="360"/>
      <c r="MBI197" s="360"/>
      <c r="MBJ197" s="360"/>
      <c r="MBK197" s="360"/>
      <c r="MBL197" s="360"/>
      <c r="MBM197" s="360"/>
      <c r="MBN197" s="360"/>
      <c r="MBO197" s="360"/>
      <c r="MBP197" s="360"/>
      <c r="MBQ197" s="360"/>
      <c r="MBR197" s="360"/>
      <c r="MBS197" s="360"/>
      <c r="MBT197" s="360"/>
      <c r="MBU197" s="360"/>
      <c r="MBV197" s="360"/>
      <c r="MBW197" s="360"/>
      <c r="MBX197" s="360"/>
      <c r="MBY197" s="360"/>
      <c r="MBZ197" s="360"/>
      <c r="MCA197" s="360"/>
      <c r="MCB197" s="360"/>
      <c r="MCC197" s="360"/>
      <c r="MCD197" s="360"/>
      <c r="MCE197" s="360"/>
      <c r="MCF197" s="360"/>
      <c r="MCG197" s="360"/>
      <c r="MCH197" s="360"/>
      <c r="MCI197" s="360"/>
      <c r="MCJ197" s="360"/>
      <c r="MCK197" s="360"/>
      <c r="MCL197" s="360"/>
      <c r="MCM197" s="360"/>
      <c r="MCN197" s="360"/>
      <c r="MCO197" s="360"/>
      <c r="MCP197" s="360"/>
      <c r="MCQ197" s="360"/>
      <c r="MCR197" s="360"/>
      <c r="MCS197" s="360"/>
      <c r="MCT197" s="360"/>
      <c r="MCU197" s="360"/>
      <c r="MCV197" s="360"/>
      <c r="MCW197" s="360"/>
      <c r="MCX197" s="360"/>
      <c r="MCY197" s="360"/>
      <c r="MCZ197" s="360"/>
      <c r="MDA197" s="360"/>
      <c r="MDB197" s="360"/>
      <c r="MDC197" s="360"/>
      <c r="MDD197" s="360"/>
      <c r="MDE197" s="360"/>
      <c r="MDF197" s="360"/>
      <c r="MDG197" s="360"/>
      <c r="MDH197" s="360"/>
      <c r="MDI197" s="360"/>
      <c r="MDJ197" s="360"/>
      <c r="MDK197" s="360"/>
      <c r="MDL197" s="360"/>
      <c r="MDM197" s="360"/>
      <c r="MDN197" s="360"/>
      <c r="MDO197" s="360"/>
      <c r="MDP197" s="360"/>
      <c r="MDQ197" s="360"/>
      <c r="MDR197" s="360"/>
      <c r="MDS197" s="360"/>
      <c r="MDT197" s="360"/>
      <c r="MDU197" s="360"/>
      <c r="MDV197" s="360"/>
      <c r="MDW197" s="360"/>
      <c r="MDX197" s="360"/>
      <c r="MDY197" s="360"/>
      <c r="MDZ197" s="360"/>
      <c r="MEA197" s="360"/>
      <c r="MEB197" s="360"/>
      <c r="MEC197" s="360"/>
      <c r="MED197" s="360"/>
      <c r="MEE197" s="360"/>
      <c r="MEF197" s="360"/>
      <c r="MEG197" s="360"/>
      <c r="MEH197" s="360"/>
      <c r="MEI197" s="360"/>
      <c r="MEJ197" s="360"/>
      <c r="MEK197" s="360"/>
      <c r="MEL197" s="360"/>
      <c r="MEM197" s="360"/>
      <c r="MEN197" s="360"/>
      <c r="MEO197" s="360"/>
      <c r="MEP197" s="360"/>
      <c r="MEQ197" s="360"/>
      <c r="MER197" s="360"/>
      <c r="MES197" s="360"/>
      <c r="MET197" s="360"/>
      <c r="MEU197" s="360"/>
      <c r="MEV197" s="360"/>
      <c r="MEW197" s="360"/>
      <c r="MEX197" s="360"/>
      <c r="MEY197" s="360"/>
      <c r="MEZ197" s="360"/>
      <c r="MFA197" s="360"/>
      <c r="MFB197" s="360"/>
      <c r="MFC197" s="360"/>
      <c r="MFD197" s="360"/>
      <c r="MFE197" s="360"/>
      <c r="MFF197" s="360"/>
      <c r="MFG197" s="360"/>
      <c r="MFH197" s="360"/>
      <c r="MFI197" s="360"/>
      <c r="MFJ197" s="360"/>
      <c r="MFK197" s="360"/>
      <c r="MFL197" s="360"/>
      <c r="MFM197" s="360"/>
      <c r="MFN197" s="360"/>
      <c r="MFO197" s="360"/>
      <c r="MFP197" s="360"/>
      <c r="MFQ197" s="360"/>
      <c r="MFR197" s="360"/>
      <c r="MFS197" s="360"/>
      <c r="MFT197" s="360"/>
      <c r="MFU197" s="360"/>
      <c r="MFV197" s="360"/>
      <c r="MFW197" s="360"/>
      <c r="MFX197" s="360"/>
      <c r="MFY197" s="360"/>
      <c r="MFZ197" s="360"/>
      <c r="MGA197" s="360"/>
      <c r="MGB197" s="360"/>
      <c r="MGC197" s="360"/>
      <c r="MGD197" s="360"/>
      <c r="MGE197" s="360"/>
      <c r="MGF197" s="360"/>
      <c r="MGG197" s="360"/>
      <c r="MGH197" s="360"/>
      <c r="MGI197" s="360"/>
      <c r="MGJ197" s="360"/>
      <c r="MGK197" s="360"/>
      <c r="MGL197" s="360"/>
      <c r="MGM197" s="360"/>
      <c r="MGN197" s="360"/>
      <c r="MGO197" s="360"/>
      <c r="MGP197" s="360"/>
      <c r="MGQ197" s="360"/>
      <c r="MGR197" s="360"/>
      <c r="MGS197" s="360"/>
      <c r="MGT197" s="360"/>
      <c r="MGU197" s="360"/>
      <c r="MGV197" s="360"/>
      <c r="MGW197" s="360"/>
      <c r="MGX197" s="360"/>
      <c r="MGY197" s="360"/>
      <c r="MGZ197" s="360"/>
      <c r="MHA197" s="360"/>
      <c r="MHB197" s="360"/>
      <c r="MHC197" s="360"/>
      <c r="MHD197" s="360"/>
      <c r="MHE197" s="360"/>
      <c r="MHF197" s="360"/>
      <c r="MHG197" s="360"/>
      <c r="MHH197" s="360"/>
      <c r="MHI197" s="360"/>
      <c r="MHJ197" s="360"/>
      <c r="MHK197" s="360"/>
      <c r="MHL197" s="360"/>
      <c r="MHM197" s="360"/>
      <c r="MHN197" s="360"/>
      <c r="MHO197" s="360"/>
      <c r="MHP197" s="360"/>
      <c r="MHQ197" s="360"/>
      <c r="MHR197" s="360"/>
      <c r="MHS197" s="360"/>
      <c r="MHT197" s="360"/>
      <c r="MHU197" s="360"/>
      <c r="MHV197" s="360"/>
      <c r="MHW197" s="360"/>
      <c r="MHX197" s="360"/>
      <c r="MHY197" s="360"/>
      <c r="MHZ197" s="360"/>
      <c r="MIA197" s="360"/>
      <c r="MIB197" s="360"/>
      <c r="MIC197" s="360"/>
      <c r="MID197" s="360"/>
      <c r="MIE197" s="360"/>
      <c r="MIF197" s="360"/>
      <c r="MIG197" s="360"/>
      <c r="MIH197" s="360"/>
      <c r="MII197" s="360"/>
      <c r="MIJ197" s="360"/>
      <c r="MIK197" s="360"/>
      <c r="MIL197" s="360"/>
      <c r="MIM197" s="360"/>
      <c r="MIN197" s="360"/>
      <c r="MIO197" s="360"/>
      <c r="MIP197" s="360"/>
      <c r="MIQ197" s="360"/>
      <c r="MIR197" s="360"/>
      <c r="MIS197" s="360"/>
      <c r="MIT197" s="360"/>
      <c r="MIU197" s="360"/>
      <c r="MIV197" s="360"/>
      <c r="MIW197" s="360"/>
      <c r="MIX197" s="360"/>
      <c r="MIY197" s="360"/>
      <c r="MIZ197" s="360"/>
      <c r="MJA197" s="360"/>
      <c r="MJB197" s="360"/>
      <c r="MJC197" s="360"/>
      <c r="MJD197" s="360"/>
      <c r="MJE197" s="360"/>
      <c r="MJF197" s="360"/>
      <c r="MJG197" s="360"/>
      <c r="MJH197" s="360"/>
      <c r="MJI197" s="360"/>
      <c r="MJJ197" s="360"/>
      <c r="MJK197" s="360"/>
      <c r="MJL197" s="360"/>
      <c r="MJM197" s="360"/>
      <c r="MJN197" s="360"/>
      <c r="MJO197" s="360"/>
      <c r="MJP197" s="360"/>
      <c r="MJQ197" s="360"/>
      <c r="MJR197" s="360"/>
      <c r="MJS197" s="360"/>
      <c r="MJT197" s="360"/>
      <c r="MJU197" s="360"/>
      <c r="MJV197" s="360"/>
      <c r="MJW197" s="360"/>
      <c r="MJX197" s="360"/>
      <c r="MJY197" s="360"/>
      <c r="MJZ197" s="360"/>
      <c r="MKA197" s="360"/>
      <c r="MKB197" s="360"/>
      <c r="MKC197" s="360"/>
      <c r="MKD197" s="360"/>
      <c r="MKE197" s="360"/>
      <c r="MKF197" s="360"/>
      <c r="MKG197" s="360"/>
      <c r="MKH197" s="360"/>
      <c r="MKI197" s="360"/>
      <c r="MKJ197" s="360"/>
      <c r="MKK197" s="360"/>
      <c r="MKL197" s="360"/>
      <c r="MKM197" s="360"/>
      <c r="MKN197" s="360"/>
      <c r="MKO197" s="360"/>
      <c r="MKP197" s="360"/>
      <c r="MKQ197" s="360"/>
      <c r="MKR197" s="360"/>
      <c r="MKS197" s="360"/>
      <c r="MKT197" s="360"/>
      <c r="MKU197" s="360"/>
      <c r="MKV197" s="360"/>
      <c r="MKW197" s="360"/>
      <c r="MKX197" s="360"/>
      <c r="MKY197" s="360"/>
      <c r="MKZ197" s="360"/>
      <c r="MLA197" s="360"/>
      <c r="MLB197" s="360"/>
      <c r="MLC197" s="360"/>
      <c r="MLD197" s="360"/>
      <c r="MLE197" s="360"/>
      <c r="MLF197" s="360"/>
      <c r="MLG197" s="360"/>
      <c r="MLH197" s="360"/>
      <c r="MLI197" s="360"/>
      <c r="MLJ197" s="360"/>
      <c r="MLK197" s="360"/>
      <c r="MLL197" s="360"/>
      <c r="MLM197" s="360"/>
      <c r="MLN197" s="360"/>
      <c r="MLO197" s="360"/>
      <c r="MLP197" s="360"/>
      <c r="MLQ197" s="360"/>
      <c r="MLR197" s="360"/>
      <c r="MLS197" s="360"/>
      <c r="MLT197" s="360"/>
      <c r="MLU197" s="360"/>
      <c r="MLV197" s="360"/>
      <c r="MLW197" s="360"/>
      <c r="MLX197" s="360"/>
      <c r="MLY197" s="360"/>
      <c r="MLZ197" s="360"/>
      <c r="MMA197" s="360"/>
      <c r="MMB197" s="360"/>
      <c r="MMC197" s="360"/>
      <c r="MMD197" s="360"/>
      <c r="MME197" s="360"/>
      <c r="MMF197" s="360"/>
      <c r="MMG197" s="360"/>
      <c r="MMH197" s="360"/>
      <c r="MMI197" s="360"/>
      <c r="MMJ197" s="360"/>
      <c r="MMK197" s="360"/>
      <c r="MML197" s="360"/>
      <c r="MMM197" s="360"/>
      <c r="MMN197" s="360"/>
      <c r="MMO197" s="360"/>
      <c r="MMP197" s="360"/>
      <c r="MMQ197" s="360"/>
      <c r="MMR197" s="360"/>
      <c r="MMS197" s="360"/>
      <c r="MMT197" s="360"/>
      <c r="MMU197" s="360"/>
      <c r="MMV197" s="360"/>
      <c r="MMW197" s="360"/>
      <c r="MMX197" s="360"/>
      <c r="MMY197" s="360"/>
      <c r="MMZ197" s="360"/>
      <c r="MNA197" s="360"/>
      <c r="MNB197" s="360"/>
      <c r="MNC197" s="360"/>
      <c r="MND197" s="360"/>
      <c r="MNE197" s="360"/>
      <c r="MNF197" s="360"/>
      <c r="MNG197" s="360"/>
      <c r="MNH197" s="360"/>
      <c r="MNI197" s="360"/>
      <c r="MNJ197" s="360"/>
      <c r="MNK197" s="360"/>
      <c r="MNL197" s="360"/>
      <c r="MNM197" s="360"/>
      <c r="MNN197" s="360"/>
      <c r="MNO197" s="360"/>
      <c r="MNP197" s="360"/>
      <c r="MNQ197" s="360"/>
      <c r="MNR197" s="360"/>
      <c r="MNS197" s="360"/>
      <c r="MNT197" s="360"/>
      <c r="MNU197" s="360"/>
      <c r="MNV197" s="360"/>
      <c r="MNW197" s="360"/>
      <c r="MNX197" s="360"/>
      <c r="MNY197" s="360"/>
      <c r="MNZ197" s="360"/>
      <c r="MOA197" s="360"/>
      <c r="MOB197" s="360"/>
      <c r="MOC197" s="360"/>
      <c r="MOD197" s="360"/>
      <c r="MOE197" s="360"/>
      <c r="MOF197" s="360"/>
      <c r="MOG197" s="360"/>
      <c r="MOH197" s="360"/>
      <c r="MOI197" s="360"/>
      <c r="MOJ197" s="360"/>
      <c r="MOK197" s="360"/>
      <c r="MOL197" s="360"/>
      <c r="MOM197" s="360"/>
      <c r="MON197" s="360"/>
      <c r="MOO197" s="360"/>
      <c r="MOP197" s="360"/>
      <c r="MOQ197" s="360"/>
      <c r="MOR197" s="360"/>
      <c r="MOS197" s="360"/>
      <c r="MOT197" s="360"/>
      <c r="MOU197" s="360"/>
      <c r="MOV197" s="360"/>
      <c r="MOW197" s="360"/>
      <c r="MOX197" s="360"/>
      <c r="MOY197" s="360"/>
      <c r="MOZ197" s="360"/>
      <c r="MPA197" s="360"/>
      <c r="MPB197" s="360"/>
      <c r="MPC197" s="360"/>
      <c r="MPD197" s="360"/>
      <c r="MPE197" s="360"/>
      <c r="MPF197" s="360"/>
      <c r="MPG197" s="360"/>
      <c r="MPH197" s="360"/>
      <c r="MPI197" s="360"/>
      <c r="MPJ197" s="360"/>
      <c r="MPK197" s="360"/>
      <c r="MPL197" s="360"/>
      <c r="MPM197" s="360"/>
      <c r="MPN197" s="360"/>
      <c r="MPO197" s="360"/>
      <c r="MPP197" s="360"/>
      <c r="MPQ197" s="360"/>
      <c r="MPR197" s="360"/>
      <c r="MPS197" s="360"/>
      <c r="MPT197" s="360"/>
      <c r="MPU197" s="360"/>
      <c r="MPV197" s="360"/>
      <c r="MPW197" s="360"/>
      <c r="MPX197" s="360"/>
      <c r="MPY197" s="360"/>
      <c r="MPZ197" s="360"/>
      <c r="MQA197" s="360"/>
      <c r="MQB197" s="360"/>
      <c r="MQC197" s="360"/>
      <c r="MQD197" s="360"/>
      <c r="MQE197" s="360"/>
      <c r="MQF197" s="360"/>
      <c r="MQG197" s="360"/>
      <c r="MQH197" s="360"/>
      <c r="MQI197" s="360"/>
      <c r="MQJ197" s="360"/>
      <c r="MQK197" s="360"/>
      <c r="MQL197" s="360"/>
      <c r="MQM197" s="360"/>
      <c r="MQN197" s="360"/>
      <c r="MQO197" s="360"/>
      <c r="MQP197" s="360"/>
      <c r="MQQ197" s="360"/>
      <c r="MQR197" s="360"/>
      <c r="MQS197" s="360"/>
      <c r="MQT197" s="360"/>
      <c r="MQU197" s="360"/>
      <c r="MQV197" s="360"/>
      <c r="MQW197" s="360"/>
      <c r="MQX197" s="360"/>
      <c r="MQY197" s="360"/>
      <c r="MQZ197" s="360"/>
      <c r="MRA197" s="360"/>
      <c r="MRB197" s="360"/>
      <c r="MRC197" s="360"/>
      <c r="MRD197" s="360"/>
      <c r="MRE197" s="360"/>
      <c r="MRF197" s="360"/>
      <c r="MRG197" s="360"/>
      <c r="MRH197" s="360"/>
      <c r="MRI197" s="360"/>
      <c r="MRJ197" s="360"/>
      <c r="MRK197" s="360"/>
      <c r="MRL197" s="360"/>
      <c r="MRM197" s="360"/>
      <c r="MRN197" s="360"/>
      <c r="MRO197" s="360"/>
      <c r="MRP197" s="360"/>
      <c r="MRQ197" s="360"/>
      <c r="MRR197" s="360"/>
      <c r="MRS197" s="360"/>
      <c r="MRT197" s="360"/>
      <c r="MRU197" s="360"/>
      <c r="MRV197" s="360"/>
      <c r="MRW197" s="360"/>
      <c r="MRX197" s="360"/>
      <c r="MRY197" s="360"/>
      <c r="MRZ197" s="360"/>
      <c r="MSA197" s="360"/>
      <c r="MSB197" s="360"/>
      <c r="MSC197" s="360"/>
      <c r="MSD197" s="360"/>
      <c r="MSE197" s="360"/>
      <c r="MSF197" s="360"/>
      <c r="MSG197" s="360"/>
      <c r="MSH197" s="360"/>
      <c r="MSI197" s="360"/>
      <c r="MSJ197" s="360"/>
      <c r="MSK197" s="360"/>
      <c r="MSL197" s="360"/>
      <c r="MSM197" s="360"/>
      <c r="MSN197" s="360"/>
      <c r="MSO197" s="360"/>
      <c r="MSP197" s="360"/>
      <c r="MSQ197" s="360"/>
      <c r="MSR197" s="360"/>
      <c r="MSS197" s="360"/>
      <c r="MST197" s="360"/>
      <c r="MSU197" s="360"/>
      <c r="MSV197" s="360"/>
      <c r="MSW197" s="360"/>
      <c r="MSX197" s="360"/>
      <c r="MSY197" s="360"/>
      <c r="MSZ197" s="360"/>
      <c r="MTA197" s="360"/>
      <c r="MTB197" s="360"/>
      <c r="MTC197" s="360"/>
      <c r="MTD197" s="360"/>
      <c r="MTE197" s="360"/>
      <c r="MTF197" s="360"/>
      <c r="MTG197" s="360"/>
      <c r="MTH197" s="360"/>
      <c r="MTI197" s="360"/>
      <c r="MTJ197" s="360"/>
      <c r="MTK197" s="360"/>
      <c r="MTL197" s="360"/>
      <c r="MTM197" s="360"/>
      <c r="MTN197" s="360"/>
      <c r="MTO197" s="360"/>
      <c r="MTP197" s="360"/>
      <c r="MTQ197" s="360"/>
      <c r="MTR197" s="360"/>
      <c r="MTS197" s="360"/>
      <c r="MTT197" s="360"/>
      <c r="MTU197" s="360"/>
      <c r="MTV197" s="360"/>
      <c r="MTW197" s="360"/>
      <c r="MTX197" s="360"/>
      <c r="MTY197" s="360"/>
      <c r="MTZ197" s="360"/>
      <c r="MUA197" s="360"/>
      <c r="MUB197" s="360"/>
      <c r="MUC197" s="360"/>
      <c r="MUD197" s="360"/>
      <c r="MUE197" s="360"/>
      <c r="MUF197" s="360"/>
      <c r="MUG197" s="360"/>
      <c r="MUH197" s="360"/>
      <c r="MUI197" s="360"/>
      <c r="MUJ197" s="360"/>
      <c r="MUK197" s="360"/>
      <c r="MUL197" s="360"/>
      <c r="MUM197" s="360"/>
      <c r="MUN197" s="360"/>
      <c r="MUO197" s="360"/>
      <c r="MUP197" s="360"/>
      <c r="MUQ197" s="360"/>
      <c r="MUR197" s="360"/>
      <c r="MUS197" s="360"/>
      <c r="MUT197" s="360"/>
      <c r="MUU197" s="360"/>
      <c r="MUV197" s="360"/>
      <c r="MUW197" s="360"/>
      <c r="MUX197" s="360"/>
      <c r="MUY197" s="360"/>
      <c r="MUZ197" s="360"/>
      <c r="MVA197" s="360"/>
      <c r="MVB197" s="360"/>
      <c r="MVC197" s="360"/>
      <c r="MVD197" s="360"/>
      <c r="MVE197" s="360"/>
      <c r="MVF197" s="360"/>
      <c r="MVG197" s="360"/>
      <c r="MVH197" s="360"/>
      <c r="MVI197" s="360"/>
      <c r="MVJ197" s="360"/>
      <c r="MVK197" s="360"/>
      <c r="MVL197" s="360"/>
      <c r="MVM197" s="360"/>
      <c r="MVN197" s="360"/>
      <c r="MVO197" s="360"/>
      <c r="MVP197" s="360"/>
      <c r="MVQ197" s="360"/>
      <c r="MVR197" s="360"/>
      <c r="MVS197" s="360"/>
      <c r="MVT197" s="360"/>
      <c r="MVU197" s="360"/>
      <c r="MVV197" s="360"/>
      <c r="MVW197" s="360"/>
      <c r="MVX197" s="360"/>
      <c r="MVY197" s="360"/>
      <c r="MVZ197" s="360"/>
      <c r="MWA197" s="360"/>
      <c r="MWB197" s="360"/>
      <c r="MWC197" s="360"/>
      <c r="MWD197" s="360"/>
      <c r="MWE197" s="360"/>
      <c r="MWF197" s="360"/>
      <c r="MWG197" s="360"/>
      <c r="MWH197" s="360"/>
      <c r="MWI197" s="360"/>
      <c r="MWJ197" s="360"/>
      <c r="MWK197" s="360"/>
      <c r="MWL197" s="360"/>
      <c r="MWM197" s="360"/>
      <c r="MWN197" s="360"/>
      <c r="MWO197" s="360"/>
      <c r="MWP197" s="360"/>
      <c r="MWQ197" s="360"/>
      <c r="MWR197" s="360"/>
      <c r="MWS197" s="360"/>
      <c r="MWT197" s="360"/>
      <c r="MWU197" s="360"/>
      <c r="MWV197" s="360"/>
      <c r="MWW197" s="360"/>
      <c r="MWX197" s="360"/>
      <c r="MWY197" s="360"/>
      <c r="MWZ197" s="360"/>
      <c r="MXA197" s="360"/>
      <c r="MXB197" s="360"/>
      <c r="MXC197" s="360"/>
      <c r="MXD197" s="360"/>
      <c r="MXE197" s="360"/>
      <c r="MXF197" s="360"/>
      <c r="MXG197" s="360"/>
      <c r="MXH197" s="360"/>
      <c r="MXI197" s="360"/>
      <c r="MXJ197" s="360"/>
      <c r="MXK197" s="360"/>
      <c r="MXL197" s="360"/>
      <c r="MXM197" s="360"/>
      <c r="MXN197" s="360"/>
      <c r="MXO197" s="360"/>
      <c r="MXP197" s="360"/>
      <c r="MXQ197" s="360"/>
      <c r="MXR197" s="360"/>
      <c r="MXS197" s="360"/>
      <c r="MXT197" s="360"/>
      <c r="MXU197" s="360"/>
      <c r="MXV197" s="360"/>
      <c r="MXW197" s="360"/>
      <c r="MXX197" s="360"/>
      <c r="MXY197" s="360"/>
      <c r="MXZ197" s="360"/>
      <c r="MYA197" s="360"/>
      <c r="MYB197" s="360"/>
      <c r="MYC197" s="360"/>
      <c r="MYD197" s="360"/>
      <c r="MYE197" s="360"/>
      <c r="MYF197" s="360"/>
      <c r="MYG197" s="360"/>
      <c r="MYH197" s="360"/>
      <c r="MYI197" s="360"/>
      <c r="MYJ197" s="360"/>
      <c r="MYK197" s="360"/>
      <c r="MYL197" s="360"/>
      <c r="MYM197" s="360"/>
      <c r="MYN197" s="360"/>
      <c r="MYO197" s="360"/>
      <c r="MYP197" s="360"/>
      <c r="MYQ197" s="360"/>
      <c r="MYR197" s="360"/>
      <c r="MYS197" s="360"/>
      <c r="MYT197" s="360"/>
      <c r="MYU197" s="360"/>
      <c r="MYV197" s="360"/>
      <c r="MYW197" s="360"/>
      <c r="MYX197" s="360"/>
      <c r="MYY197" s="360"/>
      <c r="MYZ197" s="360"/>
      <c r="MZA197" s="360"/>
      <c r="MZB197" s="360"/>
      <c r="MZC197" s="360"/>
      <c r="MZD197" s="360"/>
      <c r="MZE197" s="360"/>
      <c r="MZF197" s="360"/>
      <c r="MZG197" s="360"/>
      <c r="MZH197" s="360"/>
      <c r="MZI197" s="360"/>
      <c r="MZJ197" s="360"/>
      <c r="MZK197" s="360"/>
      <c r="MZL197" s="360"/>
      <c r="MZM197" s="360"/>
      <c r="MZN197" s="360"/>
      <c r="MZO197" s="360"/>
      <c r="MZP197" s="360"/>
      <c r="MZQ197" s="360"/>
      <c r="MZR197" s="360"/>
      <c r="MZS197" s="360"/>
      <c r="MZT197" s="360"/>
      <c r="MZU197" s="360"/>
      <c r="MZV197" s="360"/>
      <c r="MZW197" s="360"/>
      <c r="MZX197" s="360"/>
      <c r="MZY197" s="360"/>
      <c r="MZZ197" s="360"/>
      <c r="NAA197" s="360"/>
      <c r="NAB197" s="360"/>
      <c r="NAC197" s="360"/>
      <c r="NAD197" s="360"/>
      <c r="NAE197" s="360"/>
      <c r="NAF197" s="360"/>
      <c r="NAG197" s="360"/>
      <c r="NAH197" s="360"/>
      <c r="NAI197" s="360"/>
      <c r="NAJ197" s="360"/>
      <c r="NAK197" s="360"/>
      <c r="NAL197" s="360"/>
      <c r="NAM197" s="360"/>
      <c r="NAN197" s="360"/>
      <c r="NAO197" s="360"/>
      <c r="NAP197" s="360"/>
      <c r="NAQ197" s="360"/>
      <c r="NAR197" s="360"/>
      <c r="NAS197" s="360"/>
      <c r="NAT197" s="360"/>
      <c r="NAU197" s="360"/>
      <c r="NAV197" s="360"/>
      <c r="NAW197" s="360"/>
      <c r="NAX197" s="360"/>
      <c r="NAY197" s="360"/>
      <c r="NAZ197" s="360"/>
      <c r="NBA197" s="360"/>
      <c r="NBB197" s="360"/>
      <c r="NBC197" s="360"/>
      <c r="NBD197" s="360"/>
      <c r="NBE197" s="360"/>
      <c r="NBF197" s="360"/>
      <c r="NBG197" s="360"/>
      <c r="NBH197" s="360"/>
      <c r="NBI197" s="360"/>
      <c r="NBJ197" s="360"/>
      <c r="NBK197" s="360"/>
      <c r="NBL197" s="360"/>
      <c r="NBM197" s="360"/>
      <c r="NBN197" s="360"/>
      <c r="NBO197" s="360"/>
      <c r="NBP197" s="360"/>
      <c r="NBQ197" s="360"/>
      <c r="NBR197" s="360"/>
      <c r="NBS197" s="360"/>
      <c r="NBT197" s="360"/>
      <c r="NBU197" s="360"/>
      <c r="NBV197" s="360"/>
      <c r="NBW197" s="360"/>
      <c r="NBX197" s="360"/>
      <c r="NBY197" s="360"/>
      <c r="NBZ197" s="360"/>
      <c r="NCA197" s="360"/>
      <c r="NCB197" s="360"/>
      <c r="NCC197" s="360"/>
      <c r="NCD197" s="360"/>
      <c r="NCE197" s="360"/>
      <c r="NCF197" s="360"/>
      <c r="NCG197" s="360"/>
      <c r="NCH197" s="360"/>
      <c r="NCI197" s="360"/>
      <c r="NCJ197" s="360"/>
      <c r="NCK197" s="360"/>
      <c r="NCL197" s="360"/>
      <c r="NCM197" s="360"/>
      <c r="NCN197" s="360"/>
      <c r="NCO197" s="360"/>
      <c r="NCP197" s="360"/>
      <c r="NCQ197" s="360"/>
      <c r="NCR197" s="360"/>
      <c r="NCS197" s="360"/>
      <c r="NCT197" s="360"/>
      <c r="NCU197" s="360"/>
      <c r="NCV197" s="360"/>
      <c r="NCW197" s="360"/>
      <c r="NCX197" s="360"/>
      <c r="NCY197" s="360"/>
      <c r="NCZ197" s="360"/>
      <c r="NDA197" s="360"/>
      <c r="NDB197" s="360"/>
      <c r="NDC197" s="360"/>
      <c r="NDD197" s="360"/>
      <c r="NDE197" s="360"/>
      <c r="NDF197" s="360"/>
      <c r="NDG197" s="360"/>
      <c r="NDH197" s="360"/>
      <c r="NDI197" s="360"/>
      <c r="NDJ197" s="360"/>
      <c r="NDK197" s="360"/>
      <c r="NDL197" s="360"/>
      <c r="NDM197" s="360"/>
      <c r="NDN197" s="360"/>
      <c r="NDO197" s="360"/>
      <c r="NDP197" s="360"/>
      <c r="NDQ197" s="360"/>
      <c r="NDR197" s="360"/>
      <c r="NDS197" s="360"/>
      <c r="NDT197" s="360"/>
      <c r="NDU197" s="360"/>
      <c r="NDV197" s="360"/>
      <c r="NDW197" s="360"/>
      <c r="NDX197" s="360"/>
      <c r="NDY197" s="360"/>
      <c r="NDZ197" s="360"/>
      <c r="NEA197" s="360"/>
      <c r="NEB197" s="360"/>
      <c r="NEC197" s="360"/>
      <c r="NED197" s="360"/>
      <c r="NEE197" s="360"/>
      <c r="NEF197" s="360"/>
      <c r="NEG197" s="360"/>
      <c r="NEH197" s="360"/>
      <c r="NEI197" s="360"/>
      <c r="NEJ197" s="360"/>
      <c r="NEK197" s="360"/>
      <c r="NEL197" s="360"/>
      <c r="NEM197" s="360"/>
      <c r="NEN197" s="360"/>
      <c r="NEO197" s="360"/>
      <c r="NEP197" s="360"/>
      <c r="NEQ197" s="360"/>
      <c r="NER197" s="360"/>
      <c r="NES197" s="360"/>
      <c r="NET197" s="360"/>
      <c r="NEU197" s="360"/>
      <c r="NEV197" s="360"/>
      <c r="NEW197" s="360"/>
      <c r="NEX197" s="360"/>
      <c r="NEY197" s="360"/>
      <c r="NEZ197" s="360"/>
      <c r="NFA197" s="360"/>
      <c r="NFB197" s="360"/>
      <c r="NFC197" s="360"/>
      <c r="NFD197" s="360"/>
      <c r="NFE197" s="360"/>
      <c r="NFF197" s="360"/>
      <c r="NFG197" s="360"/>
      <c r="NFH197" s="360"/>
      <c r="NFI197" s="360"/>
      <c r="NFJ197" s="360"/>
      <c r="NFK197" s="360"/>
      <c r="NFL197" s="360"/>
      <c r="NFM197" s="360"/>
      <c r="NFN197" s="360"/>
      <c r="NFO197" s="360"/>
      <c r="NFP197" s="360"/>
      <c r="NFQ197" s="360"/>
      <c r="NFR197" s="360"/>
      <c r="NFS197" s="360"/>
      <c r="NFT197" s="360"/>
      <c r="NFU197" s="360"/>
      <c r="NFV197" s="360"/>
      <c r="NFW197" s="360"/>
      <c r="NFX197" s="360"/>
      <c r="NFY197" s="360"/>
      <c r="NFZ197" s="360"/>
      <c r="NGA197" s="360"/>
      <c r="NGB197" s="360"/>
      <c r="NGC197" s="360"/>
      <c r="NGD197" s="360"/>
      <c r="NGE197" s="360"/>
      <c r="NGF197" s="360"/>
      <c r="NGG197" s="360"/>
      <c r="NGH197" s="360"/>
      <c r="NGI197" s="360"/>
      <c r="NGJ197" s="360"/>
      <c r="NGK197" s="360"/>
      <c r="NGL197" s="360"/>
      <c r="NGM197" s="360"/>
      <c r="NGN197" s="360"/>
      <c r="NGO197" s="360"/>
      <c r="NGP197" s="360"/>
      <c r="NGQ197" s="360"/>
      <c r="NGR197" s="360"/>
      <c r="NGS197" s="360"/>
      <c r="NGT197" s="360"/>
      <c r="NGU197" s="360"/>
      <c r="NGV197" s="360"/>
      <c r="NGW197" s="360"/>
      <c r="NGX197" s="360"/>
      <c r="NGY197" s="360"/>
      <c r="NGZ197" s="360"/>
      <c r="NHA197" s="360"/>
      <c r="NHB197" s="360"/>
      <c r="NHC197" s="360"/>
      <c r="NHD197" s="360"/>
      <c r="NHE197" s="360"/>
      <c r="NHF197" s="360"/>
      <c r="NHG197" s="360"/>
      <c r="NHH197" s="360"/>
      <c r="NHI197" s="360"/>
      <c r="NHJ197" s="360"/>
      <c r="NHK197" s="360"/>
      <c r="NHL197" s="360"/>
      <c r="NHM197" s="360"/>
      <c r="NHN197" s="360"/>
      <c r="NHO197" s="360"/>
      <c r="NHP197" s="360"/>
      <c r="NHQ197" s="360"/>
      <c r="NHR197" s="360"/>
      <c r="NHS197" s="360"/>
      <c r="NHT197" s="360"/>
      <c r="NHU197" s="360"/>
      <c r="NHV197" s="360"/>
      <c r="NHW197" s="360"/>
      <c r="NHX197" s="360"/>
      <c r="NHY197" s="360"/>
      <c r="NHZ197" s="360"/>
      <c r="NIA197" s="360"/>
      <c r="NIB197" s="360"/>
      <c r="NIC197" s="360"/>
      <c r="NID197" s="360"/>
      <c r="NIE197" s="360"/>
      <c r="NIF197" s="360"/>
      <c r="NIG197" s="360"/>
      <c r="NIH197" s="360"/>
      <c r="NII197" s="360"/>
      <c r="NIJ197" s="360"/>
      <c r="NIK197" s="360"/>
      <c r="NIL197" s="360"/>
      <c r="NIM197" s="360"/>
      <c r="NIN197" s="360"/>
      <c r="NIO197" s="360"/>
      <c r="NIP197" s="360"/>
      <c r="NIQ197" s="360"/>
      <c r="NIR197" s="360"/>
      <c r="NIS197" s="360"/>
      <c r="NIT197" s="360"/>
      <c r="NIU197" s="360"/>
      <c r="NIV197" s="360"/>
      <c r="NIW197" s="360"/>
      <c r="NIX197" s="360"/>
      <c r="NIY197" s="360"/>
      <c r="NIZ197" s="360"/>
      <c r="NJA197" s="360"/>
      <c r="NJB197" s="360"/>
      <c r="NJC197" s="360"/>
      <c r="NJD197" s="360"/>
      <c r="NJE197" s="360"/>
      <c r="NJF197" s="360"/>
      <c r="NJG197" s="360"/>
      <c r="NJH197" s="360"/>
      <c r="NJI197" s="360"/>
      <c r="NJJ197" s="360"/>
      <c r="NJK197" s="360"/>
      <c r="NJL197" s="360"/>
      <c r="NJM197" s="360"/>
      <c r="NJN197" s="360"/>
      <c r="NJO197" s="360"/>
      <c r="NJP197" s="360"/>
      <c r="NJQ197" s="360"/>
      <c r="NJR197" s="360"/>
      <c r="NJS197" s="360"/>
      <c r="NJT197" s="360"/>
      <c r="NJU197" s="360"/>
      <c r="NJV197" s="360"/>
      <c r="NJW197" s="360"/>
      <c r="NJX197" s="360"/>
      <c r="NJY197" s="360"/>
      <c r="NJZ197" s="360"/>
      <c r="NKA197" s="360"/>
      <c r="NKB197" s="360"/>
      <c r="NKC197" s="360"/>
      <c r="NKD197" s="360"/>
      <c r="NKE197" s="360"/>
      <c r="NKF197" s="360"/>
      <c r="NKG197" s="360"/>
      <c r="NKH197" s="360"/>
      <c r="NKI197" s="360"/>
      <c r="NKJ197" s="360"/>
      <c r="NKK197" s="360"/>
      <c r="NKL197" s="360"/>
      <c r="NKM197" s="360"/>
      <c r="NKN197" s="360"/>
      <c r="NKO197" s="360"/>
      <c r="NKP197" s="360"/>
      <c r="NKQ197" s="360"/>
      <c r="NKR197" s="360"/>
      <c r="NKS197" s="360"/>
      <c r="NKT197" s="360"/>
      <c r="NKU197" s="360"/>
      <c r="NKV197" s="360"/>
      <c r="NKW197" s="360"/>
      <c r="NKX197" s="360"/>
      <c r="NKY197" s="360"/>
      <c r="NKZ197" s="360"/>
      <c r="NLA197" s="360"/>
      <c r="NLB197" s="360"/>
      <c r="NLC197" s="360"/>
      <c r="NLD197" s="360"/>
      <c r="NLE197" s="360"/>
      <c r="NLF197" s="360"/>
      <c r="NLG197" s="360"/>
      <c r="NLH197" s="360"/>
      <c r="NLI197" s="360"/>
      <c r="NLJ197" s="360"/>
      <c r="NLK197" s="360"/>
      <c r="NLL197" s="360"/>
      <c r="NLM197" s="360"/>
      <c r="NLN197" s="360"/>
      <c r="NLO197" s="360"/>
      <c r="NLP197" s="360"/>
      <c r="NLQ197" s="360"/>
      <c r="NLR197" s="360"/>
      <c r="NLS197" s="360"/>
      <c r="NLT197" s="360"/>
      <c r="NLU197" s="360"/>
      <c r="NLV197" s="360"/>
      <c r="NLW197" s="360"/>
      <c r="NLX197" s="360"/>
      <c r="NLY197" s="360"/>
      <c r="NLZ197" s="360"/>
      <c r="NMA197" s="360"/>
      <c r="NMB197" s="360"/>
      <c r="NMC197" s="360"/>
      <c r="NMD197" s="360"/>
      <c r="NME197" s="360"/>
      <c r="NMF197" s="360"/>
      <c r="NMG197" s="360"/>
      <c r="NMH197" s="360"/>
      <c r="NMI197" s="360"/>
      <c r="NMJ197" s="360"/>
      <c r="NMK197" s="360"/>
      <c r="NML197" s="360"/>
      <c r="NMM197" s="360"/>
      <c r="NMN197" s="360"/>
      <c r="NMO197" s="360"/>
      <c r="NMP197" s="360"/>
      <c r="NMQ197" s="360"/>
      <c r="NMR197" s="360"/>
      <c r="NMS197" s="360"/>
      <c r="NMT197" s="360"/>
      <c r="NMU197" s="360"/>
      <c r="NMV197" s="360"/>
      <c r="NMW197" s="360"/>
      <c r="NMX197" s="360"/>
      <c r="NMY197" s="360"/>
      <c r="NMZ197" s="360"/>
      <c r="NNA197" s="360"/>
      <c r="NNB197" s="360"/>
      <c r="NNC197" s="360"/>
      <c r="NND197" s="360"/>
      <c r="NNE197" s="360"/>
      <c r="NNF197" s="360"/>
      <c r="NNG197" s="360"/>
      <c r="NNH197" s="360"/>
      <c r="NNI197" s="360"/>
      <c r="NNJ197" s="360"/>
      <c r="NNK197" s="360"/>
      <c r="NNL197" s="360"/>
      <c r="NNM197" s="360"/>
      <c r="NNN197" s="360"/>
      <c r="NNO197" s="360"/>
      <c r="NNP197" s="360"/>
      <c r="NNQ197" s="360"/>
      <c r="NNR197" s="360"/>
      <c r="NNS197" s="360"/>
      <c r="NNT197" s="360"/>
      <c r="NNU197" s="360"/>
      <c r="NNV197" s="360"/>
      <c r="NNW197" s="360"/>
      <c r="NNX197" s="360"/>
      <c r="NNY197" s="360"/>
      <c r="NNZ197" s="360"/>
      <c r="NOA197" s="360"/>
      <c r="NOB197" s="360"/>
      <c r="NOC197" s="360"/>
      <c r="NOD197" s="360"/>
      <c r="NOE197" s="360"/>
      <c r="NOF197" s="360"/>
      <c r="NOG197" s="360"/>
      <c r="NOH197" s="360"/>
      <c r="NOI197" s="360"/>
      <c r="NOJ197" s="360"/>
      <c r="NOK197" s="360"/>
      <c r="NOL197" s="360"/>
      <c r="NOM197" s="360"/>
      <c r="NON197" s="360"/>
      <c r="NOO197" s="360"/>
      <c r="NOP197" s="360"/>
      <c r="NOQ197" s="360"/>
      <c r="NOR197" s="360"/>
      <c r="NOS197" s="360"/>
      <c r="NOT197" s="360"/>
      <c r="NOU197" s="360"/>
      <c r="NOV197" s="360"/>
      <c r="NOW197" s="360"/>
      <c r="NOX197" s="360"/>
      <c r="NOY197" s="360"/>
      <c r="NOZ197" s="360"/>
      <c r="NPA197" s="360"/>
      <c r="NPB197" s="360"/>
      <c r="NPC197" s="360"/>
      <c r="NPD197" s="360"/>
      <c r="NPE197" s="360"/>
      <c r="NPF197" s="360"/>
      <c r="NPG197" s="360"/>
      <c r="NPH197" s="360"/>
      <c r="NPI197" s="360"/>
      <c r="NPJ197" s="360"/>
      <c r="NPK197" s="360"/>
      <c r="NPL197" s="360"/>
      <c r="NPM197" s="360"/>
      <c r="NPN197" s="360"/>
      <c r="NPO197" s="360"/>
      <c r="NPP197" s="360"/>
      <c r="NPQ197" s="360"/>
      <c r="NPR197" s="360"/>
      <c r="NPS197" s="360"/>
      <c r="NPT197" s="360"/>
      <c r="NPU197" s="360"/>
      <c r="NPV197" s="360"/>
      <c r="NPW197" s="360"/>
      <c r="NPX197" s="360"/>
      <c r="NPY197" s="360"/>
      <c r="NPZ197" s="360"/>
      <c r="NQA197" s="360"/>
      <c r="NQB197" s="360"/>
      <c r="NQC197" s="360"/>
      <c r="NQD197" s="360"/>
      <c r="NQE197" s="360"/>
      <c r="NQF197" s="360"/>
      <c r="NQG197" s="360"/>
      <c r="NQH197" s="360"/>
      <c r="NQI197" s="360"/>
      <c r="NQJ197" s="360"/>
      <c r="NQK197" s="360"/>
      <c r="NQL197" s="360"/>
      <c r="NQM197" s="360"/>
      <c r="NQN197" s="360"/>
      <c r="NQO197" s="360"/>
      <c r="NQP197" s="360"/>
      <c r="NQQ197" s="360"/>
      <c r="NQR197" s="360"/>
      <c r="NQS197" s="360"/>
      <c r="NQT197" s="360"/>
      <c r="NQU197" s="360"/>
      <c r="NQV197" s="360"/>
      <c r="NQW197" s="360"/>
      <c r="NQX197" s="360"/>
      <c r="NQY197" s="360"/>
      <c r="NQZ197" s="360"/>
      <c r="NRA197" s="360"/>
      <c r="NRB197" s="360"/>
      <c r="NRC197" s="360"/>
      <c r="NRD197" s="360"/>
      <c r="NRE197" s="360"/>
      <c r="NRF197" s="360"/>
      <c r="NRG197" s="360"/>
      <c r="NRH197" s="360"/>
      <c r="NRI197" s="360"/>
      <c r="NRJ197" s="360"/>
      <c r="NRK197" s="360"/>
      <c r="NRL197" s="360"/>
      <c r="NRM197" s="360"/>
      <c r="NRN197" s="360"/>
      <c r="NRO197" s="360"/>
      <c r="NRP197" s="360"/>
      <c r="NRQ197" s="360"/>
      <c r="NRR197" s="360"/>
      <c r="NRS197" s="360"/>
      <c r="NRT197" s="360"/>
      <c r="NRU197" s="360"/>
      <c r="NRV197" s="360"/>
      <c r="NRW197" s="360"/>
      <c r="NRX197" s="360"/>
      <c r="NRY197" s="360"/>
      <c r="NRZ197" s="360"/>
      <c r="NSA197" s="360"/>
      <c r="NSB197" s="360"/>
      <c r="NSC197" s="360"/>
      <c r="NSD197" s="360"/>
      <c r="NSE197" s="360"/>
      <c r="NSF197" s="360"/>
      <c r="NSG197" s="360"/>
      <c r="NSH197" s="360"/>
      <c r="NSI197" s="360"/>
      <c r="NSJ197" s="360"/>
      <c r="NSK197" s="360"/>
      <c r="NSL197" s="360"/>
      <c r="NSM197" s="360"/>
      <c r="NSN197" s="360"/>
      <c r="NSO197" s="360"/>
      <c r="NSP197" s="360"/>
      <c r="NSQ197" s="360"/>
      <c r="NSR197" s="360"/>
      <c r="NSS197" s="360"/>
      <c r="NST197" s="360"/>
      <c r="NSU197" s="360"/>
      <c r="NSV197" s="360"/>
      <c r="NSW197" s="360"/>
      <c r="NSX197" s="360"/>
      <c r="NSY197" s="360"/>
      <c r="NSZ197" s="360"/>
      <c r="NTA197" s="360"/>
      <c r="NTB197" s="360"/>
      <c r="NTC197" s="360"/>
      <c r="NTD197" s="360"/>
      <c r="NTE197" s="360"/>
      <c r="NTF197" s="360"/>
      <c r="NTG197" s="360"/>
      <c r="NTH197" s="360"/>
      <c r="NTI197" s="360"/>
      <c r="NTJ197" s="360"/>
      <c r="NTK197" s="360"/>
      <c r="NTL197" s="360"/>
      <c r="NTM197" s="360"/>
      <c r="NTN197" s="360"/>
      <c r="NTO197" s="360"/>
      <c r="NTP197" s="360"/>
      <c r="NTQ197" s="360"/>
      <c r="NTR197" s="360"/>
      <c r="NTS197" s="360"/>
      <c r="NTT197" s="360"/>
      <c r="NTU197" s="360"/>
      <c r="NTV197" s="360"/>
      <c r="NTW197" s="360"/>
      <c r="NTX197" s="360"/>
      <c r="NTY197" s="360"/>
      <c r="NTZ197" s="360"/>
      <c r="NUA197" s="360"/>
      <c r="NUB197" s="360"/>
      <c r="NUC197" s="360"/>
      <c r="NUD197" s="360"/>
      <c r="NUE197" s="360"/>
      <c r="NUF197" s="360"/>
      <c r="NUG197" s="360"/>
      <c r="NUH197" s="360"/>
      <c r="NUI197" s="360"/>
      <c r="NUJ197" s="360"/>
      <c r="NUK197" s="360"/>
      <c r="NUL197" s="360"/>
      <c r="NUM197" s="360"/>
      <c r="NUN197" s="360"/>
      <c r="NUO197" s="360"/>
      <c r="NUP197" s="360"/>
      <c r="NUQ197" s="360"/>
      <c r="NUR197" s="360"/>
      <c r="NUS197" s="360"/>
      <c r="NUT197" s="360"/>
      <c r="NUU197" s="360"/>
      <c r="NUV197" s="360"/>
      <c r="NUW197" s="360"/>
      <c r="NUX197" s="360"/>
      <c r="NUY197" s="360"/>
      <c r="NUZ197" s="360"/>
      <c r="NVA197" s="360"/>
      <c r="NVB197" s="360"/>
      <c r="NVC197" s="360"/>
      <c r="NVD197" s="360"/>
      <c r="NVE197" s="360"/>
      <c r="NVF197" s="360"/>
      <c r="NVG197" s="360"/>
      <c r="NVH197" s="360"/>
      <c r="NVI197" s="360"/>
      <c r="NVJ197" s="360"/>
      <c r="NVK197" s="360"/>
      <c r="NVL197" s="360"/>
      <c r="NVM197" s="360"/>
      <c r="NVN197" s="360"/>
      <c r="NVO197" s="360"/>
      <c r="NVP197" s="360"/>
      <c r="NVQ197" s="360"/>
      <c r="NVR197" s="360"/>
      <c r="NVS197" s="360"/>
      <c r="NVT197" s="360"/>
      <c r="NVU197" s="360"/>
      <c r="NVV197" s="360"/>
      <c r="NVW197" s="360"/>
      <c r="NVX197" s="360"/>
      <c r="NVY197" s="360"/>
      <c r="NVZ197" s="360"/>
      <c r="NWA197" s="360"/>
      <c r="NWB197" s="360"/>
      <c r="NWC197" s="360"/>
      <c r="NWD197" s="360"/>
      <c r="NWE197" s="360"/>
      <c r="NWF197" s="360"/>
      <c r="NWG197" s="360"/>
      <c r="NWH197" s="360"/>
      <c r="NWI197" s="360"/>
      <c r="NWJ197" s="360"/>
      <c r="NWK197" s="360"/>
      <c r="NWL197" s="360"/>
      <c r="NWM197" s="360"/>
      <c r="NWN197" s="360"/>
      <c r="NWO197" s="360"/>
      <c r="NWP197" s="360"/>
      <c r="NWQ197" s="360"/>
      <c r="NWR197" s="360"/>
      <c r="NWS197" s="360"/>
      <c r="NWT197" s="360"/>
      <c r="NWU197" s="360"/>
      <c r="NWV197" s="360"/>
      <c r="NWW197" s="360"/>
      <c r="NWX197" s="360"/>
      <c r="NWY197" s="360"/>
      <c r="NWZ197" s="360"/>
      <c r="NXA197" s="360"/>
      <c r="NXB197" s="360"/>
      <c r="NXC197" s="360"/>
      <c r="NXD197" s="360"/>
      <c r="NXE197" s="360"/>
      <c r="NXF197" s="360"/>
      <c r="NXG197" s="360"/>
      <c r="NXH197" s="360"/>
      <c r="NXI197" s="360"/>
      <c r="NXJ197" s="360"/>
      <c r="NXK197" s="360"/>
      <c r="NXL197" s="360"/>
      <c r="NXM197" s="360"/>
      <c r="NXN197" s="360"/>
      <c r="NXO197" s="360"/>
      <c r="NXP197" s="360"/>
      <c r="NXQ197" s="360"/>
      <c r="NXR197" s="360"/>
      <c r="NXS197" s="360"/>
      <c r="NXT197" s="360"/>
      <c r="NXU197" s="360"/>
      <c r="NXV197" s="360"/>
      <c r="NXW197" s="360"/>
      <c r="NXX197" s="360"/>
      <c r="NXY197" s="360"/>
      <c r="NXZ197" s="360"/>
      <c r="NYA197" s="360"/>
      <c r="NYB197" s="360"/>
      <c r="NYC197" s="360"/>
      <c r="NYD197" s="360"/>
      <c r="NYE197" s="360"/>
      <c r="NYF197" s="360"/>
      <c r="NYG197" s="360"/>
      <c r="NYH197" s="360"/>
      <c r="NYI197" s="360"/>
      <c r="NYJ197" s="360"/>
      <c r="NYK197" s="360"/>
      <c r="NYL197" s="360"/>
      <c r="NYM197" s="360"/>
      <c r="NYN197" s="360"/>
      <c r="NYO197" s="360"/>
      <c r="NYP197" s="360"/>
      <c r="NYQ197" s="360"/>
      <c r="NYR197" s="360"/>
      <c r="NYS197" s="360"/>
      <c r="NYT197" s="360"/>
      <c r="NYU197" s="360"/>
      <c r="NYV197" s="360"/>
      <c r="NYW197" s="360"/>
      <c r="NYX197" s="360"/>
      <c r="NYY197" s="360"/>
      <c r="NYZ197" s="360"/>
      <c r="NZA197" s="360"/>
      <c r="NZB197" s="360"/>
      <c r="NZC197" s="360"/>
      <c r="NZD197" s="360"/>
      <c r="NZE197" s="360"/>
      <c r="NZF197" s="360"/>
      <c r="NZG197" s="360"/>
      <c r="NZH197" s="360"/>
      <c r="NZI197" s="360"/>
      <c r="NZJ197" s="360"/>
      <c r="NZK197" s="360"/>
      <c r="NZL197" s="360"/>
      <c r="NZM197" s="360"/>
      <c r="NZN197" s="360"/>
      <c r="NZO197" s="360"/>
      <c r="NZP197" s="360"/>
      <c r="NZQ197" s="360"/>
      <c r="NZR197" s="360"/>
      <c r="NZS197" s="360"/>
      <c r="NZT197" s="360"/>
      <c r="NZU197" s="360"/>
      <c r="NZV197" s="360"/>
      <c r="NZW197" s="360"/>
      <c r="NZX197" s="360"/>
      <c r="NZY197" s="360"/>
      <c r="NZZ197" s="360"/>
      <c r="OAA197" s="360"/>
      <c r="OAB197" s="360"/>
      <c r="OAC197" s="360"/>
      <c r="OAD197" s="360"/>
      <c r="OAE197" s="360"/>
      <c r="OAF197" s="360"/>
      <c r="OAG197" s="360"/>
      <c r="OAH197" s="360"/>
      <c r="OAI197" s="360"/>
      <c r="OAJ197" s="360"/>
      <c r="OAK197" s="360"/>
      <c r="OAL197" s="360"/>
      <c r="OAM197" s="360"/>
      <c r="OAN197" s="360"/>
      <c r="OAO197" s="360"/>
      <c r="OAP197" s="360"/>
      <c r="OAQ197" s="360"/>
      <c r="OAR197" s="360"/>
      <c r="OAS197" s="360"/>
      <c r="OAT197" s="360"/>
      <c r="OAU197" s="360"/>
      <c r="OAV197" s="360"/>
      <c r="OAW197" s="360"/>
      <c r="OAX197" s="360"/>
      <c r="OAY197" s="360"/>
      <c r="OAZ197" s="360"/>
      <c r="OBA197" s="360"/>
      <c r="OBB197" s="360"/>
      <c r="OBC197" s="360"/>
      <c r="OBD197" s="360"/>
      <c r="OBE197" s="360"/>
      <c r="OBF197" s="360"/>
      <c r="OBG197" s="360"/>
      <c r="OBH197" s="360"/>
      <c r="OBI197" s="360"/>
      <c r="OBJ197" s="360"/>
      <c r="OBK197" s="360"/>
      <c r="OBL197" s="360"/>
      <c r="OBM197" s="360"/>
      <c r="OBN197" s="360"/>
      <c r="OBO197" s="360"/>
      <c r="OBP197" s="360"/>
      <c r="OBQ197" s="360"/>
      <c r="OBR197" s="360"/>
      <c r="OBS197" s="360"/>
      <c r="OBT197" s="360"/>
      <c r="OBU197" s="360"/>
      <c r="OBV197" s="360"/>
      <c r="OBW197" s="360"/>
      <c r="OBX197" s="360"/>
      <c r="OBY197" s="360"/>
      <c r="OBZ197" s="360"/>
      <c r="OCA197" s="360"/>
      <c r="OCB197" s="360"/>
      <c r="OCC197" s="360"/>
      <c r="OCD197" s="360"/>
      <c r="OCE197" s="360"/>
      <c r="OCF197" s="360"/>
      <c r="OCG197" s="360"/>
      <c r="OCH197" s="360"/>
      <c r="OCI197" s="360"/>
      <c r="OCJ197" s="360"/>
      <c r="OCK197" s="360"/>
      <c r="OCL197" s="360"/>
      <c r="OCM197" s="360"/>
      <c r="OCN197" s="360"/>
      <c r="OCO197" s="360"/>
      <c r="OCP197" s="360"/>
      <c r="OCQ197" s="360"/>
      <c r="OCR197" s="360"/>
      <c r="OCS197" s="360"/>
      <c r="OCT197" s="360"/>
      <c r="OCU197" s="360"/>
      <c r="OCV197" s="360"/>
      <c r="OCW197" s="360"/>
      <c r="OCX197" s="360"/>
      <c r="OCY197" s="360"/>
      <c r="OCZ197" s="360"/>
      <c r="ODA197" s="360"/>
      <c r="ODB197" s="360"/>
      <c r="ODC197" s="360"/>
      <c r="ODD197" s="360"/>
      <c r="ODE197" s="360"/>
      <c r="ODF197" s="360"/>
      <c r="ODG197" s="360"/>
      <c r="ODH197" s="360"/>
      <c r="ODI197" s="360"/>
      <c r="ODJ197" s="360"/>
      <c r="ODK197" s="360"/>
      <c r="ODL197" s="360"/>
      <c r="ODM197" s="360"/>
      <c r="ODN197" s="360"/>
      <c r="ODO197" s="360"/>
      <c r="ODP197" s="360"/>
      <c r="ODQ197" s="360"/>
      <c r="ODR197" s="360"/>
      <c r="ODS197" s="360"/>
      <c r="ODT197" s="360"/>
      <c r="ODU197" s="360"/>
      <c r="ODV197" s="360"/>
      <c r="ODW197" s="360"/>
      <c r="ODX197" s="360"/>
      <c r="ODY197" s="360"/>
      <c r="ODZ197" s="360"/>
      <c r="OEA197" s="360"/>
      <c r="OEB197" s="360"/>
      <c r="OEC197" s="360"/>
      <c r="OED197" s="360"/>
      <c r="OEE197" s="360"/>
      <c r="OEF197" s="360"/>
      <c r="OEG197" s="360"/>
      <c r="OEH197" s="360"/>
      <c r="OEI197" s="360"/>
      <c r="OEJ197" s="360"/>
      <c r="OEK197" s="360"/>
      <c r="OEL197" s="360"/>
      <c r="OEM197" s="360"/>
      <c r="OEN197" s="360"/>
      <c r="OEO197" s="360"/>
      <c r="OEP197" s="360"/>
      <c r="OEQ197" s="360"/>
      <c r="OER197" s="360"/>
      <c r="OES197" s="360"/>
      <c r="OET197" s="360"/>
      <c r="OEU197" s="360"/>
      <c r="OEV197" s="360"/>
      <c r="OEW197" s="360"/>
      <c r="OEX197" s="360"/>
      <c r="OEY197" s="360"/>
      <c r="OEZ197" s="360"/>
      <c r="OFA197" s="360"/>
      <c r="OFB197" s="360"/>
      <c r="OFC197" s="360"/>
      <c r="OFD197" s="360"/>
      <c r="OFE197" s="360"/>
      <c r="OFF197" s="360"/>
      <c r="OFG197" s="360"/>
      <c r="OFH197" s="360"/>
      <c r="OFI197" s="360"/>
      <c r="OFJ197" s="360"/>
      <c r="OFK197" s="360"/>
      <c r="OFL197" s="360"/>
      <c r="OFM197" s="360"/>
      <c r="OFN197" s="360"/>
      <c r="OFO197" s="360"/>
      <c r="OFP197" s="360"/>
      <c r="OFQ197" s="360"/>
      <c r="OFR197" s="360"/>
      <c r="OFS197" s="360"/>
      <c r="OFT197" s="360"/>
      <c r="OFU197" s="360"/>
      <c r="OFV197" s="360"/>
      <c r="OFW197" s="360"/>
      <c r="OFX197" s="360"/>
      <c r="OFY197" s="360"/>
      <c r="OFZ197" s="360"/>
      <c r="OGA197" s="360"/>
      <c r="OGB197" s="360"/>
      <c r="OGC197" s="360"/>
      <c r="OGD197" s="360"/>
      <c r="OGE197" s="360"/>
      <c r="OGF197" s="360"/>
      <c r="OGG197" s="360"/>
      <c r="OGH197" s="360"/>
      <c r="OGI197" s="360"/>
      <c r="OGJ197" s="360"/>
      <c r="OGK197" s="360"/>
      <c r="OGL197" s="360"/>
      <c r="OGM197" s="360"/>
      <c r="OGN197" s="360"/>
      <c r="OGO197" s="360"/>
      <c r="OGP197" s="360"/>
      <c r="OGQ197" s="360"/>
      <c r="OGR197" s="360"/>
      <c r="OGS197" s="360"/>
      <c r="OGT197" s="360"/>
      <c r="OGU197" s="360"/>
      <c r="OGV197" s="360"/>
      <c r="OGW197" s="360"/>
      <c r="OGX197" s="360"/>
      <c r="OGY197" s="360"/>
      <c r="OGZ197" s="360"/>
      <c r="OHA197" s="360"/>
      <c r="OHB197" s="360"/>
      <c r="OHC197" s="360"/>
      <c r="OHD197" s="360"/>
      <c r="OHE197" s="360"/>
      <c r="OHF197" s="360"/>
      <c r="OHG197" s="360"/>
      <c r="OHH197" s="360"/>
      <c r="OHI197" s="360"/>
      <c r="OHJ197" s="360"/>
      <c r="OHK197" s="360"/>
      <c r="OHL197" s="360"/>
      <c r="OHM197" s="360"/>
      <c r="OHN197" s="360"/>
      <c r="OHO197" s="360"/>
      <c r="OHP197" s="360"/>
      <c r="OHQ197" s="360"/>
      <c r="OHR197" s="360"/>
      <c r="OHS197" s="360"/>
      <c r="OHT197" s="360"/>
      <c r="OHU197" s="360"/>
      <c r="OHV197" s="360"/>
      <c r="OHW197" s="360"/>
      <c r="OHX197" s="360"/>
      <c r="OHY197" s="360"/>
      <c r="OHZ197" s="360"/>
      <c r="OIA197" s="360"/>
      <c r="OIB197" s="360"/>
      <c r="OIC197" s="360"/>
      <c r="OID197" s="360"/>
      <c r="OIE197" s="360"/>
      <c r="OIF197" s="360"/>
      <c r="OIG197" s="360"/>
      <c r="OIH197" s="360"/>
      <c r="OII197" s="360"/>
      <c r="OIJ197" s="360"/>
      <c r="OIK197" s="360"/>
      <c r="OIL197" s="360"/>
      <c r="OIM197" s="360"/>
      <c r="OIN197" s="360"/>
      <c r="OIO197" s="360"/>
      <c r="OIP197" s="360"/>
      <c r="OIQ197" s="360"/>
      <c r="OIR197" s="360"/>
      <c r="OIS197" s="360"/>
      <c r="OIT197" s="360"/>
      <c r="OIU197" s="360"/>
      <c r="OIV197" s="360"/>
      <c r="OIW197" s="360"/>
      <c r="OIX197" s="360"/>
      <c r="OIY197" s="360"/>
      <c r="OIZ197" s="360"/>
      <c r="OJA197" s="360"/>
      <c r="OJB197" s="360"/>
      <c r="OJC197" s="360"/>
      <c r="OJD197" s="360"/>
      <c r="OJE197" s="360"/>
      <c r="OJF197" s="360"/>
      <c r="OJG197" s="360"/>
      <c r="OJH197" s="360"/>
      <c r="OJI197" s="360"/>
      <c r="OJJ197" s="360"/>
      <c r="OJK197" s="360"/>
      <c r="OJL197" s="360"/>
      <c r="OJM197" s="360"/>
      <c r="OJN197" s="360"/>
      <c r="OJO197" s="360"/>
      <c r="OJP197" s="360"/>
      <c r="OJQ197" s="360"/>
      <c r="OJR197" s="360"/>
      <c r="OJS197" s="360"/>
      <c r="OJT197" s="360"/>
      <c r="OJU197" s="360"/>
      <c r="OJV197" s="360"/>
      <c r="OJW197" s="360"/>
      <c r="OJX197" s="360"/>
      <c r="OJY197" s="360"/>
      <c r="OJZ197" s="360"/>
      <c r="OKA197" s="360"/>
      <c r="OKB197" s="360"/>
      <c r="OKC197" s="360"/>
      <c r="OKD197" s="360"/>
      <c r="OKE197" s="360"/>
      <c r="OKF197" s="360"/>
      <c r="OKG197" s="360"/>
      <c r="OKH197" s="360"/>
      <c r="OKI197" s="360"/>
      <c r="OKJ197" s="360"/>
      <c r="OKK197" s="360"/>
      <c r="OKL197" s="360"/>
      <c r="OKM197" s="360"/>
      <c r="OKN197" s="360"/>
      <c r="OKO197" s="360"/>
      <c r="OKP197" s="360"/>
      <c r="OKQ197" s="360"/>
      <c r="OKR197" s="360"/>
      <c r="OKS197" s="360"/>
      <c r="OKT197" s="360"/>
      <c r="OKU197" s="360"/>
      <c r="OKV197" s="360"/>
      <c r="OKW197" s="360"/>
      <c r="OKX197" s="360"/>
      <c r="OKY197" s="360"/>
      <c r="OKZ197" s="360"/>
      <c r="OLA197" s="360"/>
      <c r="OLB197" s="360"/>
      <c r="OLC197" s="360"/>
      <c r="OLD197" s="360"/>
      <c r="OLE197" s="360"/>
      <c r="OLF197" s="360"/>
      <c r="OLG197" s="360"/>
      <c r="OLH197" s="360"/>
      <c r="OLI197" s="360"/>
      <c r="OLJ197" s="360"/>
      <c r="OLK197" s="360"/>
      <c r="OLL197" s="360"/>
      <c r="OLM197" s="360"/>
      <c r="OLN197" s="360"/>
      <c r="OLO197" s="360"/>
      <c r="OLP197" s="360"/>
      <c r="OLQ197" s="360"/>
      <c r="OLR197" s="360"/>
      <c r="OLS197" s="360"/>
      <c r="OLT197" s="360"/>
      <c r="OLU197" s="360"/>
      <c r="OLV197" s="360"/>
      <c r="OLW197" s="360"/>
      <c r="OLX197" s="360"/>
      <c r="OLY197" s="360"/>
      <c r="OLZ197" s="360"/>
      <c r="OMA197" s="360"/>
      <c r="OMB197" s="360"/>
      <c r="OMC197" s="360"/>
      <c r="OMD197" s="360"/>
      <c r="OME197" s="360"/>
      <c r="OMF197" s="360"/>
      <c r="OMG197" s="360"/>
      <c r="OMH197" s="360"/>
      <c r="OMI197" s="360"/>
      <c r="OMJ197" s="360"/>
      <c r="OMK197" s="360"/>
      <c r="OML197" s="360"/>
      <c r="OMM197" s="360"/>
      <c r="OMN197" s="360"/>
      <c r="OMO197" s="360"/>
      <c r="OMP197" s="360"/>
      <c r="OMQ197" s="360"/>
      <c r="OMR197" s="360"/>
      <c r="OMS197" s="360"/>
      <c r="OMT197" s="360"/>
      <c r="OMU197" s="360"/>
      <c r="OMV197" s="360"/>
      <c r="OMW197" s="360"/>
      <c r="OMX197" s="360"/>
      <c r="OMY197" s="360"/>
      <c r="OMZ197" s="360"/>
      <c r="ONA197" s="360"/>
      <c r="ONB197" s="360"/>
      <c r="ONC197" s="360"/>
      <c r="OND197" s="360"/>
      <c r="ONE197" s="360"/>
      <c r="ONF197" s="360"/>
      <c r="ONG197" s="360"/>
      <c r="ONH197" s="360"/>
      <c r="ONI197" s="360"/>
      <c r="ONJ197" s="360"/>
      <c r="ONK197" s="360"/>
      <c r="ONL197" s="360"/>
      <c r="ONM197" s="360"/>
      <c r="ONN197" s="360"/>
      <c r="ONO197" s="360"/>
      <c r="ONP197" s="360"/>
      <c r="ONQ197" s="360"/>
      <c r="ONR197" s="360"/>
      <c r="ONS197" s="360"/>
      <c r="ONT197" s="360"/>
      <c r="ONU197" s="360"/>
      <c r="ONV197" s="360"/>
      <c r="ONW197" s="360"/>
      <c r="ONX197" s="360"/>
      <c r="ONY197" s="360"/>
      <c r="ONZ197" s="360"/>
      <c r="OOA197" s="360"/>
      <c r="OOB197" s="360"/>
      <c r="OOC197" s="360"/>
      <c r="OOD197" s="360"/>
      <c r="OOE197" s="360"/>
      <c r="OOF197" s="360"/>
      <c r="OOG197" s="360"/>
      <c r="OOH197" s="360"/>
      <c r="OOI197" s="360"/>
      <c r="OOJ197" s="360"/>
      <c r="OOK197" s="360"/>
      <c r="OOL197" s="360"/>
      <c r="OOM197" s="360"/>
      <c r="OON197" s="360"/>
      <c r="OOO197" s="360"/>
      <c r="OOP197" s="360"/>
      <c r="OOQ197" s="360"/>
      <c r="OOR197" s="360"/>
      <c r="OOS197" s="360"/>
      <c r="OOT197" s="360"/>
      <c r="OOU197" s="360"/>
      <c r="OOV197" s="360"/>
      <c r="OOW197" s="360"/>
      <c r="OOX197" s="360"/>
      <c r="OOY197" s="360"/>
      <c r="OOZ197" s="360"/>
      <c r="OPA197" s="360"/>
      <c r="OPB197" s="360"/>
      <c r="OPC197" s="360"/>
      <c r="OPD197" s="360"/>
      <c r="OPE197" s="360"/>
      <c r="OPF197" s="360"/>
      <c r="OPG197" s="360"/>
      <c r="OPH197" s="360"/>
      <c r="OPI197" s="360"/>
      <c r="OPJ197" s="360"/>
      <c r="OPK197" s="360"/>
      <c r="OPL197" s="360"/>
      <c r="OPM197" s="360"/>
      <c r="OPN197" s="360"/>
      <c r="OPO197" s="360"/>
      <c r="OPP197" s="360"/>
      <c r="OPQ197" s="360"/>
      <c r="OPR197" s="360"/>
      <c r="OPS197" s="360"/>
      <c r="OPT197" s="360"/>
      <c r="OPU197" s="360"/>
      <c r="OPV197" s="360"/>
      <c r="OPW197" s="360"/>
      <c r="OPX197" s="360"/>
      <c r="OPY197" s="360"/>
      <c r="OPZ197" s="360"/>
      <c r="OQA197" s="360"/>
      <c r="OQB197" s="360"/>
      <c r="OQC197" s="360"/>
      <c r="OQD197" s="360"/>
      <c r="OQE197" s="360"/>
      <c r="OQF197" s="360"/>
      <c r="OQG197" s="360"/>
      <c r="OQH197" s="360"/>
      <c r="OQI197" s="360"/>
      <c r="OQJ197" s="360"/>
      <c r="OQK197" s="360"/>
      <c r="OQL197" s="360"/>
      <c r="OQM197" s="360"/>
      <c r="OQN197" s="360"/>
      <c r="OQO197" s="360"/>
      <c r="OQP197" s="360"/>
      <c r="OQQ197" s="360"/>
      <c r="OQR197" s="360"/>
      <c r="OQS197" s="360"/>
      <c r="OQT197" s="360"/>
      <c r="OQU197" s="360"/>
      <c r="OQV197" s="360"/>
      <c r="OQW197" s="360"/>
      <c r="OQX197" s="360"/>
      <c r="OQY197" s="360"/>
      <c r="OQZ197" s="360"/>
      <c r="ORA197" s="360"/>
      <c r="ORB197" s="360"/>
      <c r="ORC197" s="360"/>
      <c r="ORD197" s="360"/>
      <c r="ORE197" s="360"/>
      <c r="ORF197" s="360"/>
      <c r="ORG197" s="360"/>
      <c r="ORH197" s="360"/>
      <c r="ORI197" s="360"/>
      <c r="ORJ197" s="360"/>
      <c r="ORK197" s="360"/>
      <c r="ORL197" s="360"/>
      <c r="ORM197" s="360"/>
      <c r="ORN197" s="360"/>
      <c r="ORO197" s="360"/>
      <c r="ORP197" s="360"/>
      <c r="ORQ197" s="360"/>
      <c r="ORR197" s="360"/>
      <c r="ORS197" s="360"/>
      <c r="ORT197" s="360"/>
      <c r="ORU197" s="360"/>
      <c r="ORV197" s="360"/>
      <c r="ORW197" s="360"/>
      <c r="ORX197" s="360"/>
      <c r="ORY197" s="360"/>
      <c r="ORZ197" s="360"/>
      <c r="OSA197" s="360"/>
      <c r="OSB197" s="360"/>
      <c r="OSC197" s="360"/>
      <c r="OSD197" s="360"/>
      <c r="OSE197" s="360"/>
      <c r="OSF197" s="360"/>
      <c r="OSG197" s="360"/>
      <c r="OSH197" s="360"/>
      <c r="OSI197" s="360"/>
      <c r="OSJ197" s="360"/>
      <c r="OSK197" s="360"/>
      <c r="OSL197" s="360"/>
      <c r="OSM197" s="360"/>
      <c r="OSN197" s="360"/>
      <c r="OSO197" s="360"/>
      <c r="OSP197" s="360"/>
      <c r="OSQ197" s="360"/>
      <c r="OSR197" s="360"/>
      <c r="OSS197" s="360"/>
      <c r="OST197" s="360"/>
      <c r="OSU197" s="360"/>
      <c r="OSV197" s="360"/>
      <c r="OSW197" s="360"/>
      <c r="OSX197" s="360"/>
      <c r="OSY197" s="360"/>
      <c r="OSZ197" s="360"/>
      <c r="OTA197" s="360"/>
      <c r="OTB197" s="360"/>
      <c r="OTC197" s="360"/>
      <c r="OTD197" s="360"/>
      <c r="OTE197" s="360"/>
      <c r="OTF197" s="360"/>
      <c r="OTG197" s="360"/>
      <c r="OTH197" s="360"/>
      <c r="OTI197" s="360"/>
      <c r="OTJ197" s="360"/>
      <c r="OTK197" s="360"/>
      <c r="OTL197" s="360"/>
      <c r="OTM197" s="360"/>
      <c r="OTN197" s="360"/>
      <c r="OTO197" s="360"/>
      <c r="OTP197" s="360"/>
      <c r="OTQ197" s="360"/>
      <c r="OTR197" s="360"/>
      <c r="OTS197" s="360"/>
      <c r="OTT197" s="360"/>
      <c r="OTU197" s="360"/>
      <c r="OTV197" s="360"/>
      <c r="OTW197" s="360"/>
      <c r="OTX197" s="360"/>
      <c r="OTY197" s="360"/>
      <c r="OTZ197" s="360"/>
      <c r="OUA197" s="360"/>
      <c r="OUB197" s="360"/>
      <c r="OUC197" s="360"/>
      <c r="OUD197" s="360"/>
      <c r="OUE197" s="360"/>
      <c r="OUF197" s="360"/>
      <c r="OUG197" s="360"/>
      <c r="OUH197" s="360"/>
      <c r="OUI197" s="360"/>
      <c r="OUJ197" s="360"/>
      <c r="OUK197" s="360"/>
      <c r="OUL197" s="360"/>
      <c r="OUM197" s="360"/>
      <c r="OUN197" s="360"/>
      <c r="OUO197" s="360"/>
      <c r="OUP197" s="360"/>
      <c r="OUQ197" s="360"/>
      <c r="OUR197" s="360"/>
      <c r="OUS197" s="360"/>
      <c r="OUT197" s="360"/>
      <c r="OUU197" s="360"/>
      <c r="OUV197" s="360"/>
      <c r="OUW197" s="360"/>
      <c r="OUX197" s="360"/>
      <c r="OUY197" s="360"/>
      <c r="OUZ197" s="360"/>
      <c r="OVA197" s="360"/>
      <c r="OVB197" s="360"/>
      <c r="OVC197" s="360"/>
      <c r="OVD197" s="360"/>
      <c r="OVE197" s="360"/>
      <c r="OVF197" s="360"/>
      <c r="OVG197" s="360"/>
      <c r="OVH197" s="360"/>
      <c r="OVI197" s="360"/>
      <c r="OVJ197" s="360"/>
      <c r="OVK197" s="360"/>
      <c r="OVL197" s="360"/>
      <c r="OVM197" s="360"/>
      <c r="OVN197" s="360"/>
      <c r="OVO197" s="360"/>
      <c r="OVP197" s="360"/>
      <c r="OVQ197" s="360"/>
      <c r="OVR197" s="360"/>
      <c r="OVS197" s="360"/>
      <c r="OVT197" s="360"/>
      <c r="OVU197" s="360"/>
      <c r="OVV197" s="360"/>
      <c r="OVW197" s="360"/>
      <c r="OVX197" s="360"/>
      <c r="OVY197" s="360"/>
      <c r="OVZ197" s="360"/>
      <c r="OWA197" s="360"/>
      <c r="OWB197" s="360"/>
      <c r="OWC197" s="360"/>
      <c r="OWD197" s="360"/>
      <c r="OWE197" s="360"/>
      <c r="OWF197" s="360"/>
      <c r="OWG197" s="360"/>
      <c r="OWH197" s="360"/>
      <c r="OWI197" s="360"/>
      <c r="OWJ197" s="360"/>
      <c r="OWK197" s="360"/>
      <c r="OWL197" s="360"/>
      <c r="OWM197" s="360"/>
      <c r="OWN197" s="360"/>
      <c r="OWO197" s="360"/>
      <c r="OWP197" s="360"/>
      <c r="OWQ197" s="360"/>
      <c r="OWR197" s="360"/>
      <c r="OWS197" s="360"/>
      <c r="OWT197" s="360"/>
      <c r="OWU197" s="360"/>
      <c r="OWV197" s="360"/>
      <c r="OWW197" s="360"/>
      <c r="OWX197" s="360"/>
      <c r="OWY197" s="360"/>
      <c r="OWZ197" s="360"/>
      <c r="OXA197" s="360"/>
      <c r="OXB197" s="360"/>
      <c r="OXC197" s="360"/>
      <c r="OXD197" s="360"/>
      <c r="OXE197" s="360"/>
      <c r="OXF197" s="360"/>
      <c r="OXG197" s="360"/>
      <c r="OXH197" s="360"/>
      <c r="OXI197" s="360"/>
      <c r="OXJ197" s="360"/>
      <c r="OXK197" s="360"/>
      <c r="OXL197" s="360"/>
      <c r="OXM197" s="360"/>
      <c r="OXN197" s="360"/>
      <c r="OXO197" s="360"/>
      <c r="OXP197" s="360"/>
      <c r="OXQ197" s="360"/>
      <c r="OXR197" s="360"/>
      <c r="OXS197" s="360"/>
      <c r="OXT197" s="360"/>
      <c r="OXU197" s="360"/>
      <c r="OXV197" s="360"/>
      <c r="OXW197" s="360"/>
      <c r="OXX197" s="360"/>
      <c r="OXY197" s="360"/>
      <c r="OXZ197" s="360"/>
      <c r="OYA197" s="360"/>
      <c r="OYB197" s="360"/>
      <c r="OYC197" s="360"/>
      <c r="OYD197" s="360"/>
      <c r="OYE197" s="360"/>
      <c r="OYF197" s="360"/>
      <c r="OYG197" s="360"/>
      <c r="OYH197" s="360"/>
      <c r="OYI197" s="360"/>
      <c r="OYJ197" s="360"/>
      <c r="OYK197" s="360"/>
      <c r="OYL197" s="360"/>
      <c r="OYM197" s="360"/>
      <c r="OYN197" s="360"/>
      <c r="OYO197" s="360"/>
      <c r="OYP197" s="360"/>
      <c r="OYQ197" s="360"/>
      <c r="OYR197" s="360"/>
      <c r="OYS197" s="360"/>
      <c r="OYT197" s="360"/>
      <c r="OYU197" s="360"/>
      <c r="OYV197" s="360"/>
      <c r="OYW197" s="360"/>
      <c r="OYX197" s="360"/>
      <c r="OYY197" s="360"/>
      <c r="OYZ197" s="360"/>
      <c r="OZA197" s="360"/>
      <c r="OZB197" s="360"/>
      <c r="OZC197" s="360"/>
      <c r="OZD197" s="360"/>
      <c r="OZE197" s="360"/>
      <c r="OZF197" s="360"/>
      <c r="OZG197" s="360"/>
      <c r="OZH197" s="360"/>
      <c r="OZI197" s="360"/>
      <c r="OZJ197" s="360"/>
      <c r="OZK197" s="360"/>
      <c r="OZL197" s="360"/>
      <c r="OZM197" s="360"/>
      <c r="OZN197" s="360"/>
      <c r="OZO197" s="360"/>
      <c r="OZP197" s="360"/>
      <c r="OZQ197" s="360"/>
      <c r="OZR197" s="360"/>
      <c r="OZS197" s="360"/>
      <c r="OZT197" s="360"/>
      <c r="OZU197" s="360"/>
      <c r="OZV197" s="360"/>
      <c r="OZW197" s="360"/>
      <c r="OZX197" s="360"/>
      <c r="OZY197" s="360"/>
      <c r="OZZ197" s="360"/>
      <c r="PAA197" s="360"/>
      <c r="PAB197" s="360"/>
      <c r="PAC197" s="360"/>
      <c r="PAD197" s="360"/>
      <c r="PAE197" s="360"/>
      <c r="PAF197" s="360"/>
      <c r="PAG197" s="360"/>
      <c r="PAH197" s="360"/>
      <c r="PAI197" s="360"/>
      <c r="PAJ197" s="360"/>
      <c r="PAK197" s="360"/>
      <c r="PAL197" s="360"/>
      <c r="PAM197" s="360"/>
      <c r="PAN197" s="360"/>
      <c r="PAO197" s="360"/>
      <c r="PAP197" s="360"/>
      <c r="PAQ197" s="360"/>
      <c r="PAR197" s="360"/>
      <c r="PAS197" s="360"/>
      <c r="PAT197" s="360"/>
      <c r="PAU197" s="360"/>
      <c r="PAV197" s="360"/>
      <c r="PAW197" s="360"/>
      <c r="PAX197" s="360"/>
      <c r="PAY197" s="360"/>
      <c r="PAZ197" s="360"/>
      <c r="PBA197" s="360"/>
      <c r="PBB197" s="360"/>
      <c r="PBC197" s="360"/>
      <c r="PBD197" s="360"/>
      <c r="PBE197" s="360"/>
      <c r="PBF197" s="360"/>
      <c r="PBG197" s="360"/>
      <c r="PBH197" s="360"/>
      <c r="PBI197" s="360"/>
      <c r="PBJ197" s="360"/>
      <c r="PBK197" s="360"/>
      <c r="PBL197" s="360"/>
      <c r="PBM197" s="360"/>
      <c r="PBN197" s="360"/>
      <c r="PBO197" s="360"/>
      <c r="PBP197" s="360"/>
      <c r="PBQ197" s="360"/>
      <c r="PBR197" s="360"/>
      <c r="PBS197" s="360"/>
      <c r="PBT197" s="360"/>
      <c r="PBU197" s="360"/>
      <c r="PBV197" s="360"/>
      <c r="PBW197" s="360"/>
      <c r="PBX197" s="360"/>
      <c r="PBY197" s="360"/>
      <c r="PBZ197" s="360"/>
      <c r="PCA197" s="360"/>
      <c r="PCB197" s="360"/>
      <c r="PCC197" s="360"/>
      <c r="PCD197" s="360"/>
      <c r="PCE197" s="360"/>
      <c r="PCF197" s="360"/>
      <c r="PCG197" s="360"/>
      <c r="PCH197" s="360"/>
      <c r="PCI197" s="360"/>
      <c r="PCJ197" s="360"/>
      <c r="PCK197" s="360"/>
      <c r="PCL197" s="360"/>
      <c r="PCM197" s="360"/>
      <c r="PCN197" s="360"/>
      <c r="PCO197" s="360"/>
      <c r="PCP197" s="360"/>
      <c r="PCQ197" s="360"/>
      <c r="PCR197" s="360"/>
      <c r="PCS197" s="360"/>
      <c r="PCT197" s="360"/>
      <c r="PCU197" s="360"/>
      <c r="PCV197" s="360"/>
      <c r="PCW197" s="360"/>
      <c r="PCX197" s="360"/>
      <c r="PCY197" s="360"/>
      <c r="PCZ197" s="360"/>
      <c r="PDA197" s="360"/>
      <c r="PDB197" s="360"/>
      <c r="PDC197" s="360"/>
      <c r="PDD197" s="360"/>
      <c r="PDE197" s="360"/>
      <c r="PDF197" s="360"/>
      <c r="PDG197" s="360"/>
      <c r="PDH197" s="360"/>
      <c r="PDI197" s="360"/>
      <c r="PDJ197" s="360"/>
      <c r="PDK197" s="360"/>
      <c r="PDL197" s="360"/>
      <c r="PDM197" s="360"/>
      <c r="PDN197" s="360"/>
      <c r="PDO197" s="360"/>
      <c r="PDP197" s="360"/>
      <c r="PDQ197" s="360"/>
      <c r="PDR197" s="360"/>
      <c r="PDS197" s="360"/>
      <c r="PDT197" s="360"/>
      <c r="PDU197" s="360"/>
      <c r="PDV197" s="360"/>
      <c r="PDW197" s="360"/>
      <c r="PDX197" s="360"/>
      <c r="PDY197" s="360"/>
      <c r="PDZ197" s="360"/>
      <c r="PEA197" s="360"/>
      <c r="PEB197" s="360"/>
      <c r="PEC197" s="360"/>
      <c r="PED197" s="360"/>
      <c r="PEE197" s="360"/>
      <c r="PEF197" s="360"/>
      <c r="PEG197" s="360"/>
      <c r="PEH197" s="360"/>
      <c r="PEI197" s="360"/>
      <c r="PEJ197" s="360"/>
      <c r="PEK197" s="360"/>
      <c r="PEL197" s="360"/>
      <c r="PEM197" s="360"/>
      <c r="PEN197" s="360"/>
      <c r="PEO197" s="360"/>
      <c r="PEP197" s="360"/>
      <c r="PEQ197" s="360"/>
      <c r="PER197" s="360"/>
      <c r="PES197" s="360"/>
      <c r="PET197" s="360"/>
      <c r="PEU197" s="360"/>
      <c r="PEV197" s="360"/>
      <c r="PEW197" s="360"/>
      <c r="PEX197" s="360"/>
      <c r="PEY197" s="360"/>
      <c r="PEZ197" s="360"/>
      <c r="PFA197" s="360"/>
      <c r="PFB197" s="360"/>
      <c r="PFC197" s="360"/>
      <c r="PFD197" s="360"/>
      <c r="PFE197" s="360"/>
      <c r="PFF197" s="360"/>
      <c r="PFG197" s="360"/>
      <c r="PFH197" s="360"/>
      <c r="PFI197" s="360"/>
      <c r="PFJ197" s="360"/>
      <c r="PFK197" s="360"/>
      <c r="PFL197" s="360"/>
      <c r="PFM197" s="360"/>
      <c r="PFN197" s="360"/>
      <c r="PFO197" s="360"/>
      <c r="PFP197" s="360"/>
      <c r="PFQ197" s="360"/>
      <c r="PFR197" s="360"/>
      <c r="PFS197" s="360"/>
      <c r="PFT197" s="360"/>
      <c r="PFU197" s="360"/>
      <c r="PFV197" s="360"/>
      <c r="PFW197" s="360"/>
      <c r="PFX197" s="360"/>
      <c r="PFY197" s="360"/>
      <c r="PFZ197" s="360"/>
      <c r="PGA197" s="360"/>
      <c r="PGB197" s="360"/>
      <c r="PGC197" s="360"/>
      <c r="PGD197" s="360"/>
      <c r="PGE197" s="360"/>
      <c r="PGF197" s="360"/>
      <c r="PGG197" s="360"/>
      <c r="PGH197" s="360"/>
      <c r="PGI197" s="360"/>
      <c r="PGJ197" s="360"/>
      <c r="PGK197" s="360"/>
      <c r="PGL197" s="360"/>
      <c r="PGM197" s="360"/>
      <c r="PGN197" s="360"/>
      <c r="PGO197" s="360"/>
      <c r="PGP197" s="360"/>
      <c r="PGQ197" s="360"/>
      <c r="PGR197" s="360"/>
      <c r="PGS197" s="360"/>
      <c r="PGT197" s="360"/>
      <c r="PGU197" s="360"/>
      <c r="PGV197" s="360"/>
      <c r="PGW197" s="360"/>
      <c r="PGX197" s="360"/>
      <c r="PGY197" s="360"/>
      <c r="PGZ197" s="360"/>
      <c r="PHA197" s="360"/>
      <c r="PHB197" s="360"/>
      <c r="PHC197" s="360"/>
      <c r="PHD197" s="360"/>
      <c r="PHE197" s="360"/>
      <c r="PHF197" s="360"/>
      <c r="PHG197" s="360"/>
      <c r="PHH197" s="360"/>
      <c r="PHI197" s="360"/>
      <c r="PHJ197" s="360"/>
      <c r="PHK197" s="360"/>
      <c r="PHL197" s="360"/>
      <c r="PHM197" s="360"/>
      <c r="PHN197" s="360"/>
      <c r="PHO197" s="360"/>
      <c r="PHP197" s="360"/>
      <c r="PHQ197" s="360"/>
      <c r="PHR197" s="360"/>
      <c r="PHS197" s="360"/>
      <c r="PHT197" s="360"/>
      <c r="PHU197" s="360"/>
      <c r="PHV197" s="360"/>
      <c r="PHW197" s="360"/>
      <c r="PHX197" s="360"/>
      <c r="PHY197" s="360"/>
      <c r="PHZ197" s="360"/>
      <c r="PIA197" s="360"/>
      <c r="PIB197" s="360"/>
      <c r="PIC197" s="360"/>
      <c r="PID197" s="360"/>
      <c r="PIE197" s="360"/>
      <c r="PIF197" s="360"/>
      <c r="PIG197" s="360"/>
      <c r="PIH197" s="360"/>
      <c r="PII197" s="360"/>
      <c r="PIJ197" s="360"/>
      <c r="PIK197" s="360"/>
      <c r="PIL197" s="360"/>
      <c r="PIM197" s="360"/>
      <c r="PIN197" s="360"/>
      <c r="PIO197" s="360"/>
      <c r="PIP197" s="360"/>
      <c r="PIQ197" s="360"/>
      <c r="PIR197" s="360"/>
      <c r="PIS197" s="360"/>
      <c r="PIT197" s="360"/>
      <c r="PIU197" s="360"/>
      <c r="PIV197" s="360"/>
      <c r="PIW197" s="360"/>
      <c r="PIX197" s="360"/>
      <c r="PIY197" s="360"/>
      <c r="PIZ197" s="360"/>
      <c r="PJA197" s="360"/>
      <c r="PJB197" s="360"/>
      <c r="PJC197" s="360"/>
      <c r="PJD197" s="360"/>
      <c r="PJE197" s="360"/>
      <c r="PJF197" s="360"/>
      <c r="PJG197" s="360"/>
      <c r="PJH197" s="360"/>
      <c r="PJI197" s="360"/>
      <c r="PJJ197" s="360"/>
      <c r="PJK197" s="360"/>
      <c r="PJL197" s="360"/>
      <c r="PJM197" s="360"/>
      <c r="PJN197" s="360"/>
      <c r="PJO197" s="360"/>
      <c r="PJP197" s="360"/>
      <c r="PJQ197" s="360"/>
      <c r="PJR197" s="360"/>
      <c r="PJS197" s="360"/>
      <c r="PJT197" s="360"/>
      <c r="PJU197" s="360"/>
      <c r="PJV197" s="360"/>
      <c r="PJW197" s="360"/>
      <c r="PJX197" s="360"/>
      <c r="PJY197" s="360"/>
      <c r="PJZ197" s="360"/>
      <c r="PKA197" s="360"/>
      <c r="PKB197" s="360"/>
      <c r="PKC197" s="360"/>
      <c r="PKD197" s="360"/>
      <c r="PKE197" s="360"/>
      <c r="PKF197" s="360"/>
      <c r="PKG197" s="360"/>
      <c r="PKH197" s="360"/>
      <c r="PKI197" s="360"/>
      <c r="PKJ197" s="360"/>
      <c r="PKK197" s="360"/>
      <c r="PKL197" s="360"/>
      <c r="PKM197" s="360"/>
      <c r="PKN197" s="360"/>
      <c r="PKO197" s="360"/>
      <c r="PKP197" s="360"/>
      <c r="PKQ197" s="360"/>
      <c r="PKR197" s="360"/>
      <c r="PKS197" s="360"/>
      <c r="PKT197" s="360"/>
      <c r="PKU197" s="360"/>
      <c r="PKV197" s="360"/>
      <c r="PKW197" s="360"/>
      <c r="PKX197" s="360"/>
      <c r="PKY197" s="360"/>
      <c r="PKZ197" s="360"/>
      <c r="PLA197" s="360"/>
      <c r="PLB197" s="360"/>
      <c r="PLC197" s="360"/>
      <c r="PLD197" s="360"/>
      <c r="PLE197" s="360"/>
      <c r="PLF197" s="360"/>
      <c r="PLG197" s="360"/>
      <c r="PLH197" s="360"/>
      <c r="PLI197" s="360"/>
      <c r="PLJ197" s="360"/>
      <c r="PLK197" s="360"/>
      <c r="PLL197" s="360"/>
      <c r="PLM197" s="360"/>
      <c r="PLN197" s="360"/>
      <c r="PLO197" s="360"/>
      <c r="PLP197" s="360"/>
      <c r="PLQ197" s="360"/>
      <c r="PLR197" s="360"/>
      <c r="PLS197" s="360"/>
      <c r="PLT197" s="360"/>
      <c r="PLU197" s="360"/>
      <c r="PLV197" s="360"/>
      <c r="PLW197" s="360"/>
      <c r="PLX197" s="360"/>
      <c r="PLY197" s="360"/>
      <c r="PLZ197" s="360"/>
      <c r="PMA197" s="360"/>
      <c r="PMB197" s="360"/>
      <c r="PMC197" s="360"/>
      <c r="PMD197" s="360"/>
      <c r="PME197" s="360"/>
      <c r="PMF197" s="360"/>
      <c r="PMG197" s="360"/>
      <c r="PMH197" s="360"/>
      <c r="PMI197" s="360"/>
      <c r="PMJ197" s="360"/>
      <c r="PMK197" s="360"/>
      <c r="PML197" s="360"/>
      <c r="PMM197" s="360"/>
      <c r="PMN197" s="360"/>
      <c r="PMO197" s="360"/>
      <c r="PMP197" s="360"/>
      <c r="PMQ197" s="360"/>
      <c r="PMR197" s="360"/>
      <c r="PMS197" s="360"/>
      <c r="PMT197" s="360"/>
      <c r="PMU197" s="360"/>
      <c r="PMV197" s="360"/>
      <c r="PMW197" s="360"/>
      <c r="PMX197" s="360"/>
      <c r="PMY197" s="360"/>
      <c r="PMZ197" s="360"/>
      <c r="PNA197" s="360"/>
      <c r="PNB197" s="360"/>
      <c r="PNC197" s="360"/>
      <c r="PND197" s="360"/>
      <c r="PNE197" s="360"/>
      <c r="PNF197" s="360"/>
      <c r="PNG197" s="360"/>
      <c r="PNH197" s="360"/>
      <c r="PNI197" s="360"/>
      <c r="PNJ197" s="360"/>
      <c r="PNK197" s="360"/>
      <c r="PNL197" s="360"/>
      <c r="PNM197" s="360"/>
      <c r="PNN197" s="360"/>
      <c r="PNO197" s="360"/>
      <c r="PNP197" s="360"/>
      <c r="PNQ197" s="360"/>
      <c r="PNR197" s="360"/>
      <c r="PNS197" s="360"/>
      <c r="PNT197" s="360"/>
      <c r="PNU197" s="360"/>
      <c r="PNV197" s="360"/>
      <c r="PNW197" s="360"/>
      <c r="PNX197" s="360"/>
      <c r="PNY197" s="360"/>
      <c r="PNZ197" s="360"/>
      <c r="POA197" s="360"/>
      <c r="POB197" s="360"/>
      <c r="POC197" s="360"/>
      <c r="POD197" s="360"/>
      <c r="POE197" s="360"/>
      <c r="POF197" s="360"/>
      <c r="POG197" s="360"/>
      <c r="POH197" s="360"/>
      <c r="POI197" s="360"/>
      <c r="POJ197" s="360"/>
      <c r="POK197" s="360"/>
      <c r="POL197" s="360"/>
      <c r="POM197" s="360"/>
      <c r="PON197" s="360"/>
      <c r="POO197" s="360"/>
      <c r="POP197" s="360"/>
      <c r="POQ197" s="360"/>
      <c r="POR197" s="360"/>
      <c r="POS197" s="360"/>
      <c r="POT197" s="360"/>
      <c r="POU197" s="360"/>
      <c r="POV197" s="360"/>
      <c r="POW197" s="360"/>
      <c r="POX197" s="360"/>
      <c r="POY197" s="360"/>
      <c r="POZ197" s="360"/>
      <c r="PPA197" s="360"/>
      <c r="PPB197" s="360"/>
      <c r="PPC197" s="360"/>
      <c r="PPD197" s="360"/>
      <c r="PPE197" s="360"/>
      <c r="PPF197" s="360"/>
      <c r="PPG197" s="360"/>
      <c r="PPH197" s="360"/>
      <c r="PPI197" s="360"/>
      <c r="PPJ197" s="360"/>
      <c r="PPK197" s="360"/>
      <c r="PPL197" s="360"/>
      <c r="PPM197" s="360"/>
      <c r="PPN197" s="360"/>
      <c r="PPO197" s="360"/>
      <c r="PPP197" s="360"/>
      <c r="PPQ197" s="360"/>
      <c r="PPR197" s="360"/>
      <c r="PPS197" s="360"/>
      <c r="PPT197" s="360"/>
      <c r="PPU197" s="360"/>
      <c r="PPV197" s="360"/>
      <c r="PPW197" s="360"/>
      <c r="PPX197" s="360"/>
      <c r="PPY197" s="360"/>
      <c r="PPZ197" s="360"/>
      <c r="PQA197" s="360"/>
      <c r="PQB197" s="360"/>
      <c r="PQC197" s="360"/>
      <c r="PQD197" s="360"/>
      <c r="PQE197" s="360"/>
      <c r="PQF197" s="360"/>
      <c r="PQG197" s="360"/>
      <c r="PQH197" s="360"/>
      <c r="PQI197" s="360"/>
      <c r="PQJ197" s="360"/>
      <c r="PQK197" s="360"/>
      <c r="PQL197" s="360"/>
      <c r="PQM197" s="360"/>
      <c r="PQN197" s="360"/>
      <c r="PQO197" s="360"/>
      <c r="PQP197" s="360"/>
      <c r="PQQ197" s="360"/>
      <c r="PQR197" s="360"/>
      <c r="PQS197" s="360"/>
      <c r="PQT197" s="360"/>
      <c r="PQU197" s="360"/>
      <c r="PQV197" s="360"/>
      <c r="PQW197" s="360"/>
      <c r="PQX197" s="360"/>
      <c r="PQY197" s="360"/>
      <c r="PQZ197" s="360"/>
      <c r="PRA197" s="360"/>
      <c r="PRB197" s="360"/>
      <c r="PRC197" s="360"/>
      <c r="PRD197" s="360"/>
      <c r="PRE197" s="360"/>
      <c r="PRF197" s="360"/>
      <c r="PRG197" s="360"/>
      <c r="PRH197" s="360"/>
      <c r="PRI197" s="360"/>
      <c r="PRJ197" s="360"/>
      <c r="PRK197" s="360"/>
      <c r="PRL197" s="360"/>
      <c r="PRM197" s="360"/>
      <c r="PRN197" s="360"/>
      <c r="PRO197" s="360"/>
      <c r="PRP197" s="360"/>
      <c r="PRQ197" s="360"/>
      <c r="PRR197" s="360"/>
      <c r="PRS197" s="360"/>
      <c r="PRT197" s="360"/>
      <c r="PRU197" s="360"/>
      <c r="PRV197" s="360"/>
      <c r="PRW197" s="360"/>
      <c r="PRX197" s="360"/>
      <c r="PRY197" s="360"/>
      <c r="PRZ197" s="360"/>
      <c r="PSA197" s="360"/>
      <c r="PSB197" s="360"/>
      <c r="PSC197" s="360"/>
      <c r="PSD197" s="360"/>
      <c r="PSE197" s="360"/>
      <c r="PSF197" s="360"/>
      <c r="PSG197" s="360"/>
      <c r="PSH197" s="360"/>
      <c r="PSI197" s="360"/>
      <c r="PSJ197" s="360"/>
      <c r="PSK197" s="360"/>
      <c r="PSL197" s="360"/>
      <c r="PSM197" s="360"/>
      <c r="PSN197" s="360"/>
      <c r="PSO197" s="360"/>
      <c r="PSP197" s="360"/>
      <c r="PSQ197" s="360"/>
      <c r="PSR197" s="360"/>
      <c r="PSS197" s="360"/>
      <c r="PST197" s="360"/>
      <c r="PSU197" s="360"/>
      <c r="PSV197" s="360"/>
      <c r="PSW197" s="360"/>
      <c r="PSX197" s="360"/>
      <c r="PSY197" s="360"/>
      <c r="PSZ197" s="360"/>
      <c r="PTA197" s="360"/>
      <c r="PTB197" s="360"/>
      <c r="PTC197" s="360"/>
      <c r="PTD197" s="360"/>
      <c r="PTE197" s="360"/>
      <c r="PTF197" s="360"/>
      <c r="PTG197" s="360"/>
      <c r="PTH197" s="360"/>
      <c r="PTI197" s="360"/>
      <c r="PTJ197" s="360"/>
      <c r="PTK197" s="360"/>
      <c r="PTL197" s="360"/>
      <c r="PTM197" s="360"/>
      <c r="PTN197" s="360"/>
      <c r="PTO197" s="360"/>
      <c r="PTP197" s="360"/>
      <c r="PTQ197" s="360"/>
      <c r="PTR197" s="360"/>
      <c r="PTS197" s="360"/>
      <c r="PTT197" s="360"/>
      <c r="PTU197" s="360"/>
      <c r="PTV197" s="360"/>
      <c r="PTW197" s="360"/>
      <c r="PTX197" s="360"/>
      <c r="PTY197" s="360"/>
      <c r="PTZ197" s="360"/>
      <c r="PUA197" s="360"/>
      <c r="PUB197" s="360"/>
      <c r="PUC197" s="360"/>
      <c r="PUD197" s="360"/>
      <c r="PUE197" s="360"/>
      <c r="PUF197" s="360"/>
      <c r="PUG197" s="360"/>
      <c r="PUH197" s="360"/>
      <c r="PUI197" s="360"/>
      <c r="PUJ197" s="360"/>
      <c r="PUK197" s="360"/>
      <c r="PUL197" s="360"/>
      <c r="PUM197" s="360"/>
      <c r="PUN197" s="360"/>
      <c r="PUO197" s="360"/>
      <c r="PUP197" s="360"/>
      <c r="PUQ197" s="360"/>
      <c r="PUR197" s="360"/>
      <c r="PUS197" s="360"/>
      <c r="PUT197" s="360"/>
      <c r="PUU197" s="360"/>
      <c r="PUV197" s="360"/>
      <c r="PUW197" s="360"/>
      <c r="PUX197" s="360"/>
      <c r="PUY197" s="360"/>
      <c r="PUZ197" s="360"/>
      <c r="PVA197" s="360"/>
      <c r="PVB197" s="360"/>
      <c r="PVC197" s="360"/>
      <c r="PVD197" s="360"/>
      <c r="PVE197" s="360"/>
      <c r="PVF197" s="360"/>
      <c r="PVG197" s="360"/>
      <c r="PVH197" s="360"/>
      <c r="PVI197" s="360"/>
      <c r="PVJ197" s="360"/>
      <c r="PVK197" s="360"/>
      <c r="PVL197" s="360"/>
      <c r="PVM197" s="360"/>
      <c r="PVN197" s="360"/>
      <c r="PVO197" s="360"/>
      <c r="PVP197" s="360"/>
      <c r="PVQ197" s="360"/>
      <c r="PVR197" s="360"/>
      <c r="PVS197" s="360"/>
      <c r="PVT197" s="360"/>
      <c r="PVU197" s="360"/>
      <c r="PVV197" s="360"/>
      <c r="PVW197" s="360"/>
      <c r="PVX197" s="360"/>
      <c r="PVY197" s="360"/>
      <c r="PVZ197" s="360"/>
      <c r="PWA197" s="360"/>
      <c r="PWB197" s="360"/>
      <c r="PWC197" s="360"/>
      <c r="PWD197" s="360"/>
      <c r="PWE197" s="360"/>
      <c r="PWF197" s="360"/>
      <c r="PWG197" s="360"/>
      <c r="PWH197" s="360"/>
      <c r="PWI197" s="360"/>
      <c r="PWJ197" s="360"/>
      <c r="PWK197" s="360"/>
      <c r="PWL197" s="360"/>
      <c r="PWM197" s="360"/>
      <c r="PWN197" s="360"/>
      <c r="PWO197" s="360"/>
      <c r="PWP197" s="360"/>
      <c r="PWQ197" s="360"/>
      <c r="PWR197" s="360"/>
      <c r="PWS197" s="360"/>
      <c r="PWT197" s="360"/>
      <c r="PWU197" s="360"/>
      <c r="PWV197" s="360"/>
      <c r="PWW197" s="360"/>
      <c r="PWX197" s="360"/>
      <c r="PWY197" s="360"/>
      <c r="PWZ197" s="360"/>
      <c r="PXA197" s="360"/>
      <c r="PXB197" s="360"/>
      <c r="PXC197" s="360"/>
      <c r="PXD197" s="360"/>
      <c r="PXE197" s="360"/>
      <c r="PXF197" s="360"/>
      <c r="PXG197" s="360"/>
      <c r="PXH197" s="360"/>
      <c r="PXI197" s="360"/>
      <c r="PXJ197" s="360"/>
      <c r="PXK197" s="360"/>
      <c r="PXL197" s="360"/>
      <c r="PXM197" s="360"/>
      <c r="PXN197" s="360"/>
      <c r="PXO197" s="360"/>
      <c r="PXP197" s="360"/>
      <c r="PXQ197" s="360"/>
      <c r="PXR197" s="360"/>
      <c r="PXS197" s="360"/>
      <c r="PXT197" s="360"/>
      <c r="PXU197" s="360"/>
      <c r="PXV197" s="360"/>
      <c r="PXW197" s="360"/>
      <c r="PXX197" s="360"/>
      <c r="PXY197" s="360"/>
      <c r="PXZ197" s="360"/>
      <c r="PYA197" s="360"/>
      <c r="PYB197" s="360"/>
      <c r="PYC197" s="360"/>
      <c r="PYD197" s="360"/>
      <c r="PYE197" s="360"/>
      <c r="PYF197" s="360"/>
      <c r="PYG197" s="360"/>
      <c r="PYH197" s="360"/>
      <c r="PYI197" s="360"/>
      <c r="PYJ197" s="360"/>
      <c r="PYK197" s="360"/>
      <c r="PYL197" s="360"/>
      <c r="PYM197" s="360"/>
      <c r="PYN197" s="360"/>
      <c r="PYO197" s="360"/>
      <c r="PYP197" s="360"/>
      <c r="PYQ197" s="360"/>
      <c r="PYR197" s="360"/>
      <c r="PYS197" s="360"/>
      <c r="PYT197" s="360"/>
      <c r="PYU197" s="360"/>
      <c r="PYV197" s="360"/>
      <c r="PYW197" s="360"/>
      <c r="PYX197" s="360"/>
      <c r="PYY197" s="360"/>
      <c r="PYZ197" s="360"/>
      <c r="PZA197" s="360"/>
      <c r="PZB197" s="360"/>
      <c r="PZC197" s="360"/>
      <c r="PZD197" s="360"/>
      <c r="PZE197" s="360"/>
      <c r="PZF197" s="360"/>
      <c r="PZG197" s="360"/>
      <c r="PZH197" s="360"/>
      <c r="PZI197" s="360"/>
      <c r="PZJ197" s="360"/>
      <c r="PZK197" s="360"/>
      <c r="PZL197" s="360"/>
      <c r="PZM197" s="360"/>
      <c r="PZN197" s="360"/>
      <c r="PZO197" s="360"/>
      <c r="PZP197" s="360"/>
      <c r="PZQ197" s="360"/>
      <c r="PZR197" s="360"/>
      <c r="PZS197" s="360"/>
      <c r="PZT197" s="360"/>
      <c r="PZU197" s="360"/>
      <c r="PZV197" s="360"/>
      <c r="PZW197" s="360"/>
      <c r="PZX197" s="360"/>
      <c r="PZY197" s="360"/>
      <c r="PZZ197" s="360"/>
      <c r="QAA197" s="360"/>
      <c r="QAB197" s="360"/>
      <c r="QAC197" s="360"/>
      <c r="QAD197" s="360"/>
      <c r="QAE197" s="360"/>
      <c r="QAF197" s="360"/>
      <c r="QAG197" s="360"/>
      <c r="QAH197" s="360"/>
      <c r="QAI197" s="360"/>
      <c r="QAJ197" s="360"/>
      <c r="QAK197" s="360"/>
      <c r="QAL197" s="360"/>
      <c r="QAM197" s="360"/>
      <c r="QAN197" s="360"/>
      <c r="QAO197" s="360"/>
      <c r="QAP197" s="360"/>
      <c r="QAQ197" s="360"/>
      <c r="QAR197" s="360"/>
      <c r="QAS197" s="360"/>
      <c r="QAT197" s="360"/>
      <c r="QAU197" s="360"/>
      <c r="QAV197" s="360"/>
      <c r="QAW197" s="360"/>
      <c r="QAX197" s="360"/>
      <c r="QAY197" s="360"/>
      <c r="QAZ197" s="360"/>
      <c r="QBA197" s="360"/>
      <c r="QBB197" s="360"/>
      <c r="QBC197" s="360"/>
      <c r="QBD197" s="360"/>
      <c r="QBE197" s="360"/>
      <c r="QBF197" s="360"/>
      <c r="QBG197" s="360"/>
      <c r="QBH197" s="360"/>
      <c r="QBI197" s="360"/>
      <c r="QBJ197" s="360"/>
      <c r="QBK197" s="360"/>
      <c r="QBL197" s="360"/>
      <c r="QBM197" s="360"/>
      <c r="QBN197" s="360"/>
      <c r="QBO197" s="360"/>
      <c r="QBP197" s="360"/>
      <c r="QBQ197" s="360"/>
      <c r="QBR197" s="360"/>
      <c r="QBS197" s="360"/>
      <c r="QBT197" s="360"/>
      <c r="QBU197" s="360"/>
      <c r="QBV197" s="360"/>
      <c r="QBW197" s="360"/>
      <c r="QBX197" s="360"/>
      <c r="QBY197" s="360"/>
      <c r="QBZ197" s="360"/>
      <c r="QCA197" s="360"/>
      <c r="QCB197" s="360"/>
      <c r="QCC197" s="360"/>
      <c r="QCD197" s="360"/>
      <c r="QCE197" s="360"/>
      <c r="QCF197" s="360"/>
      <c r="QCG197" s="360"/>
      <c r="QCH197" s="360"/>
      <c r="QCI197" s="360"/>
      <c r="QCJ197" s="360"/>
      <c r="QCK197" s="360"/>
      <c r="QCL197" s="360"/>
      <c r="QCM197" s="360"/>
      <c r="QCN197" s="360"/>
      <c r="QCO197" s="360"/>
      <c r="QCP197" s="360"/>
      <c r="QCQ197" s="360"/>
      <c r="QCR197" s="360"/>
      <c r="QCS197" s="360"/>
      <c r="QCT197" s="360"/>
      <c r="QCU197" s="360"/>
      <c r="QCV197" s="360"/>
      <c r="QCW197" s="360"/>
      <c r="QCX197" s="360"/>
      <c r="QCY197" s="360"/>
      <c r="QCZ197" s="360"/>
      <c r="QDA197" s="360"/>
      <c r="QDB197" s="360"/>
      <c r="QDC197" s="360"/>
      <c r="QDD197" s="360"/>
      <c r="QDE197" s="360"/>
      <c r="QDF197" s="360"/>
      <c r="QDG197" s="360"/>
      <c r="QDH197" s="360"/>
      <c r="QDI197" s="360"/>
      <c r="QDJ197" s="360"/>
      <c r="QDK197" s="360"/>
      <c r="QDL197" s="360"/>
      <c r="QDM197" s="360"/>
      <c r="QDN197" s="360"/>
      <c r="QDO197" s="360"/>
      <c r="QDP197" s="360"/>
      <c r="QDQ197" s="360"/>
      <c r="QDR197" s="360"/>
      <c r="QDS197" s="360"/>
      <c r="QDT197" s="360"/>
      <c r="QDU197" s="360"/>
      <c r="QDV197" s="360"/>
      <c r="QDW197" s="360"/>
      <c r="QDX197" s="360"/>
      <c r="QDY197" s="360"/>
      <c r="QDZ197" s="360"/>
      <c r="QEA197" s="360"/>
      <c r="QEB197" s="360"/>
      <c r="QEC197" s="360"/>
      <c r="QED197" s="360"/>
      <c r="QEE197" s="360"/>
      <c r="QEF197" s="360"/>
      <c r="QEG197" s="360"/>
      <c r="QEH197" s="360"/>
      <c r="QEI197" s="360"/>
      <c r="QEJ197" s="360"/>
      <c r="QEK197" s="360"/>
      <c r="QEL197" s="360"/>
      <c r="QEM197" s="360"/>
      <c r="QEN197" s="360"/>
      <c r="QEO197" s="360"/>
      <c r="QEP197" s="360"/>
      <c r="QEQ197" s="360"/>
      <c r="QER197" s="360"/>
      <c r="QES197" s="360"/>
      <c r="QET197" s="360"/>
      <c r="QEU197" s="360"/>
      <c r="QEV197" s="360"/>
      <c r="QEW197" s="360"/>
      <c r="QEX197" s="360"/>
      <c r="QEY197" s="360"/>
      <c r="QEZ197" s="360"/>
      <c r="QFA197" s="360"/>
      <c r="QFB197" s="360"/>
      <c r="QFC197" s="360"/>
      <c r="QFD197" s="360"/>
      <c r="QFE197" s="360"/>
      <c r="QFF197" s="360"/>
      <c r="QFG197" s="360"/>
      <c r="QFH197" s="360"/>
      <c r="QFI197" s="360"/>
      <c r="QFJ197" s="360"/>
      <c r="QFK197" s="360"/>
      <c r="QFL197" s="360"/>
      <c r="QFM197" s="360"/>
      <c r="QFN197" s="360"/>
      <c r="QFO197" s="360"/>
      <c r="QFP197" s="360"/>
      <c r="QFQ197" s="360"/>
      <c r="QFR197" s="360"/>
      <c r="QFS197" s="360"/>
      <c r="QFT197" s="360"/>
      <c r="QFU197" s="360"/>
      <c r="QFV197" s="360"/>
      <c r="QFW197" s="360"/>
      <c r="QFX197" s="360"/>
      <c r="QFY197" s="360"/>
      <c r="QFZ197" s="360"/>
      <c r="QGA197" s="360"/>
      <c r="QGB197" s="360"/>
      <c r="QGC197" s="360"/>
      <c r="QGD197" s="360"/>
      <c r="QGE197" s="360"/>
      <c r="QGF197" s="360"/>
      <c r="QGG197" s="360"/>
      <c r="QGH197" s="360"/>
      <c r="QGI197" s="360"/>
      <c r="QGJ197" s="360"/>
      <c r="QGK197" s="360"/>
      <c r="QGL197" s="360"/>
      <c r="QGM197" s="360"/>
      <c r="QGN197" s="360"/>
      <c r="QGO197" s="360"/>
      <c r="QGP197" s="360"/>
      <c r="QGQ197" s="360"/>
      <c r="QGR197" s="360"/>
      <c r="QGS197" s="360"/>
      <c r="QGT197" s="360"/>
      <c r="QGU197" s="360"/>
      <c r="QGV197" s="360"/>
      <c r="QGW197" s="360"/>
      <c r="QGX197" s="360"/>
      <c r="QGY197" s="360"/>
      <c r="QGZ197" s="360"/>
      <c r="QHA197" s="360"/>
      <c r="QHB197" s="360"/>
      <c r="QHC197" s="360"/>
      <c r="QHD197" s="360"/>
      <c r="QHE197" s="360"/>
      <c r="QHF197" s="360"/>
      <c r="QHG197" s="360"/>
      <c r="QHH197" s="360"/>
      <c r="QHI197" s="360"/>
      <c r="QHJ197" s="360"/>
      <c r="QHK197" s="360"/>
      <c r="QHL197" s="360"/>
      <c r="QHM197" s="360"/>
      <c r="QHN197" s="360"/>
      <c r="QHO197" s="360"/>
      <c r="QHP197" s="360"/>
      <c r="QHQ197" s="360"/>
      <c r="QHR197" s="360"/>
      <c r="QHS197" s="360"/>
      <c r="QHT197" s="360"/>
      <c r="QHU197" s="360"/>
      <c r="QHV197" s="360"/>
      <c r="QHW197" s="360"/>
      <c r="QHX197" s="360"/>
      <c r="QHY197" s="360"/>
      <c r="QHZ197" s="360"/>
      <c r="QIA197" s="360"/>
      <c r="QIB197" s="360"/>
      <c r="QIC197" s="360"/>
      <c r="QID197" s="360"/>
      <c r="QIE197" s="360"/>
      <c r="QIF197" s="360"/>
      <c r="QIG197" s="360"/>
      <c r="QIH197" s="360"/>
      <c r="QII197" s="360"/>
      <c r="QIJ197" s="360"/>
      <c r="QIK197" s="360"/>
      <c r="QIL197" s="360"/>
      <c r="QIM197" s="360"/>
      <c r="QIN197" s="360"/>
      <c r="QIO197" s="360"/>
      <c r="QIP197" s="360"/>
      <c r="QIQ197" s="360"/>
      <c r="QIR197" s="360"/>
      <c r="QIS197" s="360"/>
      <c r="QIT197" s="360"/>
      <c r="QIU197" s="360"/>
      <c r="QIV197" s="360"/>
      <c r="QIW197" s="360"/>
      <c r="QIX197" s="360"/>
      <c r="QIY197" s="360"/>
      <c r="QIZ197" s="360"/>
      <c r="QJA197" s="360"/>
      <c r="QJB197" s="360"/>
      <c r="QJC197" s="360"/>
      <c r="QJD197" s="360"/>
      <c r="QJE197" s="360"/>
      <c r="QJF197" s="360"/>
      <c r="QJG197" s="360"/>
      <c r="QJH197" s="360"/>
      <c r="QJI197" s="360"/>
      <c r="QJJ197" s="360"/>
      <c r="QJK197" s="360"/>
      <c r="QJL197" s="360"/>
      <c r="QJM197" s="360"/>
      <c r="QJN197" s="360"/>
      <c r="QJO197" s="360"/>
      <c r="QJP197" s="360"/>
      <c r="QJQ197" s="360"/>
      <c r="QJR197" s="360"/>
      <c r="QJS197" s="360"/>
      <c r="QJT197" s="360"/>
      <c r="QJU197" s="360"/>
      <c r="QJV197" s="360"/>
      <c r="QJW197" s="360"/>
      <c r="QJX197" s="360"/>
      <c r="QJY197" s="360"/>
      <c r="QJZ197" s="360"/>
      <c r="QKA197" s="360"/>
      <c r="QKB197" s="360"/>
      <c r="QKC197" s="360"/>
      <c r="QKD197" s="360"/>
      <c r="QKE197" s="360"/>
      <c r="QKF197" s="360"/>
      <c r="QKG197" s="360"/>
      <c r="QKH197" s="360"/>
      <c r="QKI197" s="360"/>
      <c r="QKJ197" s="360"/>
      <c r="QKK197" s="360"/>
      <c r="QKL197" s="360"/>
      <c r="QKM197" s="360"/>
      <c r="QKN197" s="360"/>
      <c r="QKO197" s="360"/>
      <c r="QKP197" s="360"/>
      <c r="QKQ197" s="360"/>
      <c r="QKR197" s="360"/>
      <c r="QKS197" s="360"/>
      <c r="QKT197" s="360"/>
      <c r="QKU197" s="360"/>
      <c r="QKV197" s="360"/>
      <c r="QKW197" s="360"/>
      <c r="QKX197" s="360"/>
      <c r="QKY197" s="360"/>
      <c r="QKZ197" s="360"/>
      <c r="QLA197" s="360"/>
      <c r="QLB197" s="360"/>
      <c r="QLC197" s="360"/>
      <c r="QLD197" s="360"/>
      <c r="QLE197" s="360"/>
      <c r="QLF197" s="360"/>
      <c r="QLG197" s="360"/>
      <c r="QLH197" s="360"/>
      <c r="QLI197" s="360"/>
      <c r="QLJ197" s="360"/>
      <c r="QLK197" s="360"/>
      <c r="QLL197" s="360"/>
      <c r="QLM197" s="360"/>
      <c r="QLN197" s="360"/>
      <c r="QLO197" s="360"/>
      <c r="QLP197" s="360"/>
      <c r="QLQ197" s="360"/>
      <c r="QLR197" s="360"/>
      <c r="QLS197" s="360"/>
      <c r="QLT197" s="360"/>
      <c r="QLU197" s="360"/>
      <c r="QLV197" s="360"/>
      <c r="QLW197" s="360"/>
      <c r="QLX197" s="360"/>
      <c r="QLY197" s="360"/>
      <c r="QLZ197" s="360"/>
      <c r="QMA197" s="360"/>
      <c r="QMB197" s="360"/>
      <c r="QMC197" s="360"/>
      <c r="QMD197" s="360"/>
      <c r="QME197" s="360"/>
      <c r="QMF197" s="360"/>
      <c r="QMG197" s="360"/>
      <c r="QMH197" s="360"/>
      <c r="QMI197" s="360"/>
      <c r="QMJ197" s="360"/>
      <c r="QMK197" s="360"/>
      <c r="QML197" s="360"/>
      <c r="QMM197" s="360"/>
      <c r="QMN197" s="360"/>
      <c r="QMO197" s="360"/>
      <c r="QMP197" s="360"/>
      <c r="QMQ197" s="360"/>
      <c r="QMR197" s="360"/>
      <c r="QMS197" s="360"/>
      <c r="QMT197" s="360"/>
      <c r="QMU197" s="360"/>
      <c r="QMV197" s="360"/>
      <c r="QMW197" s="360"/>
      <c r="QMX197" s="360"/>
      <c r="QMY197" s="360"/>
      <c r="QMZ197" s="360"/>
      <c r="QNA197" s="360"/>
      <c r="QNB197" s="360"/>
      <c r="QNC197" s="360"/>
      <c r="QND197" s="360"/>
      <c r="QNE197" s="360"/>
      <c r="QNF197" s="360"/>
      <c r="QNG197" s="360"/>
      <c r="QNH197" s="360"/>
      <c r="QNI197" s="360"/>
      <c r="QNJ197" s="360"/>
      <c r="QNK197" s="360"/>
      <c r="QNL197" s="360"/>
      <c r="QNM197" s="360"/>
      <c r="QNN197" s="360"/>
      <c r="QNO197" s="360"/>
      <c r="QNP197" s="360"/>
      <c r="QNQ197" s="360"/>
      <c r="QNR197" s="360"/>
      <c r="QNS197" s="360"/>
      <c r="QNT197" s="360"/>
      <c r="QNU197" s="360"/>
      <c r="QNV197" s="360"/>
      <c r="QNW197" s="360"/>
      <c r="QNX197" s="360"/>
      <c r="QNY197" s="360"/>
      <c r="QNZ197" s="360"/>
      <c r="QOA197" s="360"/>
      <c r="QOB197" s="360"/>
      <c r="QOC197" s="360"/>
      <c r="QOD197" s="360"/>
      <c r="QOE197" s="360"/>
      <c r="QOF197" s="360"/>
      <c r="QOG197" s="360"/>
      <c r="QOH197" s="360"/>
      <c r="QOI197" s="360"/>
      <c r="QOJ197" s="360"/>
      <c r="QOK197" s="360"/>
      <c r="QOL197" s="360"/>
      <c r="QOM197" s="360"/>
      <c r="QON197" s="360"/>
      <c r="QOO197" s="360"/>
      <c r="QOP197" s="360"/>
      <c r="QOQ197" s="360"/>
      <c r="QOR197" s="360"/>
      <c r="QOS197" s="360"/>
      <c r="QOT197" s="360"/>
      <c r="QOU197" s="360"/>
      <c r="QOV197" s="360"/>
      <c r="QOW197" s="360"/>
      <c r="QOX197" s="360"/>
      <c r="QOY197" s="360"/>
      <c r="QOZ197" s="360"/>
      <c r="QPA197" s="360"/>
      <c r="QPB197" s="360"/>
      <c r="QPC197" s="360"/>
      <c r="QPD197" s="360"/>
      <c r="QPE197" s="360"/>
      <c r="QPF197" s="360"/>
      <c r="QPG197" s="360"/>
      <c r="QPH197" s="360"/>
      <c r="QPI197" s="360"/>
      <c r="QPJ197" s="360"/>
      <c r="QPK197" s="360"/>
      <c r="QPL197" s="360"/>
      <c r="QPM197" s="360"/>
      <c r="QPN197" s="360"/>
      <c r="QPO197" s="360"/>
      <c r="QPP197" s="360"/>
      <c r="QPQ197" s="360"/>
      <c r="QPR197" s="360"/>
      <c r="QPS197" s="360"/>
      <c r="QPT197" s="360"/>
      <c r="QPU197" s="360"/>
      <c r="QPV197" s="360"/>
      <c r="QPW197" s="360"/>
      <c r="QPX197" s="360"/>
      <c r="QPY197" s="360"/>
      <c r="QPZ197" s="360"/>
      <c r="QQA197" s="360"/>
      <c r="QQB197" s="360"/>
      <c r="QQC197" s="360"/>
      <c r="QQD197" s="360"/>
      <c r="QQE197" s="360"/>
      <c r="QQF197" s="360"/>
      <c r="QQG197" s="360"/>
      <c r="QQH197" s="360"/>
      <c r="QQI197" s="360"/>
      <c r="QQJ197" s="360"/>
      <c r="QQK197" s="360"/>
      <c r="QQL197" s="360"/>
      <c r="QQM197" s="360"/>
      <c r="QQN197" s="360"/>
      <c r="QQO197" s="360"/>
      <c r="QQP197" s="360"/>
      <c r="QQQ197" s="360"/>
      <c r="QQR197" s="360"/>
      <c r="QQS197" s="360"/>
      <c r="QQT197" s="360"/>
      <c r="QQU197" s="360"/>
      <c r="QQV197" s="360"/>
      <c r="QQW197" s="360"/>
      <c r="QQX197" s="360"/>
      <c r="QQY197" s="360"/>
      <c r="QQZ197" s="360"/>
      <c r="QRA197" s="360"/>
      <c r="QRB197" s="360"/>
      <c r="QRC197" s="360"/>
      <c r="QRD197" s="360"/>
      <c r="QRE197" s="360"/>
      <c r="QRF197" s="360"/>
      <c r="QRG197" s="360"/>
      <c r="QRH197" s="360"/>
      <c r="QRI197" s="360"/>
      <c r="QRJ197" s="360"/>
      <c r="QRK197" s="360"/>
      <c r="QRL197" s="360"/>
      <c r="QRM197" s="360"/>
      <c r="QRN197" s="360"/>
      <c r="QRO197" s="360"/>
      <c r="QRP197" s="360"/>
      <c r="QRQ197" s="360"/>
      <c r="QRR197" s="360"/>
      <c r="QRS197" s="360"/>
      <c r="QRT197" s="360"/>
      <c r="QRU197" s="360"/>
      <c r="QRV197" s="360"/>
      <c r="QRW197" s="360"/>
      <c r="QRX197" s="360"/>
      <c r="QRY197" s="360"/>
      <c r="QRZ197" s="360"/>
      <c r="QSA197" s="360"/>
      <c r="QSB197" s="360"/>
      <c r="QSC197" s="360"/>
      <c r="QSD197" s="360"/>
      <c r="QSE197" s="360"/>
      <c r="QSF197" s="360"/>
      <c r="QSG197" s="360"/>
      <c r="QSH197" s="360"/>
      <c r="QSI197" s="360"/>
      <c r="QSJ197" s="360"/>
      <c r="QSK197" s="360"/>
      <c r="QSL197" s="360"/>
      <c r="QSM197" s="360"/>
      <c r="QSN197" s="360"/>
      <c r="QSO197" s="360"/>
      <c r="QSP197" s="360"/>
      <c r="QSQ197" s="360"/>
      <c r="QSR197" s="360"/>
      <c r="QSS197" s="360"/>
      <c r="QST197" s="360"/>
      <c r="QSU197" s="360"/>
      <c r="QSV197" s="360"/>
      <c r="QSW197" s="360"/>
      <c r="QSX197" s="360"/>
      <c r="QSY197" s="360"/>
      <c r="QSZ197" s="360"/>
      <c r="QTA197" s="360"/>
      <c r="QTB197" s="360"/>
      <c r="QTC197" s="360"/>
      <c r="QTD197" s="360"/>
      <c r="QTE197" s="360"/>
      <c r="QTF197" s="360"/>
      <c r="QTG197" s="360"/>
      <c r="QTH197" s="360"/>
      <c r="QTI197" s="360"/>
      <c r="QTJ197" s="360"/>
      <c r="QTK197" s="360"/>
      <c r="QTL197" s="360"/>
      <c r="QTM197" s="360"/>
      <c r="QTN197" s="360"/>
      <c r="QTO197" s="360"/>
      <c r="QTP197" s="360"/>
      <c r="QTQ197" s="360"/>
      <c r="QTR197" s="360"/>
      <c r="QTS197" s="360"/>
      <c r="QTT197" s="360"/>
      <c r="QTU197" s="360"/>
      <c r="QTV197" s="360"/>
      <c r="QTW197" s="360"/>
      <c r="QTX197" s="360"/>
      <c r="QTY197" s="360"/>
      <c r="QTZ197" s="360"/>
      <c r="QUA197" s="360"/>
      <c r="QUB197" s="360"/>
      <c r="QUC197" s="360"/>
      <c r="QUD197" s="360"/>
      <c r="QUE197" s="360"/>
      <c r="QUF197" s="360"/>
      <c r="QUG197" s="360"/>
      <c r="QUH197" s="360"/>
      <c r="QUI197" s="360"/>
      <c r="QUJ197" s="360"/>
      <c r="QUK197" s="360"/>
      <c r="QUL197" s="360"/>
      <c r="QUM197" s="360"/>
      <c r="QUN197" s="360"/>
      <c r="QUO197" s="360"/>
      <c r="QUP197" s="360"/>
      <c r="QUQ197" s="360"/>
      <c r="QUR197" s="360"/>
      <c r="QUS197" s="360"/>
      <c r="QUT197" s="360"/>
      <c r="QUU197" s="360"/>
      <c r="QUV197" s="360"/>
      <c r="QUW197" s="360"/>
      <c r="QUX197" s="360"/>
      <c r="QUY197" s="360"/>
      <c r="QUZ197" s="360"/>
      <c r="QVA197" s="360"/>
      <c r="QVB197" s="360"/>
      <c r="QVC197" s="360"/>
      <c r="QVD197" s="360"/>
      <c r="QVE197" s="360"/>
      <c r="QVF197" s="360"/>
      <c r="QVG197" s="360"/>
      <c r="QVH197" s="360"/>
      <c r="QVI197" s="360"/>
      <c r="QVJ197" s="360"/>
      <c r="QVK197" s="360"/>
      <c r="QVL197" s="360"/>
      <c r="QVM197" s="360"/>
      <c r="QVN197" s="360"/>
      <c r="QVO197" s="360"/>
      <c r="QVP197" s="360"/>
      <c r="QVQ197" s="360"/>
      <c r="QVR197" s="360"/>
      <c r="QVS197" s="360"/>
      <c r="QVT197" s="360"/>
      <c r="QVU197" s="360"/>
      <c r="QVV197" s="360"/>
      <c r="QVW197" s="360"/>
      <c r="QVX197" s="360"/>
      <c r="QVY197" s="360"/>
      <c r="QVZ197" s="360"/>
      <c r="QWA197" s="360"/>
      <c r="QWB197" s="360"/>
      <c r="QWC197" s="360"/>
      <c r="QWD197" s="360"/>
      <c r="QWE197" s="360"/>
      <c r="QWF197" s="360"/>
      <c r="QWG197" s="360"/>
      <c r="QWH197" s="360"/>
      <c r="QWI197" s="360"/>
      <c r="QWJ197" s="360"/>
      <c r="QWK197" s="360"/>
      <c r="QWL197" s="360"/>
      <c r="QWM197" s="360"/>
      <c r="QWN197" s="360"/>
      <c r="QWO197" s="360"/>
      <c r="QWP197" s="360"/>
      <c r="QWQ197" s="360"/>
      <c r="QWR197" s="360"/>
      <c r="QWS197" s="360"/>
      <c r="QWT197" s="360"/>
      <c r="QWU197" s="360"/>
      <c r="QWV197" s="360"/>
      <c r="QWW197" s="360"/>
      <c r="QWX197" s="360"/>
      <c r="QWY197" s="360"/>
      <c r="QWZ197" s="360"/>
      <c r="QXA197" s="360"/>
      <c r="QXB197" s="360"/>
      <c r="QXC197" s="360"/>
      <c r="QXD197" s="360"/>
      <c r="QXE197" s="360"/>
      <c r="QXF197" s="360"/>
      <c r="QXG197" s="360"/>
      <c r="QXH197" s="360"/>
      <c r="QXI197" s="360"/>
      <c r="QXJ197" s="360"/>
      <c r="QXK197" s="360"/>
      <c r="QXL197" s="360"/>
      <c r="QXM197" s="360"/>
      <c r="QXN197" s="360"/>
      <c r="QXO197" s="360"/>
      <c r="QXP197" s="360"/>
      <c r="QXQ197" s="360"/>
      <c r="QXR197" s="360"/>
      <c r="QXS197" s="360"/>
      <c r="QXT197" s="360"/>
      <c r="QXU197" s="360"/>
      <c r="QXV197" s="360"/>
      <c r="QXW197" s="360"/>
      <c r="QXX197" s="360"/>
      <c r="QXY197" s="360"/>
      <c r="QXZ197" s="360"/>
      <c r="QYA197" s="360"/>
      <c r="QYB197" s="360"/>
      <c r="QYC197" s="360"/>
      <c r="QYD197" s="360"/>
      <c r="QYE197" s="360"/>
      <c r="QYF197" s="360"/>
      <c r="QYG197" s="360"/>
      <c r="QYH197" s="360"/>
      <c r="QYI197" s="360"/>
      <c r="QYJ197" s="360"/>
      <c r="QYK197" s="360"/>
      <c r="QYL197" s="360"/>
      <c r="QYM197" s="360"/>
      <c r="QYN197" s="360"/>
      <c r="QYO197" s="360"/>
      <c r="QYP197" s="360"/>
      <c r="QYQ197" s="360"/>
      <c r="QYR197" s="360"/>
      <c r="QYS197" s="360"/>
      <c r="QYT197" s="360"/>
      <c r="QYU197" s="360"/>
      <c r="QYV197" s="360"/>
      <c r="QYW197" s="360"/>
      <c r="QYX197" s="360"/>
      <c r="QYY197" s="360"/>
      <c r="QYZ197" s="360"/>
      <c r="QZA197" s="360"/>
      <c r="QZB197" s="360"/>
      <c r="QZC197" s="360"/>
      <c r="QZD197" s="360"/>
      <c r="QZE197" s="360"/>
      <c r="QZF197" s="360"/>
      <c r="QZG197" s="360"/>
      <c r="QZH197" s="360"/>
      <c r="QZI197" s="360"/>
      <c r="QZJ197" s="360"/>
      <c r="QZK197" s="360"/>
      <c r="QZL197" s="360"/>
      <c r="QZM197" s="360"/>
      <c r="QZN197" s="360"/>
      <c r="QZO197" s="360"/>
      <c r="QZP197" s="360"/>
      <c r="QZQ197" s="360"/>
      <c r="QZR197" s="360"/>
      <c r="QZS197" s="360"/>
      <c r="QZT197" s="360"/>
      <c r="QZU197" s="360"/>
      <c r="QZV197" s="360"/>
      <c r="QZW197" s="360"/>
      <c r="QZX197" s="360"/>
      <c r="QZY197" s="360"/>
      <c r="QZZ197" s="360"/>
      <c r="RAA197" s="360"/>
      <c r="RAB197" s="360"/>
      <c r="RAC197" s="360"/>
      <c r="RAD197" s="360"/>
      <c r="RAE197" s="360"/>
      <c r="RAF197" s="360"/>
      <c r="RAG197" s="360"/>
      <c r="RAH197" s="360"/>
      <c r="RAI197" s="360"/>
      <c r="RAJ197" s="360"/>
      <c r="RAK197" s="360"/>
      <c r="RAL197" s="360"/>
      <c r="RAM197" s="360"/>
      <c r="RAN197" s="360"/>
      <c r="RAO197" s="360"/>
      <c r="RAP197" s="360"/>
      <c r="RAQ197" s="360"/>
      <c r="RAR197" s="360"/>
      <c r="RAS197" s="360"/>
      <c r="RAT197" s="360"/>
      <c r="RAU197" s="360"/>
      <c r="RAV197" s="360"/>
      <c r="RAW197" s="360"/>
      <c r="RAX197" s="360"/>
      <c r="RAY197" s="360"/>
      <c r="RAZ197" s="360"/>
      <c r="RBA197" s="360"/>
      <c r="RBB197" s="360"/>
      <c r="RBC197" s="360"/>
      <c r="RBD197" s="360"/>
      <c r="RBE197" s="360"/>
      <c r="RBF197" s="360"/>
      <c r="RBG197" s="360"/>
      <c r="RBH197" s="360"/>
      <c r="RBI197" s="360"/>
      <c r="RBJ197" s="360"/>
      <c r="RBK197" s="360"/>
      <c r="RBL197" s="360"/>
      <c r="RBM197" s="360"/>
      <c r="RBN197" s="360"/>
      <c r="RBO197" s="360"/>
      <c r="RBP197" s="360"/>
      <c r="RBQ197" s="360"/>
      <c r="RBR197" s="360"/>
      <c r="RBS197" s="360"/>
      <c r="RBT197" s="360"/>
      <c r="RBU197" s="360"/>
      <c r="RBV197" s="360"/>
      <c r="RBW197" s="360"/>
      <c r="RBX197" s="360"/>
      <c r="RBY197" s="360"/>
      <c r="RBZ197" s="360"/>
      <c r="RCA197" s="360"/>
      <c r="RCB197" s="360"/>
      <c r="RCC197" s="360"/>
      <c r="RCD197" s="360"/>
      <c r="RCE197" s="360"/>
      <c r="RCF197" s="360"/>
      <c r="RCG197" s="360"/>
      <c r="RCH197" s="360"/>
      <c r="RCI197" s="360"/>
      <c r="RCJ197" s="360"/>
      <c r="RCK197" s="360"/>
      <c r="RCL197" s="360"/>
      <c r="RCM197" s="360"/>
      <c r="RCN197" s="360"/>
      <c r="RCO197" s="360"/>
      <c r="RCP197" s="360"/>
      <c r="RCQ197" s="360"/>
      <c r="RCR197" s="360"/>
      <c r="RCS197" s="360"/>
      <c r="RCT197" s="360"/>
      <c r="RCU197" s="360"/>
      <c r="RCV197" s="360"/>
      <c r="RCW197" s="360"/>
      <c r="RCX197" s="360"/>
      <c r="RCY197" s="360"/>
      <c r="RCZ197" s="360"/>
      <c r="RDA197" s="360"/>
      <c r="RDB197" s="360"/>
      <c r="RDC197" s="360"/>
      <c r="RDD197" s="360"/>
      <c r="RDE197" s="360"/>
      <c r="RDF197" s="360"/>
      <c r="RDG197" s="360"/>
      <c r="RDH197" s="360"/>
      <c r="RDI197" s="360"/>
      <c r="RDJ197" s="360"/>
      <c r="RDK197" s="360"/>
      <c r="RDL197" s="360"/>
      <c r="RDM197" s="360"/>
      <c r="RDN197" s="360"/>
      <c r="RDO197" s="360"/>
      <c r="RDP197" s="360"/>
      <c r="RDQ197" s="360"/>
      <c r="RDR197" s="360"/>
      <c r="RDS197" s="360"/>
      <c r="RDT197" s="360"/>
      <c r="RDU197" s="360"/>
      <c r="RDV197" s="360"/>
      <c r="RDW197" s="360"/>
      <c r="RDX197" s="360"/>
      <c r="RDY197" s="360"/>
      <c r="RDZ197" s="360"/>
      <c r="REA197" s="360"/>
      <c r="REB197" s="360"/>
      <c r="REC197" s="360"/>
      <c r="RED197" s="360"/>
      <c r="REE197" s="360"/>
      <c r="REF197" s="360"/>
      <c r="REG197" s="360"/>
      <c r="REH197" s="360"/>
      <c r="REI197" s="360"/>
      <c r="REJ197" s="360"/>
      <c r="REK197" s="360"/>
      <c r="REL197" s="360"/>
      <c r="REM197" s="360"/>
      <c r="REN197" s="360"/>
      <c r="REO197" s="360"/>
      <c r="REP197" s="360"/>
      <c r="REQ197" s="360"/>
      <c r="RER197" s="360"/>
      <c r="RES197" s="360"/>
      <c r="RET197" s="360"/>
      <c r="REU197" s="360"/>
      <c r="REV197" s="360"/>
      <c r="REW197" s="360"/>
      <c r="REX197" s="360"/>
      <c r="REY197" s="360"/>
      <c r="REZ197" s="360"/>
      <c r="RFA197" s="360"/>
      <c r="RFB197" s="360"/>
      <c r="RFC197" s="360"/>
      <c r="RFD197" s="360"/>
      <c r="RFE197" s="360"/>
      <c r="RFF197" s="360"/>
      <c r="RFG197" s="360"/>
      <c r="RFH197" s="360"/>
      <c r="RFI197" s="360"/>
      <c r="RFJ197" s="360"/>
      <c r="RFK197" s="360"/>
      <c r="RFL197" s="360"/>
      <c r="RFM197" s="360"/>
      <c r="RFN197" s="360"/>
      <c r="RFO197" s="360"/>
      <c r="RFP197" s="360"/>
      <c r="RFQ197" s="360"/>
      <c r="RFR197" s="360"/>
      <c r="RFS197" s="360"/>
      <c r="RFT197" s="360"/>
      <c r="RFU197" s="360"/>
      <c r="RFV197" s="360"/>
      <c r="RFW197" s="360"/>
      <c r="RFX197" s="360"/>
      <c r="RFY197" s="360"/>
      <c r="RFZ197" s="360"/>
      <c r="RGA197" s="360"/>
      <c r="RGB197" s="360"/>
      <c r="RGC197" s="360"/>
      <c r="RGD197" s="360"/>
      <c r="RGE197" s="360"/>
      <c r="RGF197" s="360"/>
      <c r="RGG197" s="360"/>
      <c r="RGH197" s="360"/>
      <c r="RGI197" s="360"/>
      <c r="RGJ197" s="360"/>
      <c r="RGK197" s="360"/>
      <c r="RGL197" s="360"/>
      <c r="RGM197" s="360"/>
      <c r="RGN197" s="360"/>
      <c r="RGO197" s="360"/>
      <c r="RGP197" s="360"/>
      <c r="RGQ197" s="360"/>
      <c r="RGR197" s="360"/>
      <c r="RGS197" s="360"/>
      <c r="RGT197" s="360"/>
      <c r="RGU197" s="360"/>
      <c r="RGV197" s="360"/>
      <c r="RGW197" s="360"/>
      <c r="RGX197" s="360"/>
      <c r="RGY197" s="360"/>
      <c r="RGZ197" s="360"/>
      <c r="RHA197" s="360"/>
      <c r="RHB197" s="360"/>
      <c r="RHC197" s="360"/>
      <c r="RHD197" s="360"/>
      <c r="RHE197" s="360"/>
      <c r="RHF197" s="360"/>
      <c r="RHG197" s="360"/>
      <c r="RHH197" s="360"/>
      <c r="RHI197" s="360"/>
      <c r="RHJ197" s="360"/>
      <c r="RHK197" s="360"/>
      <c r="RHL197" s="360"/>
      <c r="RHM197" s="360"/>
      <c r="RHN197" s="360"/>
      <c r="RHO197" s="360"/>
      <c r="RHP197" s="360"/>
      <c r="RHQ197" s="360"/>
      <c r="RHR197" s="360"/>
      <c r="RHS197" s="360"/>
      <c r="RHT197" s="360"/>
      <c r="RHU197" s="360"/>
      <c r="RHV197" s="360"/>
      <c r="RHW197" s="360"/>
      <c r="RHX197" s="360"/>
      <c r="RHY197" s="360"/>
      <c r="RHZ197" s="360"/>
      <c r="RIA197" s="360"/>
      <c r="RIB197" s="360"/>
      <c r="RIC197" s="360"/>
      <c r="RID197" s="360"/>
      <c r="RIE197" s="360"/>
      <c r="RIF197" s="360"/>
      <c r="RIG197" s="360"/>
      <c r="RIH197" s="360"/>
      <c r="RII197" s="360"/>
      <c r="RIJ197" s="360"/>
      <c r="RIK197" s="360"/>
      <c r="RIL197" s="360"/>
      <c r="RIM197" s="360"/>
      <c r="RIN197" s="360"/>
      <c r="RIO197" s="360"/>
      <c r="RIP197" s="360"/>
      <c r="RIQ197" s="360"/>
      <c r="RIR197" s="360"/>
      <c r="RIS197" s="360"/>
      <c r="RIT197" s="360"/>
      <c r="RIU197" s="360"/>
      <c r="RIV197" s="360"/>
      <c r="RIW197" s="360"/>
      <c r="RIX197" s="360"/>
      <c r="RIY197" s="360"/>
      <c r="RIZ197" s="360"/>
      <c r="RJA197" s="360"/>
      <c r="RJB197" s="360"/>
      <c r="RJC197" s="360"/>
      <c r="RJD197" s="360"/>
      <c r="RJE197" s="360"/>
      <c r="RJF197" s="360"/>
      <c r="RJG197" s="360"/>
      <c r="RJH197" s="360"/>
      <c r="RJI197" s="360"/>
      <c r="RJJ197" s="360"/>
      <c r="RJK197" s="360"/>
      <c r="RJL197" s="360"/>
      <c r="RJM197" s="360"/>
      <c r="RJN197" s="360"/>
      <c r="RJO197" s="360"/>
      <c r="RJP197" s="360"/>
      <c r="RJQ197" s="360"/>
      <c r="RJR197" s="360"/>
      <c r="RJS197" s="360"/>
      <c r="RJT197" s="360"/>
      <c r="RJU197" s="360"/>
      <c r="RJV197" s="360"/>
      <c r="RJW197" s="360"/>
      <c r="RJX197" s="360"/>
      <c r="RJY197" s="360"/>
      <c r="RJZ197" s="360"/>
      <c r="RKA197" s="360"/>
      <c r="RKB197" s="360"/>
      <c r="RKC197" s="360"/>
      <c r="RKD197" s="360"/>
      <c r="RKE197" s="360"/>
      <c r="RKF197" s="360"/>
      <c r="RKG197" s="360"/>
      <c r="RKH197" s="360"/>
      <c r="RKI197" s="360"/>
      <c r="RKJ197" s="360"/>
      <c r="RKK197" s="360"/>
      <c r="RKL197" s="360"/>
      <c r="RKM197" s="360"/>
      <c r="RKN197" s="360"/>
      <c r="RKO197" s="360"/>
      <c r="RKP197" s="360"/>
      <c r="RKQ197" s="360"/>
      <c r="RKR197" s="360"/>
      <c r="RKS197" s="360"/>
      <c r="RKT197" s="360"/>
      <c r="RKU197" s="360"/>
      <c r="RKV197" s="360"/>
      <c r="RKW197" s="360"/>
      <c r="RKX197" s="360"/>
      <c r="RKY197" s="360"/>
      <c r="RKZ197" s="360"/>
      <c r="RLA197" s="360"/>
      <c r="RLB197" s="360"/>
      <c r="RLC197" s="360"/>
      <c r="RLD197" s="360"/>
      <c r="RLE197" s="360"/>
      <c r="RLF197" s="360"/>
      <c r="RLG197" s="360"/>
      <c r="RLH197" s="360"/>
      <c r="RLI197" s="360"/>
      <c r="RLJ197" s="360"/>
      <c r="RLK197" s="360"/>
      <c r="RLL197" s="360"/>
      <c r="RLM197" s="360"/>
      <c r="RLN197" s="360"/>
      <c r="RLO197" s="360"/>
      <c r="RLP197" s="360"/>
      <c r="RLQ197" s="360"/>
      <c r="RLR197" s="360"/>
      <c r="RLS197" s="360"/>
      <c r="RLT197" s="360"/>
      <c r="RLU197" s="360"/>
      <c r="RLV197" s="360"/>
      <c r="RLW197" s="360"/>
      <c r="RLX197" s="360"/>
      <c r="RLY197" s="360"/>
      <c r="RLZ197" s="360"/>
      <c r="RMA197" s="360"/>
      <c r="RMB197" s="360"/>
      <c r="RMC197" s="360"/>
      <c r="RMD197" s="360"/>
      <c r="RME197" s="360"/>
      <c r="RMF197" s="360"/>
      <c r="RMG197" s="360"/>
      <c r="RMH197" s="360"/>
      <c r="RMI197" s="360"/>
      <c r="RMJ197" s="360"/>
      <c r="RMK197" s="360"/>
      <c r="RML197" s="360"/>
      <c r="RMM197" s="360"/>
      <c r="RMN197" s="360"/>
      <c r="RMO197" s="360"/>
      <c r="RMP197" s="360"/>
      <c r="RMQ197" s="360"/>
      <c r="RMR197" s="360"/>
      <c r="RMS197" s="360"/>
      <c r="RMT197" s="360"/>
      <c r="RMU197" s="360"/>
      <c r="RMV197" s="360"/>
      <c r="RMW197" s="360"/>
      <c r="RMX197" s="360"/>
      <c r="RMY197" s="360"/>
      <c r="RMZ197" s="360"/>
      <c r="RNA197" s="360"/>
      <c r="RNB197" s="360"/>
      <c r="RNC197" s="360"/>
      <c r="RND197" s="360"/>
      <c r="RNE197" s="360"/>
      <c r="RNF197" s="360"/>
      <c r="RNG197" s="360"/>
      <c r="RNH197" s="360"/>
      <c r="RNI197" s="360"/>
      <c r="RNJ197" s="360"/>
      <c r="RNK197" s="360"/>
      <c r="RNL197" s="360"/>
      <c r="RNM197" s="360"/>
      <c r="RNN197" s="360"/>
      <c r="RNO197" s="360"/>
      <c r="RNP197" s="360"/>
      <c r="RNQ197" s="360"/>
      <c r="RNR197" s="360"/>
      <c r="RNS197" s="360"/>
      <c r="RNT197" s="360"/>
      <c r="RNU197" s="360"/>
      <c r="RNV197" s="360"/>
      <c r="RNW197" s="360"/>
      <c r="RNX197" s="360"/>
      <c r="RNY197" s="360"/>
      <c r="RNZ197" s="360"/>
      <c r="ROA197" s="360"/>
      <c r="ROB197" s="360"/>
      <c r="ROC197" s="360"/>
      <c r="ROD197" s="360"/>
      <c r="ROE197" s="360"/>
      <c r="ROF197" s="360"/>
      <c r="ROG197" s="360"/>
      <c r="ROH197" s="360"/>
      <c r="ROI197" s="360"/>
      <c r="ROJ197" s="360"/>
      <c r="ROK197" s="360"/>
      <c r="ROL197" s="360"/>
      <c r="ROM197" s="360"/>
      <c r="RON197" s="360"/>
      <c r="ROO197" s="360"/>
      <c r="ROP197" s="360"/>
      <c r="ROQ197" s="360"/>
      <c r="ROR197" s="360"/>
      <c r="ROS197" s="360"/>
      <c r="ROT197" s="360"/>
      <c r="ROU197" s="360"/>
      <c r="ROV197" s="360"/>
      <c r="ROW197" s="360"/>
      <c r="ROX197" s="360"/>
      <c r="ROY197" s="360"/>
      <c r="ROZ197" s="360"/>
      <c r="RPA197" s="360"/>
      <c r="RPB197" s="360"/>
      <c r="RPC197" s="360"/>
      <c r="RPD197" s="360"/>
      <c r="RPE197" s="360"/>
      <c r="RPF197" s="360"/>
      <c r="RPG197" s="360"/>
      <c r="RPH197" s="360"/>
      <c r="RPI197" s="360"/>
      <c r="RPJ197" s="360"/>
      <c r="RPK197" s="360"/>
      <c r="RPL197" s="360"/>
      <c r="RPM197" s="360"/>
      <c r="RPN197" s="360"/>
      <c r="RPO197" s="360"/>
      <c r="RPP197" s="360"/>
      <c r="RPQ197" s="360"/>
      <c r="RPR197" s="360"/>
      <c r="RPS197" s="360"/>
      <c r="RPT197" s="360"/>
      <c r="RPU197" s="360"/>
      <c r="RPV197" s="360"/>
      <c r="RPW197" s="360"/>
      <c r="RPX197" s="360"/>
      <c r="RPY197" s="360"/>
      <c r="RPZ197" s="360"/>
      <c r="RQA197" s="360"/>
      <c r="RQB197" s="360"/>
      <c r="RQC197" s="360"/>
      <c r="RQD197" s="360"/>
      <c r="RQE197" s="360"/>
      <c r="RQF197" s="360"/>
      <c r="RQG197" s="360"/>
      <c r="RQH197" s="360"/>
      <c r="RQI197" s="360"/>
      <c r="RQJ197" s="360"/>
      <c r="RQK197" s="360"/>
      <c r="RQL197" s="360"/>
      <c r="RQM197" s="360"/>
      <c r="RQN197" s="360"/>
      <c r="RQO197" s="360"/>
      <c r="RQP197" s="360"/>
      <c r="RQQ197" s="360"/>
      <c r="RQR197" s="360"/>
      <c r="RQS197" s="360"/>
      <c r="RQT197" s="360"/>
      <c r="RQU197" s="360"/>
      <c r="RQV197" s="360"/>
      <c r="RQW197" s="360"/>
      <c r="RQX197" s="360"/>
      <c r="RQY197" s="360"/>
      <c r="RQZ197" s="360"/>
      <c r="RRA197" s="360"/>
      <c r="RRB197" s="360"/>
      <c r="RRC197" s="360"/>
      <c r="RRD197" s="360"/>
      <c r="RRE197" s="360"/>
      <c r="RRF197" s="360"/>
      <c r="RRG197" s="360"/>
      <c r="RRH197" s="360"/>
      <c r="RRI197" s="360"/>
      <c r="RRJ197" s="360"/>
      <c r="RRK197" s="360"/>
      <c r="RRL197" s="360"/>
      <c r="RRM197" s="360"/>
      <c r="RRN197" s="360"/>
      <c r="RRO197" s="360"/>
      <c r="RRP197" s="360"/>
      <c r="RRQ197" s="360"/>
      <c r="RRR197" s="360"/>
      <c r="RRS197" s="360"/>
      <c r="RRT197" s="360"/>
      <c r="RRU197" s="360"/>
      <c r="RRV197" s="360"/>
      <c r="RRW197" s="360"/>
      <c r="RRX197" s="360"/>
      <c r="RRY197" s="360"/>
      <c r="RRZ197" s="360"/>
      <c r="RSA197" s="360"/>
      <c r="RSB197" s="360"/>
      <c r="RSC197" s="360"/>
      <c r="RSD197" s="360"/>
      <c r="RSE197" s="360"/>
      <c r="RSF197" s="360"/>
      <c r="RSG197" s="360"/>
      <c r="RSH197" s="360"/>
      <c r="RSI197" s="360"/>
      <c r="RSJ197" s="360"/>
      <c r="RSK197" s="360"/>
      <c r="RSL197" s="360"/>
      <c r="RSM197" s="360"/>
      <c r="RSN197" s="360"/>
      <c r="RSO197" s="360"/>
      <c r="RSP197" s="360"/>
      <c r="RSQ197" s="360"/>
      <c r="RSR197" s="360"/>
      <c r="RSS197" s="360"/>
      <c r="RST197" s="360"/>
      <c r="RSU197" s="360"/>
      <c r="RSV197" s="360"/>
      <c r="RSW197" s="360"/>
      <c r="RSX197" s="360"/>
      <c r="RSY197" s="360"/>
      <c r="RSZ197" s="360"/>
      <c r="RTA197" s="360"/>
      <c r="RTB197" s="360"/>
      <c r="RTC197" s="360"/>
      <c r="RTD197" s="360"/>
      <c r="RTE197" s="360"/>
      <c r="RTF197" s="360"/>
      <c r="RTG197" s="360"/>
      <c r="RTH197" s="360"/>
      <c r="RTI197" s="360"/>
      <c r="RTJ197" s="360"/>
      <c r="RTK197" s="360"/>
      <c r="RTL197" s="360"/>
      <c r="RTM197" s="360"/>
      <c r="RTN197" s="360"/>
      <c r="RTO197" s="360"/>
      <c r="RTP197" s="360"/>
      <c r="RTQ197" s="360"/>
      <c r="RTR197" s="360"/>
      <c r="RTS197" s="360"/>
      <c r="RTT197" s="360"/>
      <c r="RTU197" s="360"/>
      <c r="RTV197" s="360"/>
      <c r="RTW197" s="360"/>
      <c r="RTX197" s="360"/>
      <c r="RTY197" s="360"/>
      <c r="RTZ197" s="360"/>
      <c r="RUA197" s="360"/>
      <c r="RUB197" s="360"/>
      <c r="RUC197" s="360"/>
      <c r="RUD197" s="360"/>
      <c r="RUE197" s="360"/>
      <c r="RUF197" s="360"/>
      <c r="RUG197" s="360"/>
      <c r="RUH197" s="360"/>
      <c r="RUI197" s="360"/>
      <c r="RUJ197" s="360"/>
      <c r="RUK197" s="360"/>
      <c r="RUL197" s="360"/>
      <c r="RUM197" s="360"/>
      <c r="RUN197" s="360"/>
      <c r="RUO197" s="360"/>
      <c r="RUP197" s="360"/>
      <c r="RUQ197" s="360"/>
      <c r="RUR197" s="360"/>
      <c r="RUS197" s="360"/>
      <c r="RUT197" s="360"/>
      <c r="RUU197" s="360"/>
      <c r="RUV197" s="360"/>
      <c r="RUW197" s="360"/>
      <c r="RUX197" s="360"/>
      <c r="RUY197" s="360"/>
      <c r="RUZ197" s="360"/>
      <c r="RVA197" s="360"/>
      <c r="RVB197" s="360"/>
      <c r="RVC197" s="360"/>
      <c r="RVD197" s="360"/>
      <c r="RVE197" s="360"/>
      <c r="RVF197" s="360"/>
      <c r="RVG197" s="360"/>
      <c r="RVH197" s="360"/>
      <c r="RVI197" s="360"/>
      <c r="RVJ197" s="360"/>
      <c r="RVK197" s="360"/>
      <c r="RVL197" s="360"/>
      <c r="RVM197" s="360"/>
      <c r="RVN197" s="360"/>
      <c r="RVO197" s="360"/>
      <c r="RVP197" s="360"/>
      <c r="RVQ197" s="360"/>
      <c r="RVR197" s="360"/>
      <c r="RVS197" s="360"/>
      <c r="RVT197" s="360"/>
      <c r="RVU197" s="360"/>
      <c r="RVV197" s="360"/>
      <c r="RVW197" s="360"/>
      <c r="RVX197" s="360"/>
      <c r="RVY197" s="360"/>
      <c r="RVZ197" s="360"/>
      <c r="RWA197" s="360"/>
      <c r="RWB197" s="360"/>
      <c r="RWC197" s="360"/>
      <c r="RWD197" s="360"/>
      <c r="RWE197" s="360"/>
      <c r="RWF197" s="360"/>
      <c r="RWG197" s="360"/>
      <c r="RWH197" s="360"/>
      <c r="RWI197" s="360"/>
      <c r="RWJ197" s="360"/>
      <c r="RWK197" s="360"/>
      <c r="RWL197" s="360"/>
      <c r="RWM197" s="360"/>
      <c r="RWN197" s="360"/>
      <c r="RWO197" s="360"/>
      <c r="RWP197" s="360"/>
      <c r="RWQ197" s="360"/>
      <c r="RWR197" s="360"/>
      <c r="RWS197" s="360"/>
      <c r="RWT197" s="360"/>
      <c r="RWU197" s="360"/>
      <c r="RWV197" s="360"/>
      <c r="RWW197" s="360"/>
      <c r="RWX197" s="360"/>
      <c r="RWY197" s="360"/>
      <c r="RWZ197" s="360"/>
      <c r="RXA197" s="360"/>
      <c r="RXB197" s="360"/>
      <c r="RXC197" s="360"/>
      <c r="RXD197" s="360"/>
      <c r="RXE197" s="360"/>
      <c r="RXF197" s="360"/>
      <c r="RXG197" s="360"/>
      <c r="RXH197" s="360"/>
      <c r="RXI197" s="360"/>
      <c r="RXJ197" s="360"/>
      <c r="RXK197" s="360"/>
      <c r="RXL197" s="360"/>
      <c r="RXM197" s="360"/>
      <c r="RXN197" s="360"/>
      <c r="RXO197" s="360"/>
      <c r="RXP197" s="360"/>
      <c r="RXQ197" s="360"/>
      <c r="RXR197" s="360"/>
      <c r="RXS197" s="360"/>
      <c r="RXT197" s="360"/>
      <c r="RXU197" s="360"/>
      <c r="RXV197" s="360"/>
      <c r="RXW197" s="360"/>
      <c r="RXX197" s="360"/>
      <c r="RXY197" s="360"/>
      <c r="RXZ197" s="360"/>
      <c r="RYA197" s="360"/>
      <c r="RYB197" s="360"/>
      <c r="RYC197" s="360"/>
      <c r="RYD197" s="360"/>
      <c r="RYE197" s="360"/>
      <c r="RYF197" s="360"/>
      <c r="RYG197" s="360"/>
      <c r="RYH197" s="360"/>
      <c r="RYI197" s="360"/>
      <c r="RYJ197" s="360"/>
      <c r="RYK197" s="360"/>
      <c r="RYL197" s="360"/>
      <c r="RYM197" s="360"/>
      <c r="RYN197" s="360"/>
      <c r="RYO197" s="360"/>
      <c r="RYP197" s="360"/>
      <c r="RYQ197" s="360"/>
      <c r="RYR197" s="360"/>
      <c r="RYS197" s="360"/>
      <c r="RYT197" s="360"/>
      <c r="RYU197" s="360"/>
      <c r="RYV197" s="360"/>
      <c r="RYW197" s="360"/>
      <c r="RYX197" s="360"/>
      <c r="RYY197" s="360"/>
      <c r="RYZ197" s="360"/>
      <c r="RZA197" s="360"/>
      <c r="RZB197" s="360"/>
      <c r="RZC197" s="360"/>
      <c r="RZD197" s="360"/>
      <c r="RZE197" s="360"/>
      <c r="RZF197" s="360"/>
      <c r="RZG197" s="360"/>
      <c r="RZH197" s="360"/>
      <c r="RZI197" s="360"/>
      <c r="RZJ197" s="360"/>
      <c r="RZK197" s="360"/>
      <c r="RZL197" s="360"/>
      <c r="RZM197" s="360"/>
      <c r="RZN197" s="360"/>
      <c r="RZO197" s="360"/>
      <c r="RZP197" s="360"/>
      <c r="RZQ197" s="360"/>
      <c r="RZR197" s="360"/>
      <c r="RZS197" s="360"/>
      <c r="RZT197" s="360"/>
      <c r="RZU197" s="360"/>
      <c r="RZV197" s="360"/>
      <c r="RZW197" s="360"/>
      <c r="RZX197" s="360"/>
      <c r="RZY197" s="360"/>
      <c r="RZZ197" s="360"/>
      <c r="SAA197" s="360"/>
      <c r="SAB197" s="360"/>
      <c r="SAC197" s="360"/>
      <c r="SAD197" s="360"/>
      <c r="SAE197" s="360"/>
      <c r="SAF197" s="360"/>
      <c r="SAG197" s="360"/>
      <c r="SAH197" s="360"/>
      <c r="SAI197" s="360"/>
      <c r="SAJ197" s="360"/>
      <c r="SAK197" s="360"/>
      <c r="SAL197" s="360"/>
      <c r="SAM197" s="360"/>
      <c r="SAN197" s="360"/>
      <c r="SAO197" s="360"/>
      <c r="SAP197" s="360"/>
      <c r="SAQ197" s="360"/>
      <c r="SAR197" s="360"/>
      <c r="SAS197" s="360"/>
      <c r="SAT197" s="360"/>
      <c r="SAU197" s="360"/>
      <c r="SAV197" s="360"/>
      <c r="SAW197" s="360"/>
      <c r="SAX197" s="360"/>
      <c r="SAY197" s="360"/>
      <c r="SAZ197" s="360"/>
      <c r="SBA197" s="360"/>
      <c r="SBB197" s="360"/>
      <c r="SBC197" s="360"/>
      <c r="SBD197" s="360"/>
      <c r="SBE197" s="360"/>
      <c r="SBF197" s="360"/>
      <c r="SBG197" s="360"/>
      <c r="SBH197" s="360"/>
      <c r="SBI197" s="360"/>
      <c r="SBJ197" s="360"/>
      <c r="SBK197" s="360"/>
      <c r="SBL197" s="360"/>
      <c r="SBM197" s="360"/>
      <c r="SBN197" s="360"/>
      <c r="SBO197" s="360"/>
      <c r="SBP197" s="360"/>
      <c r="SBQ197" s="360"/>
      <c r="SBR197" s="360"/>
      <c r="SBS197" s="360"/>
      <c r="SBT197" s="360"/>
      <c r="SBU197" s="360"/>
      <c r="SBV197" s="360"/>
      <c r="SBW197" s="360"/>
      <c r="SBX197" s="360"/>
      <c r="SBY197" s="360"/>
      <c r="SBZ197" s="360"/>
      <c r="SCA197" s="360"/>
      <c r="SCB197" s="360"/>
      <c r="SCC197" s="360"/>
      <c r="SCD197" s="360"/>
      <c r="SCE197" s="360"/>
      <c r="SCF197" s="360"/>
      <c r="SCG197" s="360"/>
      <c r="SCH197" s="360"/>
      <c r="SCI197" s="360"/>
      <c r="SCJ197" s="360"/>
      <c r="SCK197" s="360"/>
      <c r="SCL197" s="360"/>
      <c r="SCM197" s="360"/>
      <c r="SCN197" s="360"/>
      <c r="SCO197" s="360"/>
      <c r="SCP197" s="360"/>
      <c r="SCQ197" s="360"/>
      <c r="SCR197" s="360"/>
      <c r="SCS197" s="360"/>
      <c r="SCT197" s="360"/>
      <c r="SCU197" s="360"/>
      <c r="SCV197" s="360"/>
      <c r="SCW197" s="360"/>
      <c r="SCX197" s="360"/>
      <c r="SCY197" s="360"/>
      <c r="SCZ197" s="360"/>
      <c r="SDA197" s="360"/>
      <c r="SDB197" s="360"/>
      <c r="SDC197" s="360"/>
      <c r="SDD197" s="360"/>
      <c r="SDE197" s="360"/>
      <c r="SDF197" s="360"/>
      <c r="SDG197" s="360"/>
      <c r="SDH197" s="360"/>
      <c r="SDI197" s="360"/>
      <c r="SDJ197" s="360"/>
      <c r="SDK197" s="360"/>
      <c r="SDL197" s="360"/>
      <c r="SDM197" s="360"/>
      <c r="SDN197" s="360"/>
      <c r="SDO197" s="360"/>
      <c r="SDP197" s="360"/>
      <c r="SDQ197" s="360"/>
      <c r="SDR197" s="360"/>
      <c r="SDS197" s="360"/>
      <c r="SDT197" s="360"/>
      <c r="SDU197" s="360"/>
      <c r="SDV197" s="360"/>
      <c r="SDW197" s="360"/>
      <c r="SDX197" s="360"/>
      <c r="SDY197" s="360"/>
      <c r="SDZ197" s="360"/>
      <c r="SEA197" s="360"/>
      <c r="SEB197" s="360"/>
      <c r="SEC197" s="360"/>
      <c r="SED197" s="360"/>
      <c r="SEE197" s="360"/>
      <c r="SEF197" s="360"/>
      <c r="SEG197" s="360"/>
      <c r="SEH197" s="360"/>
      <c r="SEI197" s="360"/>
      <c r="SEJ197" s="360"/>
      <c r="SEK197" s="360"/>
      <c r="SEL197" s="360"/>
      <c r="SEM197" s="360"/>
      <c r="SEN197" s="360"/>
      <c r="SEO197" s="360"/>
      <c r="SEP197" s="360"/>
      <c r="SEQ197" s="360"/>
      <c r="SER197" s="360"/>
      <c r="SES197" s="360"/>
      <c r="SET197" s="360"/>
      <c r="SEU197" s="360"/>
      <c r="SEV197" s="360"/>
      <c r="SEW197" s="360"/>
      <c r="SEX197" s="360"/>
      <c r="SEY197" s="360"/>
      <c r="SEZ197" s="360"/>
      <c r="SFA197" s="360"/>
      <c r="SFB197" s="360"/>
      <c r="SFC197" s="360"/>
      <c r="SFD197" s="360"/>
      <c r="SFE197" s="360"/>
      <c r="SFF197" s="360"/>
      <c r="SFG197" s="360"/>
      <c r="SFH197" s="360"/>
      <c r="SFI197" s="360"/>
      <c r="SFJ197" s="360"/>
      <c r="SFK197" s="360"/>
      <c r="SFL197" s="360"/>
      <c r="SFM197" s="360"/>
      <c r="SFN197" s="360"/>
      <c r="SFO197" s="360"/>
      <c r="SFP197" s="360"/>
      <c r="SFQ197" s="360"/>
      <c r="SFR197" s="360"/>
      <c r="SFS197" s="360"/>
      <c r="SFT197" s="360"/>
      <c r="SFU197" s="360"/>
      <c r="SFV197" s="360"/>
      <c r="SFW197" s="360"/>
      <c r="SFX197" s="360"/>
      <c r="SFY197" s="360"/>
      <c r="SFZ197" s="360"/>
      <c r="SGA197" s="360"/>
      <c r="SGB197" s="360"/>
      <c r="SGC197" s="360"/>
      <c r="SGD197" s="360"/>
      <c r="SGE197" s="360"/>
      <c r="SGF197" s="360"/>
      <c r="SGG197" s="360"/>
      <c r="SGH197" s="360"/>
      <c r="SGI197" s="360"/>
      <c r="SGJ197" s="360"/>
      <c r="SGK197" s="360"/>
      <c r="SGL197" s="360"/>
      <c r="SGM197" s="360"/>
      <c r="SGN197" s="360"/>
      <c r="SGO197" s="360"/>
      <c r="SGP197" s="360"/>
      <c r="SGQ197" s="360"/>
      <c r="SGR197" s="360"/>
      <c r="SGS197" s="360"/>
      <c r="SGT197" s="360"/>
      <c r="SGU197" s="360"/>
      <c r="SGV197" s="360"/>
      <c r="SGW197" s="360"/>
      <c r="SGX197" s="360"/>
      <c r="SGY197" s="360"/>
      <c r="SGZ197" s="360"/>
      <c r="SHA197" s="360"/>
      <c r="SHB197" s="360"/>
      <c r="SHC197" s="360"/>
      <c r="SHD197" s="360"/>
      <c r="SHE197" s="360"/>
      <c r="SHF197" s="360"/>
      <c r="SHG197" s="360"/>
      <c r="SHH197" s="360"/>
      <c r="SHI197" s="360"/>
      <c r="SHJ197" s="360"/>
      <c r="SHK197" s="360"/>
      <c r="SHL197" s="360"/>
      <c r="SHM197" s="360"/>
      <c r="SHN197" s="360"/>
      <c r="SHO197" s="360"/>
      <c r="SHP197" s="360"/>
      <c r="SHQ197" s="360"/>
      <c r="SHR197" s="360"/>
      <c r="SHS197" s="360"/>
      <c r="SHT197" s="360"/>
      <c r="SHU197" s="360"/>
      <c r="SHV197" s="360"/>
      <c r="SHW197" s="360"/>
      <c r="SHX197" s="360"/>
      <c r="SHY197" s="360"/>
      <c r="SHZ197" s="360"/>
      <c r="SIA197" s="360"/>
      <c r="SIB197" s="360"/>
      <c r="SIC197" s="360"/>
      <c r="SID197" s="360"/>
      <c r="SIE197" s="360"/>
      <c r="SIF197" s="360"/>
      <c r="SIG197" s="360"/>
      <c r="SIH197" s="360"/>
      <c r="SII197" s="360"/>
      <c r="SIJ197" s="360"/>
      <c r="SIK197" s="360"/>
      <c r="SIL197" s="360"/>
      <c r="SIM197" s="360"/>
      <c r="SIN197" s="360"/>
      <c r="SIO197" s="360"/>
      <c r="SIP197" s="360"/>
      <c r="SIQ197" s="360"/>
      <c r="SIR197" s="360"/>
      <c r="SIS197" s="360"/>
      <c r="SIT197" s="360"/>
      <c r="SIU197" s="360"/>
      <c r="SIV197" s="360"/>
      <c r="SIW197" s="360"/>
      <c r="SIX197" s="360"/>
      <c r="SIY197" s="360"/>
      <c r="SIZ197" s="360"/>
      <c r="SJA197" s="360"/>
      <c r="SJB197" s="360"/>
      <c r="SJC197" s="360"/>
      <c r="SJD197" s="360"/>
      <c r="SJE197" s="360"/>
      <c r="SJF197" s="360"/>
      <c r="SJG197" s="360"/>
      <c r="SJH197" s="360"/>
      <c r="SJI197" s="360"/>
      <c r="SJJ197" s="360"/>
      <c r="SJK197" s="360"/>
      <c r="SJL197" s="360"/>
      <c r="SJM197" s="360"/>
      <c r="SJN197" s="360"/>
      <c r="SJO197" s="360"/>
      <c r="SJP197" s="360"/>
      <c r="SJQ197" s="360"/>
      <c r="SJR197" s="360"/>
      <c r="SJS197" s="360"/>
      <c r="SJT197" s="360"/>
      <c r="SJU197" s="360"/>
      <c r="SJV197" s="360"/>
      <c r="SJW197" s="360"/>
      <c r="SJX197" s="360"/>
      <c r="SJY197" s="360"/>
      <c r="SJZ197" s="360"/>
      <c r="SKA197" s="360"/>
      <c r="SKB197" s="360"/>
      <c r="SKC197" s="360"/>
      <c r="SKD197" s="360"/>
      <c r="SKE197" s="360"/>
      <c r="SKF197" s="360"/>
      <c r="SKG197" s="360"/>
      <c r="SKH197" s="360"/>
      <c r="SKI197" s="360"/>
      <c r="SKJ197" s="360"/>
      <c r="SKK197" s="360"/>
      <c r="SKL197" s="360"/>
      <c r="SKM197" s="360"/>
      <c r="SKN197" s="360"/>
      <c r="SKO197" s="360"/>
      <c r="SKP197" s="360"/>
      <c r="SKQ197" s="360"/>
      <c r="SKR197" s="360"/>
      <c r="SKS197" s="360"/>
      <c r="SKT197" s="360"/>
      <c r="SKU197" s="360"/>
      <c r="SKV197" s="360"/>
      <c r="SKW197" s="360"/>
      <c r="SKX197" s="360"/>
      <c r="SKY197" s="360"/>
      <c r="SKZ197" s="360"/>
      <c r="SLA197" s="360"/>
      <c r="SLB197" s="360"/>
      <c r="SLC197" s="360"/>
      <c r="SLD197" s="360"/>
      <c r="SLE197" s="360"/>
      <c r="SLF197" s="360"/>
      <c r="SLG197" s="360"/>
      <c r="SLH197" s="360"/>
      <c r="SLI197" s="360"/>
      <c r="SLJ197" s="360"/>
      <c r="SLK197" s="360"/>
      <c r="SLL197" s="360"/>
      <c r="SLM197" s="360"/>
      <c r="SLN197" s="360"/>
      <c r="SLO197" s="360"/>
      <c r="SLP197" s="360"/>
      <c r="SLQ197" s="360"/>
      <c r="SLR197" s="360"/>
      <c r="SLS197" s="360"/>
      <c r="SLT197" s="360"/>
      <c r="SLU197" s="360"/>
      <c r="SLV197" s="360"/>
      <c r="SLW197" s="360"/>
      <c r="SLX197" s="360"/>
      <c r="SLY197" s="360"/>
      <c r="SLZ197" s="360"/>
      <c r="SMA197" s="360"/>
      <c r="SMB197" s="360"/>
      <c r="SMC197" s="360"/>
      <c r="SMD197" s="360"/>
      <c r="SME197" s="360"/>
      <c r="SMF197" s="360"/>
      <c r="SMG197" s="360"/>
      <c r="SMH197" s="360"/>
      <c r="SMI197" s="360"/>
      <c r="SMJ197" s="360"/>
      <c r="SMK197" s="360"/>
      <c r="SML197" s="360"/>
      <c r="SMM197" s="360"/>
      <c r="SMN197" s="360"/>
      <c r="SMO197" s="360"/>
      <c r="SMP197" s="360"/>
      <c r="SMQ197" s="360"/>
      <c r="SMR197" s="360"/>
      <c r="SMS197" s="360"/>
      <c r="SMT197" s="360"/>
      <c r="SMU197" s="360"/>
      <c r="SMV197" s="360"/>
      <c r="SMW197" s="360"/>
      <c r="SMX197" s="360"/>
      <c r="SMY197" s="360"/>
      <c r="SMZ197" s="360"/>
      <c r="SNA197" s="360"/>
      <c r="SNB197" s="360"/>
      <c r="SNC197" s="360"/>
      <c r="SND197" s="360"/>
      <c r="SNE197" s="360"/>
      <c r="SNF197" s="360"/>
      <c r="SNG197" s="360"/>
      <c r="SNH197" s="360"/>
      <c r="SNI197" s="360"/>
      <c r="SNJ197" s="360"/>
      <c r="SNK197" s="360"/>
      <c r="SNL197" s="360"/>
      <c r="SNM197" s="360"/>
      <c r="SNN197" s="360"/>
      <c r="SNO197" s="360"/>
      <c r="SNP197" s="360"/>
      <c r="SNQ197" s="360"/>
      <c r="SNR197" s="360"/>
      <c r="SNS197" s="360"/>
      <c r="SNT197" s="360"/>
      <c r="SNU197" s="360"/>
      <c r="SNV197" s="360"/>
      <c r="SNW197" s="360"/>
      <c r="SNX197" s="360"/>
      <c r="SNY197" s="360"/>
      <c r="SNZ197" s="360"/>
      <c r="SOA197" s="360"/>
      <c r="SOB197" s="360"/>
      <c r="SOC197" s="360"/>
      <c r="SOD197" s="360"/>
      <c r="SOE197" s="360"/>
      <c r="SOF197" s="360"/>
      <c r="SOG197" s="360"/>
      <c r="SOH197" s="360"/>
      <c r="SOI197" s="360"/>
      <c r="SOJ197" s="360"/>
      <c r="SOK197" s="360"/>
      <c r="SOL197" s="360"/>
      <c r="SOM197" s="360"/>
      <c r="SON197" s="360"/>
      <c r="SOO197" s="360"/>
      <c r="SOP197" s="360"/>
      <c r="SOQ197" s="360"/>
      <c r="SOR197" s="360"/>
      <c r="SOS197" s="360"/>
      <c r="SOT197" s="360"/>
      <c r="SOU197" s="360"/>
      <c r="SOV197" s="360"/>
      <c r="SOW197" s="360"/>
      <c r="SOX197" s="360"/>
      <c r="SOY197" s="360"/>
      <c r="SOZ197" s="360"/>
      <c r="SPA197" s="360"/>
      <c r="SPB197" s="360"/>
      <c r="SPC197" s="360"/>
      <c r="SPD197" s="360"/>
      <c r="SPE197" s="360"/>
      <c r="SPF197" s="360"/>
      <c r="SPG197" s="360"/>
      <c r="SPH197" s="360"/>
      <c r="SPI197" s="360"/>
      <c r="SPJ197" s="360"/>
      <c r="SPK197" s="360"/>
      <c r="SPL197" s="360"/>
      <c r="SPM197" s="360"/>
      <c r="SPN197" s="360"/>
      <c r="SPO197" s="360"/>
      <c r="SPP197" s="360"/>
      <c r="SPQ197" s="360"/>
      <c r="SPR197" s="360"/>
      <c r="SPS197" s="360"/>
      <c r="SPT197" s="360"/>
      <c r="SPU197" s="360"/>
      <c r="SPV197" s="360"/>
      <c r="SPW197" s="360"/>
      <c r="SPX197" s="360"/>
      <c r="SPY197" s="360"/>
      <c r="SPZ197" s="360"/>
      <c r="SQA197" s="360"/>
      <c r="SQB197" s="360"/>
      <c r="SQC197" s="360"/>
      <c r="SQD197" s="360"/>
      <c r="SQE197" s="360"/>
      <c r="SQF197" s="360"/>
      <c r="SQG197" s="360"/>
      <c r="SQH197" s="360"/>
      <c r="SQI197" s="360"/>
      <c r="SQJ197" s="360"/>
      <c r="SQK197" s="360"/>
      <c r="SQL197" s="360"/>
      <c r="SQM197" s="360"/>
      <c r="SQN197" s="360"/>
      <c r="SQO197" s="360"/>
      <c r="SQP197" s="360"/>
      <c r="SQQ197" s="360"/>
      <c r="SQR197" s="360"/>
      <c r="SQS197" s="360"/>
      <c r="SQT197" s="360"/>
      <c r="SQU197" s="360"/>
      <c r="SQV197" s="360"/>
      <c r="SQW197" s="360"/>
      <c r="SQX197" s="360"/>
      <c r="SQY197" s="360"/>
      <c r="SQZ197" s="360"/>
      <c r="SRA197" s="360"/>
      <c r="SRB197" s="360"/>
      <c r="SRC197" s="360"/>
      <c r="SRD197" s="360"/>
      <c r="SRE197" s="360"/>
      <c r="SRF197" s="360"/>
      <c r="SRG197" s="360"/>
      <c r="SRH197" s="360"/>
      <c r="SRI197" s="360"/>
      <c r="SRJ197" s="360"/>
      <c r="SRK197" s="360"/>
      <c r="SRL197" s="360"/>
      <c r="SRM197" s="360"/>
      <c r="SRN197" s="360"/>
      <c r="SRO197" s="360"/>
      <c r="SRP197" s="360"/>
      <c r="SRQ197" s="360"/>
      <c r="SRR197" s="360"/>
      <c r="SRS197" s="360"/>
      <c r="SRT197" s="360"/>
      <c r="SRU197" s="360"/>
      <c r="SRV197" s="360"/>
      <c r="SRW197" s="360"/>
      <c r="SRX197" s="360"/>
      <c r="SRY197" s="360"/>
      <c r="SRZ197" s="360"/>
      <c r="SSA197" s="360"/>
      <c r="SSB197" s="360"/>
      <c r="SSC197" s="360"/>
      <c r="SSD197" s="360"/>
      <c r="SSE197" s="360"/>
      <c r="SSF197" s="360"/>
      <c r="SSG197" s="360"/>
      <c r="SSH197" s="360"/>
      <c r="SSI197" s="360"/>
      <c r="SSJ197" s="360"/>
      <c r="SSK197" s="360"/>
      <c r="SSL197" s="360"/>
      <c r="SSM197" s="360"/>
      <c r="SSN197" s="360"/>
      <c r="SSO197" s="360"/>
      <c r="SSP197" s="360"/>
      <c r="SSQ197" s="360"/>
      <c r="SSR197" s="360"/>
      <c r="SSS197" s="360"/>
      <c r="SST197" s="360"/>
      <c r="SSU197" s="360"/>
      <c r="SSV197" s="360"/>
      <c r="SSW197" s="360"/>
      <c r="SSX197" s="360"/>
      <c r="SSY197" s="360"/>
      <c r="SSZ197" s="360"/>
      <c r="STA197" s="360"/>
      <c r="STB197" s="360"/>
      <c r="STC197" s="360"/>
      <c r="STD197" s="360"/>
      <c r="STE197" s="360"/>
      <c r="STF197" s="360"/>
      <c r="STG197" s="360"/>
      <c r="STH197" s="360"/>
      <c r="STI197" s="360"/>
      <c r="STJ197" s="360"/>
      <c r="STK197" s="360"/>
      <c r="STL197" s="360"/>
      <c r="STM197" s="360"/>
      <c r="STN197" s="360"/>
      <c r="STO197" s="360"/>
      <c r="STP197" s="360"/>
      <c r="STQ197" s="360"/>
      <c r="STR197" s="360"/>
      <c r="STS197" s="360"/>
      <c r="STT197" s="360"/>
      <c r="STU197" s="360"/>
      <c r="STV197" s="360"/>
      <c r="STW197" s="360"/>
      <c r="STX197" s="360"/>
      <c r="STY197" s="360"/>
      <c r="STZ197" s="360"/>
      <c r="SUA197" s="360"/>
      <c r="SUB197" s="360"/>
      <c r="SUC197" s="360"/>
      <c r="SUD197" s="360"/>
      <c r="SUE197" s="360"/>
      <c r="SUF197" s="360"/>
      <c r="SUG197" s="360"/>
      <c r="SUH197" s="360"/>
      <c r="SUI197" s="360"/>
      <c r="SUJ197" s="360"/>
      <c r="SUK197" s="360"/>
      <c r="SUL197" s="360"/>
      <c r="SUM197" s="360"/>
      <c r="SUN197" s="360"/>
      <c r="SUO197" s="360"/>
      <c r="SUP197" s="360"/>
      <c r="SUQ197" s="360"/>
      <c r="SUR197" s="360"/>
      <c r="SUS197" s="360"/>
      <c r="SUT197" s="360"/>
      <c r="SUU197" s="360"/>
      <c r="SUV197" s="360"/>
      <c r="SUW197" s="360"/>
      <c r="SUX197" s="360"/>
      <c r="SUY197" s="360"/>
      <c r="SUZ197" s="360"/>
      <c r="SVA197" s="360"/>
      <c r="SVB197" s="360"/>
      <c r="SVC197" s="360"/>
      <c r="SVD197" s="360"/>
      <c r="SVE197" s="360"/>
      <c r="SVF197" s="360"/>
      <c r="SVG197" s="360"/>
      <c r="SVH197" s="360"/>
      <c r="SVI197" s="360"/>
      <c r="SVJ197" s="360"/>
      <c r="SVK197" s="360"/>
      <c r="SVL197" s="360"/>
      <c r="SVM197" s="360"/>
      <c r="SVN197" s="360"/>
      <c r="SVO197" s="360"/>
      <c r="SVP197" s="360"/>
      <c r="SVQ197" s="360"/>
      <c r="SVR197" s="360"/>
      <c r="SVS197" s="360"/>
      <c r="SVT197" s="360"/>
      <c r="SVU197" s="360"/>
      <c r="SVV197" s="360"/>
      <c r="SVW197" s="360"/>
      <c r="SVX197" s="360"/>
      <c r="SVY197" s="360"/>
      <c r="SVZ197" s="360"/>
      <c r="SWA197" s="360"/>
      <c r="SWB197" s="360"/>
      <c r="SWC197" s="360"/>
      <c r="SWD197" s="360"/>
      <c r="SWE197" s="360"/>
      <c r="SWF197" s="360"/>
      <c r="SWG197" s="360"/>
      <c r="SWH197" s="360"/>
      <c r="SWI197" s="360"/>
      <c r="SWJ197" s="360"/>
      <c r="SWK197" s="360"/>
      <c r="SWL197" s="360"/>
      <c r="SWM197" s="360"/>
      <c r="SWN197" s="360"/>
      <c r="SWO197" s="360"/>
      <c r="SWP197" s="360"/>
      <c r="SWQ197" s="360"/>
      <c r="SWR197" s="360"/>
      <c r="SWS197" s="360"/>
      <c r="SWT197" s="360"/>
      <c r="SWU197" s="360"/>
      <c r="SWV197" s="360"/>
      <c r="SWW197" s="360"/>
      <c r="SWX197" s="360"/>
      <c r="SWY197" s="360"/>
      <c r="SWZ197" s="360"/>
      <c r="SXA197" s="360"/>
      <c r="SXB197" s="360"/>
      <c r="SXC197" s="360"/>
      <c r="SXD197" s="360"/>
      <c r="SXE197" s="360"/>
      <c r="SXF197" s="360"/>
      <c r="SXG197" s="360"/>
      <c r="SXH197" s="360"/>
      <c r="SXI197" s="360"/>
      <c r="SXJ197" s="360"/>
      <c r="SXK197" s="360"/>
      <c r="SXL197" s="360"/>
      <c r="SXM197" s="360"/>
      <c r="SXN197" s="360"/>
      <c r="SXO197" s="360"/>
      <c r="SXP197" s="360"/>
      <c r="SXQ197" s="360"/>
      <c r="SXR197" s="360"/>
      <c r="SXS197" s="360"/>
      <c r="SXT197" s="360"/>
      <c r="SXU197" s="360"/>
      <c r="SXV197" s="360"/>
      <c r="SXW197" s="360"/>
      <c r="SXX197" s="360"/>
      <c r="SXY197" s="360"/>
      <c r="SXZ197" s="360"/>
      <c r="SYA197" s="360"/>
      <c r="SYB197" s="360"/>
      <c r="SYC197" s="360"/>
      <c r="SYD197" s="360"/>
      <c r="SYE197" s="360"/>
      <c r="SYF197" s="360"/>
      <c r="SYG197" s="360"/>
      <c r="SYH197" s="360"/>
      <c r="SYI197" s="360"/>
      <c r="SYJ197" s="360"/>
      <c r="SYK197" s="360"/>
      <c r="SYL197" s="360"/>
      <c r="SYM197" s="360"/>
      <c r="SYN197" s="360"/>
      <c r="SYO197" s="360"/>
      <c r="SYP197" s="360"/>
      <c r="SYQ197" s="360"/>
      <c r="SYR197" s="360"/>
      <c r="SYS197" s="360"/>
      <c r="SYT197" s="360"/>
      <c r="SYU197" s="360"/>
      <c r="SYV197" s="360"/>
      <c r="SYW197" s="360"/>
      <c r="SYX197" s="360"/>
      <c r="SYY197" s="360"/>
      <c r="SYZ197" s="360"/>
      <c r="SZA197" s="360"/>
      <c r="SZB197" s="360"/>
      <c r="SZC197" s="360"/>
      <c r="SZD197" s="360"/>
      <c r="SZE197" s="360"/>
      <c r="SZF197" s="360"/>
      <c r="SZG197" s="360"/>
      <c r="SZH197" s="360"/>
      <c r="SZI197" s="360"/>
      <c r="SZJ197" s="360"/>
      <c r="SZK197" s="360"/>
      <c r="SZL197" s="360"/>
      <c r="SZM197" s="360"/>
      <c r="SZN197" s="360"/>
      <c r="SZO197" s="360"/>
      <c r="SZP197" s="360"/>
      <c r="SZQ197" s="360"/>
      <c r="SZR197" s="360"/>
      <c r="SZS197" s="360"/>
      <c r="SZT197" s="360"/>
      <c r="SZU197" s="360"/>
      <c r="SZV197" s="360"/>
      <c r="SZW197" s="360"/>
      <c r="SZX197" s="360"/>
      <c r="SZY197" s="360"/>
      <c r="SZZ197" s="360"/>
      <c r="TAA197" s="360"/>
      <c r="TAB197" s="360"/>
      <c r="TAC197" s="360"/>
      <c r="TAD197" s="360"/>
      <c r="TAE197" s="360"/>
      <c r="TAF197" s="360"/>
      <c r="TAG197" s="360"/>
      <c r="TAH197" s="360"/>
      <c r="TAI197" s="360"/>
      <c r="TAJ197" s="360"/>
      <c r="TAK197" s="360"/>
      <c r="TAL197" s="360"/>
      <c r="TAM197" s="360"/>
      <c r="TAN197" s="360"/>
      <c r="TAO197" s="360"/>
      <c r="TAP197" s="360"/>
      <c r="TAQ197" s="360"/>
      <c r="TAR197" s="360"/>
      <c r="TAS197" s="360"/>
      <c r="TAT197" s="360"/>
      <c r="TAU197" s="360"/>
      <c r="TAV197" s="360"/>
      <c r="TAW197" s="360"/>
      <c r="TAX197" s="360"/>
      <c r="TAY197" s="360"/>
      <c r="TAZ197" s="360"/>
      <c r="TBA197" s="360"/>
      <c r="TBB197" s="360"/>
      <c r="TBC197" s="360"/>
      <c r="TBD197" s="360"/>
      <c r="TBE197" s="360"/>
      <c r="TBF197" s="360"/>
      <c r="TBG197" s="360"/>
      <c r="TBH197" s="360"/>
      <c r="TBI197" s="360"/>
      <c r="TBJ197" s="360"/>
      <c r="TBK197" s="360"/>
      <c r="TBL197" s="360"/>
      <c r="TBM197" s="360"/>
      <c r="TBN197" s="360"/>
      <c r="TBO197" s="360"/>
      <c r="TBP197" s="360"/>
      <c r="TBQ197" s="360"/>
      <c r="TBR197" s="360"/>
      <c r="TBS197" s="360"/>
      <c r="TBT197" s="360"/>
      <c r="TBU197" s="360"/>
      <c r="TBV197" s="360"/>
      <c r="TBW197" s="360"/>
      <c r="TBX197" s="360"/>
      <c r="TBY197" s="360"/>
      <c r="TBZ197" s="360"/>
      <c r="TCA197" s="360"/>
      <c r="TCB197" s="360"/>
      <c r="TCC197" s="360"/>
      <c r="TCD197" s="360"/>
      <c r="TCE197" s="360"/>
      <c r="TCF197" s="360"/>
      <c r="TCG197" s="360"/>
      <c r="TCH197" s="360"/>
      <c r="TCI197" s="360"/>
      <c r="TCJ197" s="360"/>
      <c r="TCK197" s="360"/>
      <c r="TCL197" s="360"/>
      <c r="TCM197" s="360"/>
      <c r="TCN197" s="360"/>
      <c r="TCO197" s="360"/>
      <c r="TCP197" s="360"/>
      <c r="TCQ197" s="360"/>
      <c r="TCR197" s="360"/>
      <c r="TCS197" s="360"/>
      <c r="TCT197" s="360"/>
      <c r="TCU197" s="360"/>
      <c r="TCV197" s="360"/>
      <c r="TCW197" s="360"/>
      <c r="TCX197" s="360"/>
      <c r="TCY197" s="360"/>
      <c r="TCZ197" s="360"/>
      <c r="TDA197" s="360"/>
      <c r="TDB197" s="360"/>
      <c r="TDC197" s="360"/>
      <c r="TDD197" s="360"/>
      <c r="TDE197" s="360"/>
      <c r="TDF197" s="360"/>
      <c r="TDG197" s="360"/>
      <c r="TDH197" s="360"/>
      <c r="TDI197" s="360"/>
      <c r="TDJ197" s="360"/>
      <c r="TDK197" s="360"/>
      <c r="TDL197" s="360"/>
      <c r="TDM197" s="360"/>
      <c r="TDN197" s="360"/>
      <c r="TDO197" s="360"/>
      <c r="TDP197" s="360"/>
      <c r="TDQ197" s="360"/>
      <c r="TDR197" s="360"/>
      <c r="TDS197" s="360"/>
      <c r="TDT197" s="360"/>
      <c r="TDU197" s="360"/>
      <c r="TDV197" s="360"/>
      <c r="TDW197" s="360"/>
      <c r="TDX197" s="360"/>
      <c r="TDY197" s="360"/>
      <c r="TDZ197" s="360"/>
      <c r="TEA197" s="360"/>
      <c r="TEB197" s="360"/>
      <c r="TEC197" s="360"/>
      <c r="TED197" s="360"/>
      <c r="TEE197" s="360"/>
      <c r="TEF197" s="360"/>
      <c r="TEG197" s="360"/>
      <c r="TEH197" s="360"/>
      <c r="TEI197" s="360"/>
      <c r="TEJ197" s="360"/>
      <c r="TEK197" s="360"/>
      <c r="TEL197" s="360"/>
      <c r="TEM197" s="360"/>
      <c r="TEN197" s="360"/>
      <c r="TEO197" s="360"/>
      <c r="TEP197" s="360"/>
      <c r="TEQ197" s="360"/>
      <c r="TER197" s="360"/>
      <c r="TES197" s="360"/>
      <c r="TET197" s="360"/>
      <c r="TEU197" s="360"/>
      <c r="TEV197" s="360"/>
      <c r="TEW197" s="360"/>
      <c r="TEX197" s="360"/>
      <c r="TEY197" s="360"/>
      <c r="TEZ197" s="360"/>
      <c r="TFA197" s="360"/>
      <c r="TFB197" s="360"/>
      <c r="TFC197" s="360"/>
      <c r="TFD197" s="360"/>
      <c r="TFE197" s="360"/>
      <c r="TFF197" s="360"/>
      <c r="TFG197" s="360"/>
      <c r="TFH197" s="360"/>
      <c r="TFI197" s="360"/>
      <c r="TFJ197" s="360"/>
      <c r="TFK197" s="360"/>
      <c r="TFL197" s="360"/>
      <c r="TFM197" s="360"/>
      <c r="TFN197" s="360"/>
      <c r="TFO197" s="360"/>
      <c r="TFP197" s="360"/>
      <c r="TFQ197" s="360"/>
      <c r="TFR197" s="360"/>
      <c r="TFS197" s="360"/>
      <c r="TFT197" s="360"/>
      <c r="TFU197" s="360"/>
      <c r="TFV197" s="360"/>
      <c r="TFW197" s="360"/>
      <c r="TFX197" s="360"/>
      <c r="TFY197" s="360"/>
      <c r="TFZ197" s="360"/>
      <c r="TGA197" s="360"/>
      <c r="TGB197" s="360"/>
      <c r="TGC197" s="360"/>
      <c r="TGD197" s="360"/>
      <c r="TGE197" s="360"/>
      <c r="TGF197" s="360"/>
      <c r="TGG197" s="360"/>
      <c r="TGH197" s="360"/>
      <c r="TGI197" s="360"/>
      <c r="TGJ197" s="360"/>
      <c r="TGK197" s="360"/>
      <c r="TGL197" s="360"/>
      <c r="TGM197" s="360"/>
      <c r="TGN197" s="360"/>
      <c r="TGO197" s="360"/>
      <c r="TGP197" s="360"/>
      <c r="TGQ197" s="360"/>
      <c r="TGR197" s="360"/>
      <c r="TGS197" s="360"/>
      <c r="TGT197" s="360"/>
      <c r="TGU197" s="360"/>
      <c r="TGV197" s="360"/>
      <c r="TGW197" s="360"/>
      <c r="TGX197" s="360"/>
      <c r="TGY197" s="360"/>
      <c r="TGZ197" s="360"/>
      <c r="THA197" s="360"/>
      <c r="THB197" s="360"/>
      <c r="THC197" s="360"/>
      <c r="THD197" s="360"/>
      <c r="THE197" s="360"/>
      <c r="THF197" s="360"/>
      <c r="THG197" s="360"/>
      <c r="THH197" s="360"/>
      <c r="THI197" s="360"/>
      <c r="THJ197" s="360"/>
      <c r="THK197" s="360"/>
      <c r="THL197" s="360"/>
      <c r="THM197" s="360"/>
      <c r="THN197" s="360"/>
      <c r="THO197" s="360"/>
      <c r="THP197" s="360"/>
      <c r="THQ197" s="360"/>
      <c r="THR197" s="360"/>
      <c r="THS197" s="360"/>
      <c r="THT197" s="360"/>
      <c r="THU197" s="360"/>
      <c r="THV197" s="360"/>
      <c r="THW197" s="360"/>
      <c r="THX197" s="360"/>
      <c r="THY197" s="360"/>
      <c r="THZ197" s="360"/>
      <c r="TIA197" s="360"/>
      <c r="TIB197" s="360"/>
      <c r="TIC197" s="360"/>
      <c r="TID197" s="360"/>
      <c r="TIE197" s="360"/>
      <c r="TIF197" s="360"/>
      <c r="TIG197" s="360"/>
      <c r="TIH197" s="360"/>
      <c r="TII197" s="360"/>
      <c r="TIJ197" s="360"/>
      <c r="TIK197" s="360"/>
      <c r="TIL197" s="360"/>
      <c r="TIM197" s="360"/>
      <c r="TIN197" s="360"/>
      <c r="TIO197" s="360"/>
      <c r="TIP197" s="360"/>
      <c r="TIQ197" s="360"/>
      <c r="TIR197" s="360"/>
      <c r="TIS197" s="360"/>
      <c r="TIT197" s="360"/>
      <c r="TIU197" s="360"/>
      <c r="TIV197" s="360"/>
      <c r="TIW197" s="360"/>
      <c r="TIX197" s="360"/>
      <c r="TIY197" s="360"/>
      <c r="TIZ197" s="360"/>
      <c r="TJA197" s="360"/>
      <c r="TJB197" s="360"/>
      <c r="TJC197" s="360"/>
      <c r="TJD197" s="360"/>
      <c r="TJE197" s="360"/>
      <c r="TJF197" s="360"/>
      <c r="TJG197" s="360"/>
      <c r="TJH197" s="360"/>
      <c r="TJI197" s="360"/>
      <c r="TJJ197" s="360"/>
      <c r="TJK197" s="360"/>
      <c r="TJL197" s="360"/>
      <c r="TJM197" s="360"/>
      <c r="TJN197" s="360"/>
      <c r="TJO197" s="360"/>
      <c r="TJP197" s="360"/>
      <c r="TJQ197" s="360"/>
      <c r="TJR197" s="360"/>
      <c r="TJS197" s="360"/>
      <c r="TJT197" s="360"/>
      <c r="TJU197" s="360"/>
      <c r="TJV197" s="360"/>
      <c r="TJW197" s="360"/>
      <c r="TJX197" s="360"/>
      <c r="TJY197" s="360"/>
      <c r="TJZ197" s="360"/>
      <c r="TKA197" s="360"/>
      <c r="TKB197" s="360"/>
      <c r="TKC197" s="360"/>
      <c r="TKD197" s="360"/>
      <c r="TKE197" s="360"/>
      <c r="TKF197" s="360"/>
      <c r="TKG197" s="360"/>
      <c r="TKH197" s="360"/>
      <c r="TKI197" s="360"/>
      <c r="TKJ197" s="360"/>
      <c r="TKK197" s="360"/>
      <c r="TKL197" s="360"/>
      <c r="TKM197" s="360"/>
      <c r="TKN197" s="360"/>
      <c r="TKO197" s="360"/>
      <c r="TKP197" s="360"/>
      <c r="TKQ197" s="360"/>
      <c r="TKR197" s="360"/>
      <c r="TKS197" s="360"/>
      <c r="TKT197" s="360"/>
      <c r="TKU197" s="360"/>
      <c r="TKV197" s="360"/>
      <c r="TKW197" s="360"/>
      <c r="TKX197" s="360"/>
      <c r="TKY197" s="360"/>
      <c r="TKZ197" s="360"/>
      <c r="TLA197" s="360"/>
      <c r="TLB197" s="360"/>
      <c r="TLC197" s="360"/>
      <c r="TLD197" s="360"/>
      <c r="TLE197" s="360"/>
      <c r="TLF197" s="360"/>
      <c r="TLG197" s="360"/>
      <c r="TLH197" s="360"/>
      <c r="TLI197" s="360"/>
      <c r="TLJ197" s="360"/>
      <c r="TLK197" s="360"/>
      <c r="TLL197" s="360"/>
      <c r="TLM197" s="360"/>
      <c r="TLN197" s="360"/>
      <c r="TLO197" s="360"/>
      <c r="TLP197" s="360"/>
      <c r="TLQ197" s="360"/>
      <c r="TLR197" s="360"/>
      <c r="TLS197" s="360"/>
      <c r="TLT197" s="360"/>
      <c r="TLU197" s="360"/>
      <c r="TLV197" s="360"/>
      <c r="TLW197" s="360"/>
      <c r="TLX197" s="360"/>
      <c r="TLY197" s="360"/>
      <c r="TLZ197" s="360"/>
      <c r="TMA197" s="360"/>
      <c r="TMB197" s="360"/>
      <c r="TMC197" s="360"/>
      <c r="TMD197" s="360"/>
      <c r="TME197" s="360"/>
      <c r="TMF197" s="360"/>
      <c r="TMG197" s="360"/>
      <c r="TMH197" s="360"/>
      <c r="TMI197" s="360"/>
      <c r="TMJ197" s="360"/>
      <c r="TMK197" s="360"/>
      <c r="TML197" s="360"/>
      <c r="TMM197" s="360"/>
      <c r="TMN197" s="360"/>
      <c r="TMO197" s="360"/>
      <c r="TMP197" s="360"/>
      <c r="TMQ197" s="360"/>
      <c r="TMR197" s="360"/>
      <c r="TMS197" s="360"/>
      <c r="TMT197" s="360"/>
      <c r="TMU197" s="360"/>
      <c r="TMV197" s="360"/>
      <c r="TMW197" s="360"/>
      <c r="TMX197" s="360"/>
      <c r="TMY197" s="360"/>
      <c r="TMZ197" s="360"/>
      <c r="TNA197" s="360"/>
      <c r="TNB197" s="360"/>
      <c r="TNC197" s="360"/>
      <c r="TND197" s="360"/>
      <c r="TNE197" s="360"/>
      <c r="TNF197" s="360"/>
      <c r="TNG197" s="360"/>
      <c r="TNH197" s="360"/>
      <c r="TNI197" s="360"/>
      <c r="TNJ197" s="360"/>
      <c r="TNK197" s="360"/>
      <c r="TNL197" s="360"/>
      <c r="TNM197" s="360"/>
      <c r="TNN197" s="360"/>
      <c r="TNO197" s="360"/>
      <c r="TNP197" s="360"/>
      <c r="TNQ197" s="360"/>
      <c r="TNR197" s="360"/>
      <c r="TNS197" s="360"/>
      <c r="TNT197" s="360"/>
      <c r="TNU197" s="360"/>
      <c r="TNV197" s="360"/>
      <c r="TNW197" s="360"/>
      <c r="TNX197" s="360"/>
      <c r="TNY197" s="360"/>
      <c r="TNZ197" s="360"/>
      <c r="TOA197" s="360"/>
      <c r="TOB197" s="360"/>
      <c r="TOC197" s="360"/>
      <c r="TOD197" s="360"/>
      <c r="TOE197" s="360"/>
      <c r="TOF197" s="360"/>
      <c r="TOG197" s="360"/>
      <c r="TOH197" s="360"/>
      <c r="TOI197" s="360"/>
      <c r="TOJ197" s="360"/>
      <c r="TOK197" s="360"/>
      <c r="TOL197" s="360"/>
      <c r="TOM197" s="360"/>
      <c r="TON197" s="360"/>
      <c r="TOO197" s="360"/>
      <c r="TOP197" s="360"/>
      <c r="TOQ197" s="360"/>
      <c r="TOR197" s="360"/>
      <c r="TOS197" s="360"/>
      <c r="TOT197" s="360"/>
      <c r="TOU197" s="360"/>
      <c r="TOV197" s="360"/>
      <c r="TOW197" s="360"/>
      <c r="TOX197" s="360"/>
      <c r="TOY197" s="360"/>
      <c r="TOZ197" s="360"/>
      <c r="TPA197" s="360"/>
      <c r="TPB197" s="360"/>
      <c r="TPC197" s="360"/>
      <c r="TPD197" s="360"/>
      <c r="TPE197" s="360"/>
      <c r="TPF197" s="360"/>
      <c r="TPG197" s="360"/>
      <c r="TPH197" s="360"/>
      <c r="TPI197" s="360"/>
      <c r="TPJ197" s="360"/>
      <c r="TPK197" s="360"/>
      <c r="TPL197" s="360"/>
      <c r="TPM197" s="360"/>
      <c r="TPN197" s="360"/>
      <c r="TPO197" s="360"/>
      <c r="TPP197" s="360"/>
      <c r="TPQ197" s="360"/>
      <c r="TPR197" s="360"/>
      <c r="TPS197" s="360"/>
      <c r="TPT197" s="360"/>
      <c r="TPU197" s="360"/>
      <c r="TPV197" s="360"/>
      <c r="TPW197" s="360"/>
      <c r="TPX197" s="360"/>
      <c r="TPY197" s="360"/>
      <c r="TPZ197" s="360"/>
      <c r="TQA197" s="360"/>
      <c r="TQB197" s="360"/>
      <c r="TQC197" s="360"/>
      <c r="TQD197" s="360"/>
      <c r="TQE197" s="360"/>
      <c r="TQF197" s="360"/>
      <c r="TQG197" s="360"/>
      <c r="TQH197" s="360"/>
      <c r="TQI197" s="360"/>
      <c r="TQJ197" s="360"/>
      <c r="TQK197" s="360"/>
      <c r="TQL197" s="360"/>
      <c r="TQM197" s="360"/>
      <c r="TQN197" s="360"/>
      <c r="TQO197" s="360"/>
      <c r="TQP197" s="360"/>
      <c r="TQQ197" s="360"/>
      <c r="TQR197" s="360"/>
      <c r="TQS197" s="360"/>
      <c r="TQT197" s="360"/>
      <c r="TQU197" s="360"/>
      <c r="TQV197" s="360"/>
      <c r="TQW197" s="360"/>
      <c r="TQX197" s="360"/>
      <c r="TQY197" s="360"/>
      <c r="TQZ197" s="360"/>
      <c r="TRA197" s="360"/>
      <c r="TRB197" s="360"/>
      <c r="TRC197" s="360"/>
      <c r="TRD197" s="360"/>
      <c r="TRE197" s="360"/>
      <c r="TRF197" s="360"/>
      <c r="TRG197" s="360"/>
      <c r="TRH197" s="360"/>
      <c r="TRI197" s="360"/>
      <c r="TRJ197" s="360"/>
      <c r="TRK197" s="360"/>
      <c r="TRL197" s="360"/>
      <c r="TRM197" s="360"/>
      <c r="TRN197" s="360"/>
      <c r="TRO197" s="360"/>
      <c r="TRP197" s="360"/>
      <c r="TRQ197" s="360"/>
      <c r="TRR197" s="360"/>
      <c r="TRS197" s="360"/>
      <c r="TRT197" s="360"/>
      <c r="TRU197" s="360"/>
      <c r="TRV197" s="360"/>
      <c r="TRW197" s="360"/>
      <c r="TRX197" s="360"/>
      <c r="TRY197" s="360"/>
      <c r="TRZ197" s="360"/>
      <c r="TSA197" s="360"/>
      <c r="TSB197" s="360"/>
      <c r="TSC197" s="360"/>
      <c r="TSD197" s="360"/>
      <c r="TSE197" s="360"/>
      <c r="TSF197" s="360"/>
      <c r="TSG197" s="360"/>
      <c r="TSH197" s="360"/>
      <c r="TSI197" s="360"/>
      <c r="TSJ197" s="360"/>
      <c r="TSK197" s="360"/>
      <c r="TSL197" s="360"/>
      <c r="TSM197" s="360"/>
      <c r="TSN197" s="360"/>
      <c r="TSO197" s="360"/>
      <c r="TSP197" s="360"/>
      <c r="TSQ197" s="360"/>
      <c r="TSR197" s="360"/>
      <c r="TSS197" s="360"/>
      <c r="TST197" s="360"/>
      <c r="TSU197" s="360"/>
      <c r="TSV197" s="360"/>
      <c r="TSW197" s="360"/>
      <c r="TSX197" s="360"/>
      <c r="TSY197" s="360"/>
      <c r="TSZ197" s="360"/>
      <c r="TTA197" s="360"/>
      <c r="TTB197" s="360"/>
      <c r="TTC197" s="360"/>
      <c r="TTD197" s="360"/>
      <c r="TTE197" s="360"/>
      <c r="TTF197" s="360"/>
      <c r="TTG197" s="360"/>
      <c r="TTH197" s="360"/>
      <c r="TTI197" s="360"/>
      <c r="TTJ197" s="360"/>
      <c r="TTK197" s="360"/>
      <c r="TTL197" s="360"/>
      <c r="TTM197" s="360"/>
      <c r="TTN197" s="360"/>
      <c r="TTO197" s="360"/>
      <c r="TTP197" s="360"/>
      <c r="TTQ197" s="360"/>
      <c r="TTR197" s="360"/>
      <c r="TTS197" s="360"/>
      <c r="TTT197" s="360"/>
      <c r="TTU197" s="360"/>
      <c r="TTV197" s="360"/>
      <c r="TTW197" s="360"/>
      <c r="TTX197" s="360"/>
      <c r="TTY197" s="360"/>
      <c r="TTZ197" s="360"/>
      <c r="TUA197" s="360"/>
      <c r="TUB197" s="360"/>
      <c r="TUC197" s="360"/>
      <c r="TUD197" s="360"/>
      <c r="TUE197" s="360"/>
      <c r="TUF197" s="360"/>
      <c r="TUG197" s="360"/>
      <c r="TUH197" s="360"/>
      <c r="TUI197" s="360"/>
      <c r="TUJ197" s="360"/>
      <c r="TUK197" s="360"/>
      <c r="TUL197" s="360"/>
      <c r="TUM197" s="360"/>
      <c r="TUN197" s="360"/>
      <c r="TUO197" s="360"/>
      <c r="TUP197" s="360"/>
      <c r="TUQ197" s="360"/>
      <c r="TUR197" s="360"/>
      <c r="TUS197" s="360"/>
      <c r="TUT197" s="360"/>
      <c r="TUU197" s="360"/>
      <c r="TUV197" s="360"/>
      <c r="TUW197" s="360"/>
      <c r="TUX197" s="360"/>
      <c r="TUY197" s="360"/>
      <c r="TUZ197" s="360"/>
      <c r="TVA197" s="360"/>
      <c r="TVB197" s="360"/>
      <c r="TVC197" s="360"/>
      <c r="TVD197" s="360"/>
      <c r="TVE197" s="360"/>
      <c r="TVF197" s="360"/>
      <c r="TVG197" s="360"/>
      <c r="TVH197" s="360"/>
      <c r="TVI197" s="360"/>
      <c r="TVJ197" s="360"/>
      <c r="TVK197" s="360"/>
      <c r="TVL197" s="360"/>
      <c r="TVM197" s="360"/>
      <c r="TVN197" s="360"/>
      <c r="TVO197" s="360"/>
      <c r="TVP197" s="360"/>
      <c r="TVQ197" s="360"/>
      <c r="TVR197" s="360"/>
      <c r="TVS197" s="360"/>
      <c r="TVT197" s="360"/>
      <c r="TVU197" s="360"/>
      <c r="TVV197" s="360"/>
      <c r="TVW197" s="360"/>
      <c r="TVX197" s="360"/>
      <c r="TVY197" s="360"/>
      <c r="TVZ197" s="360"/>
      <c r="TWA197" s="360"/>
      <c r="TWB197" s="360"/>
      <c r="TWC197" s="360"/>
      <c r="TWD197" s="360"/>
      <c r="TWE197" s="360"/>
      <c r="TWF197" s="360"/>
      <c r="TWG197" s="360"/>
      <c r="TWH197" s="360"/>
      <c r="TWI197" s="360"/>
      <c r="TWJ197" s="360"/>
      <c r="TWK197" s="360"/>
      <c r="TWL197" s="360"/>
      <c r="TWM197" s="360"/>
      <c r="TWN197" s="360"/>
      <c r="TWO197" s="360"/>
      <c r="TWP197" s="360"/>
      <c r="TWQ197" s="360"/>
      <c r="TWR197" s="360"/>
      <c r="TWS197" s="360"/>
      <c r="TWT197" s="360"/>
      <c r="TWU197" s="360"/>
      <c r="TWV197" s="360"/>
      <c r="TWW197" s="360"/>
      <c r="TWX197" s="360"/>
      <c r="TWY197" s="360"/>
      <c r="TWZ197" s="360"/>
      <c r="TXA197" s="360"/>
      <c r="TXB197" s="360"/>
      <c r="TXC197" s="360"/>
      <c r="TXD197" s="360"/>
      <c r="TXE197" s="360"/>
      <c r="TXF197" s="360"/>
      <c r="TXG197" s="360"/>
      <c r="TXH197" s="360"/>
      <c r="TXI197" s="360"/>
      <c r="TXJ197" s="360"/>
      <c r="TXK197" s="360"/>
      <c r="TXL197" s="360"/>
      <c r="TXM197" s="360"/>
      <c r="TXN197" s="360"/>
      <c r="TXO197" s="360"/>
      <c r="TXP197" s="360"/>
      <c r="TXQ197" s="360"/>
      <c r="TXR197" s="360"/>
      <c r="TXS197" s="360"/>
      <c r="TXT197" s="360"/>
      <c r="TXU197" s="360"/>
      <c r="TXV197" s="360"/>
      <c r="TXW197" s="360"/>
      <c r="TXX197" s="360"/>
      <c r="TXY197" s="360"/>
      <c r="TXZ197" s="360"/>
      <c r="TYA197" s="360"/>
      <c r="TYB197" s="360"/>
      <c r="TYC197" s="360"/>
      <c r="TYD197" s="360"/>
      <c r="TYE197" s="360"/>
      <c r="TYF197" s="360"/>
      <c r="TYG197" s="360"/>
      <c r="TYH197" s="360"/>
      <c r="TYI197" s="360"/>
      <c r="TYJ197" s="360"/>
      <c r="TYK197" s="360"/>
      <c r="TYL197" s="360"/>
      <c r="TYM197" s="360"/>
      <c r="TYN197" s="360"/>
      <c r="TYO197" s="360"/>
      <c r="TYP197" s="360"/>
      <c r="TYQ197" s="360"/>
      <c r="TYR197" s="360"/>
      <c r="TYS197" s="360"/>
      <c r="TYT197" s="360"/>
      <c r="TYU197" s="360"/>
      <c r="TYV197" s="360"/>
      <c r="TYW197" s="360"/>
      <c r="TYX197" s="360"/>
      <c r="TYY197" s="360"/>
      <c r="TYZ197" s="360"/>
      <c r="TZA197" s="360"/>
      <c r="TZB197" s="360"/>
      <c r="TZC197" s="360"/>
      <c r="TZD197" s="360"/>
      <c r="TZE197" s="360"/>
      <c r="TZF197" s="360"/>
      <c r="TZG197" s="360"/>
      <c r="TZH197" s="360"/>
      <c r="TZI197" s="360"/>
      <c r="TZJ197" s="360"/>
      <c r="TZK197" s="360"/>
      <c r="TZL197" s="360"/>
      <c r="TZM197" s="360"/>
      <c r="TZN197" s="360"/>
      <c r="TZO197" s="360"/>
      <c r="TZP197" s="360"/>
      <c r="TZQ197" s="360"/>
      <c r="TZR197" s="360"/>
      <c r="TZS197" s="360"/>
      <c r="TZT197" s="360"/>
      <c r="TZU197" s="360"/>
      <c r="TZV197" s="360"/>
      <c r="TZW197" s="360"/>
      <c r="TZX197" s="360"/>
      <c r="TZY197" s="360"/>
      <c r="TZZ197" s="360"/>
      <c r="UAA197" s="360"/>
      <c r="UAB197" s="360"/>
      <c r="UAC197" s="360"/>
      <c r="UAD197" s="360"/>
      <c r="UAE197" s="360"/>
      <c r="UAF197" s="360"/>
      <c r="UAG197" s="360"/>
      <c r="UAH197" s="360"/>
      <c r="UAI197" s="360"/>
      <c r="UAJ197" s="360"/>
      <c r="UAK197" s="360"/>
      <c r="UAL197" s="360"/>
      <c r="UAM197" s="360"/>
      <c r="UAN197" s="360"/>
      <c r="UAO197" s="360"/>
      <c r="UAP197" s="360"/>
      <c r="UAQ197" s="360"/>
      <c r="UAR197" s="360"/>
      <c r="UAS197" s="360"/>
      <c r="UAT197" s="360"/>
      <c r="UAU197" s="360"/>
      <c r="UAV197" s="360"/>
      <c r="UAW197" s="360"/>
      <c r="UAX197" s="360"/>
      <c r="UAY197" s="360"/>
      <c r="UAZ197" s="360"/>
      <c r="UBA197" s="360"/>
      <c r="UBB197" s="360"/>
      <c r="UBC197" s="360"/>
      <c r="UBD197" s="360"/>
      <c r="UBE197" s="360"/>
      <c r="UBF197" s="360"/>
      <c r="UBG197" s="360"/>
      <c r="UBH197" s="360"/>
      <c r="UBI197" s="360"/>
      <c r="UBJ197" s="360"/>
      <c r="UBK197" s="360"/>
      <c r="UBL197" s="360"/>
      <c r="UBM197" s="360"/>
      <c r="UBN197" s="360"/>
      <c r="UBO197" s="360"/>
      <c r="UBP197" s="360"/>
      <c r="UBQ197" s="360"/>
      <c r="UBR197" s="360"/>
      <c r="UBS197" s="360"/>
      <c r="UBT197" s="360"/>
      <c r="UBU197" s="360"/>
      <c r="UBV197" s="360"/>
      <c r="UBW197" s="360"/>
      <c r="UBX197" s="360"/>
      <c r="UBY197" s="360"/>
      <c r="UBZ197" s="360"/>
      <c r="UCA197" s="360"/>
      <c r="UCB197" s="360"/>
      <c r="UCC197" s="360"/>
      <c r="UCD197" s="360"/>
      <c r="UCE197" s="360"/>
      <c r="UCF197" s="360"/>
      <c r="UCG197" s="360"/>
      <c r="UCH197" s="360"/>
      <c r="UCI197" s="360"/>
      <c r="UCJ197" s="360"/>
      <c r="UCK197" s="360"/>
      <c r="UCL197" s="360"/>
      <c r="UCM197" s="360"/>
      <c r="UCN197" s="360"/>
      <c r="UCO197" s="360"/>
      <c r="UCP197" s="360"/>
      <c r="UCQ197" s="360"/>
      <c r="UCR197" s="360"/>
      <c r="UCS197" s="360"/>
      <c r="UCT197" s="360"/>
      <c r="UCU197" s="360"/>
      <c r="UCV197" s="360"/>
      <c r="UCW197" s="360"/>
      <c r="UCX197" s="360"/>
      <c r="UCY197" s="360"/>
      <c r="UCZ197" s="360"/>
      <c r="UDA197" s="360"/>
      <c r="UDB197" s="360"/>
      <c r="UDC197" s="360"/>
      <c r="UDD197" s="360"/>
      <c r="UDE197" s="360"/>
      <c r="UDF197" s="360"/>
      <c r="UDG197" s="360"/>
      <c r="UDH197" s="360"/>
      <c r="UDI197" s="360"/>
      <c r="UDJ197" s="360"/>
      <c r="UDK197" s="360"/>
      <c r="UDL197" s="360"/>
      <c r="UDM197" s="360"/>
      <c r="UDN197" s="360"/>
      <c r="UDO197" s="360"/>
      <c r="UDP197" s="360"/>
      <c r="UDQ197" s="360"/>
      <c r="UDR197" s="360"/>
      <c r="UDS197" s="360"/>
      <c r="UDT197" s="360"/>
      <c r="UDU197" s="360"/>
      <c r="UDV197" s="360"/>
      <c r="UDW197" s="360"/>
      <c r="UDX197" s="360"/>
      <c r="UDY197" s="360"/>
      <c r="UDZ197" s="360"/>
      <c r="UEA197" s="360"/>
      <c r="UEB197" s="360"/>
      <c r="UEC197" s="360"/>
      <c r="UED197" s="360"/>
      <c r="UEE197" s="360"/>
      <c r="UEF197" s="360"/>
      <c r="UEG197" s="360"/>
      <c r="UEH197" s="360"/>
      <c r="UEI197" s="360"/>
      <c r="UEJ197" s="360"/>
      <c r="UEK197" s="360"/>
      <c r="UEL197" s="360"/>
      <c r="UEM197" s="360"/>
      <c r="UEN197" s="360"/>
      <c r="UEO197" s="360"/>
      <c r="UEP197" s="360"/>
      <c r="UEQ197" s="360"/>
      <c r="UER197" s="360"/>
      <c r="UES197" s="360"/>
      <c r="UET197" s="360"/>
      <c r="UEU197" s="360"/>
      <c r="UEV197" s="360"/>
      <c r="UEW197" s="360"/>
      <c r="UEX197" s="360"/>
      <c r="UEY197" s="360"/>
      <c r="UEZ197" s="360"/>
      <c r="UFA197" s="360"/>
      <c r="UFB197" s="360"/>
      <c r="UFC197" s="360"/>
      <c r="UFD197" s="360"/>
      <c r="UFE197" s="360"/>
      <c r="UFF197" s="360"/>
      <c r="UFG197" s="360"/>
      <c r="UFH197" s="360"/>
      <c r="UFI197" s="360"/>
      <c r="UFJ197" s="360"/>
      <c r="UFK197" s="360"/>
      <c r="UFL197" s="360"/>
      <c r="UFM197" s="360"/>
      <c r="UFN197" s="360"/>
      <c r="UFO197" s="360"/>
      <c r="UFP197" s="360"/>
      <c r="UFQ197" s="360"/>
      <c r="UFR197" s="360"/>
      <c r="UFS197" s="360"/>
      <c r="UFT197" s="360"/>
      <c r="UFU197" s="360"/>
      <c r="UFV197" s="360"/>
      <c r="UFW197" s="360"/>
      <c r="UFX197" s="360"/>
      <c r="UFY197" s="360"/>
      <c r="UFZ197" s="360"/>
      <c r="UGA197" s="360"/>
      <c r="UGB197" s="360"/>
      <c r="UGC197" s="360"/>
      <c r="UGD197" s="360"/>
      <c r="UGE197" s="360"/>
      <c r="UGF197" s="360"/>
      <c r="UGG197" s="360"/>
      <c r="UGH197" s="360"/>
      <c r="UGI197" s="360"/>
      <c r="UGJ197" s="360"/>
      <c r="UGK197" s="360"/>
      <c r="UGL197" s="360"/>
      <c r="UGM197" s="360"/>
      <c r="UGN197" s="360"/>
      <c r="UGO197" s="360"/>
      <c r="UGP197" s="360"/>
      <c r="UGQ197" s="360"/>
      <c r="UGR197" s="360"/>
      <c r="UGS197" s="360"/>
      <c r="UGT197" s="360"/>
      <c r="UGU197" s="360"/>
      <c r="UGV197" s="360"/>
      <c r="UGW197" s="360"/>
      <c r="UGX197" s="360"/>
      <c r="UGY197" s="360"/>
      <c r="UGZ197" s="360"/>
      <c r="UHA197" s="360"/>
      <c r="UHB197" s="360"/>
      <c r="UHC197" s="360"/>
      <c r="UHD197" s="360"/>
      <c r="UHE197" s="360"/>
      <c r="UHF197" s="360"/>
      <c r="UHG197" s="360"/>
      <c r="UHH197" s="360"/>
      <c r="UHI197" s="360"/>
      <c r="UHJ197" s="360"/>
      <c r="UHK197" s="360"/>
      <c r="UHL197" s="360"/>
      <c r="UHM197" s="360"/>
      <c r="UHN197" s="360"/>
      <c r="UHO197" s="360"/>
      <c r="UHP197" s="360"/>
      <c r="UHQ197" s="360"/>
      <c r="UHR197" s="360"/>
      <c r="UHS197" s="360"/>
      <c r="UHT197" s="360"/>
      <c r="UHU197" s="360"/>
      <c r="UHV197" s="360"/>
      <c r="UHW197" s="360"/>
      <c r="UHX197" s="360"/>
      <c r="UHY197" s="360"/>
      <c r="UHZ197" s="360"/>
      <c r="UIA197" s="360"/>
      <c r="UIB197" s="360"/>
      <c r="UIC197" s="360"/>
      <c r="UID197" s="360"/>
      <c r="UIE197" s="360"/>
      <c r="UIF197" s="360"/>
      <c r="UIG197" s="360"/>
      <c r="UIH197" s="360"/>
      <c r="UII197" s="360"/>
      <c r="UIJ197" s="360"/>
      <c r="UIK197" s="360"/>
      <c r="UIL197" s="360"/>
      <c r="UIM197" s="360"/>
      <c r="UIN197" s="360"/>
      <c r="UIO197" s="360"/>
      <c r="UIP197" s="360"/>
      <c r="UIQ197" s="360"/>
      <c r="UIR197" s="360"/>
      <c r="UIS197" s="360"/>
      <c r="UIT197" s="360"/>
      <c r="UIU197" s="360"/>
      <c r="UIV197" s="360"/>
      <c r="UIW197" s="360"/>
      <c r="UIX197" s="360"/>
      <c r="UIY197" s="360"/>
      <c r="UIZ197" s="360"/>
      <c r="UJA197" s="360"/>
      <c r="UJB197" s="360"/>
      <c r="UJC197" s="360"/>
      <c r="UJD197" s="360"/>
      <c r="UJE197" s="360"/>
      <c r="UJF197" s="360"/>
      <c r="UJG197" s="360"/>
      <c r="UJH197" s="360"/>
      <c r="UJI197" s="360"/>
      <c r="UJJ197" s="360"/>
      <c r="UJK197" s="360"/>
      <c r="UJL197" s="360"/>
      <c r="UJM197" s="360"/>
      <c r="UJN197" s="360"/>
      <c r="UJO197" s="360"/>
      <c r="UJP197" s="360"/>
      <c r="UJQ197" s="360"/>
      <c r="UJR197" s="360"/>
      <c r="UJS197" s="360"/>
      <c r="UJT197" s="360"/>
      <c r="UJU197" s="360"/>
      <c r="UJV197" s="360"/>
      <c r="UJW197" s="360"/>
      <c r="UJX197" s="360"/>
      <c r="UJY197" s="360"/>
      <c r="UJZ197" s="360"/>
      <c r="UKA197" s="360"/>
      <c r="UKB197" s="360"/>
      <c r="UKC197" s="360"/>
      <c r="UKD197" s="360"/>
      <c r="UKE197" s="360"/>
      <c r="UKF197" s="360"/>
      <c r="UKG197" s="360"/>
      <c r="UKH197" s="360"/>
      <c r="UKI197" s="360"/>
      <c r="UKJ197" s="360"/>
      <c r="UKK197" s="360"/>
      <c r="UKL197" s="360"/>
      <c r="UKM197" s="360"/>
      <c r="UKN197" s="360"/>
      <c r="UKO197" s="360"/>
      <c r="UKP197" s="360"/>
      <c r="UKQ197" s="360"/>
      <c r="UKR197" s="360"/>
      <c r="UKS197" s="360"/>
      <c r="UKT197" s="360"/>
      <c r="UKU197" s="360"/>
      <c r="UKV197" s="360"/>
      <c r="UKW197" s="360"/>
      <c r="UKX197" s="360"/>
      <c r="UKY197" s="360"/>
      <c r="UKZ197" s="360"/>
      <c r="ULA197" s="360"/>
      <c r="ULB197" s="360"/>
      <c r="ULC197" s="360"/>
      <c r="ULD197" s="360"/>
      <c r="ULE197" s="360"/>
      <c r="ULF197" s="360"/>
      <c r="ULG197" s="360"/>
      <c r="ULH197" s="360"/>
      <c r="ULI197" s="360"/>
      <c r="ULJ197" s="360"/>
      <c r="ULK197" s="360"/>
      <c r="ULL197" s="360"/>
      <c r="ULM197" s="360"/>
      <c r="ULN197" s="360"/>
      <c r="ULO197" s="360"/>
      <c r="ULP197" s="360"/>
      <c r="ULQ197" s="360"/>
      <c r="ULR197" s="360"/>
      <c r="ULS197" s="360"/>
      <c r="ULT197" s="360"/>
      <c r="ULU197" s="360"/>
      <c r="ULV197" s="360"/>
      <c r="ULW197" s="360"/>
      <c r="ULX197" s="360"/>
      <c r="ULY197" s="360"/>
      <c r="ULZ197" s="360"/>
      <c r="UMA197" s="360"/>
      <c r="UMB197" s="360"/>
      <c r="UMC197" s="360"/>
      <c r="UMD197" s="360"/>
      <c r="UME197" s="360"/>
      <c r="UMF197" s="360"/>
      <c r="UMG197" s="360"/>
      <c r="UMH197" s="360"/>
      <c r="UMI197" s="360"/>
      <c r="UMJ197" s="360"/>
      <c r="UMK197" s="360"/>
      <c r="UML197" s="360"/>
      <c r="UMM197" s="360"/>
      <c r="UMN197" s="360"/>
      <c r="UMO197" s="360"/>
      <c r="UMP197" s="360"/>
      <c r="UMQ197" s="360"/>
      <c r="UMR197" s="360"/>
      <c r="UMS197" s="360"/>
      <c r="UMT197" s="360"/>
      <c r="UMU197" s="360"/>
      <c r="UMV197" s="360"/>
      <c r="UMW197" s="360"/>
      <c r="UMX197" s="360"/>
      <c r="UMY197" s="360"/>
      <c r="UMZ197" s="360"/>
      <c r="UNA197" s="360"/>
      <c r="UNB197" s="360"/>
      <c r="UNC197" s="360"/>
      <c r="UND197" s="360"/>
      <c r="UNE197" s="360"/>
      <c r="UNF197" s="360"/>
      <c r="UNG197" s="360"/>
      <c r="UNH197" s="360"/>
      <c r="UNI197" s="360"/>
      <c r="UNJ197" s="360"/>
      <c r="UNK197" s="360"/>
      <c r="UNL197" s="360"/>
      <c r="UNM197" s="360"/>
      <c r="UNN197" s="360"/>
      <c r="UNO197" s="360"/>
      <c r="UNP197" s="360"/>
      <c r="UNQ197" s="360"/>
      <c r="UNR197" s="360"/>
      <c r="UNS197" s="360"/>
      <c r="UNT197" s="360"/>
      <c r="UNU197" s="360"/>
      <c r="UNV197" s="360"/>
      <c r="UNW197" s="360"/>
      <c r="UNX197" s="360"/>
      <c r="UNY197" s="360"/>
      <c r="UNZ197" s="360"/>
      <c r="UOA197" s="360"/>
      <c r="UOB197" s="360"/>
      <c r="UOC197" s="360"/>
      <c r="UOD197" s="360"/>
      <c r="UOE197" s="360"/>
      <c r="UOF197" s="360"/>
      <c r="UOG197" s="360"/>
      <c r="UOH197" s="360"/>
      <c r="UOI197" s="360"/>
      <c r="UOJ197" s="360"/>
      <c r="UOK197" s="360"/>
      <c r="UOL197" s="360"/>
      <c r="UOM197" s="360"/>
      <c r="UON197" s="360"/>
      <c r="UOO197" s="360"/>
      <c r="UOP197" s="360"/>
      <c r="UOQ197" s="360"/>
      <c r="UOR197" s="360"/>
      <c r="UOS197" s="360"/>
      <c r="UOT197" s="360"/>
      <c r="UOU197" s="360"/>
      <c r="UOV197" s="360"/>
      <c r="UOW197" s="360"/>
      <c r="UOX197" s="360"/>
      <c r="UOY197" s="360"/>
      <c r="UOZ197" s="360"/>
      <c r="UPA197" s="360"/>
      <c r="UPB197" s="360"/>
      <c r="UPC197" s="360"/>
      <c r="UPD197" s="360"/>
      <c r="UPE197" s="360"/>
      <c r="UPF197" s="360"/>
      <c r="UPG197" s="360"/>
      <c r="UPH197" s="360"/>
      <c r="UPI197" s="360"/>
      <c r="UPJ197" s="360"/>
      <c r="UPK197" s="360"/>
      <c r="UPL197" s="360"/>
      <c r="UPM197" s="360"/>
      <c r="UPN197" s="360"/>
      <c r="UPO197" s="360"/>
      <c r="UPP197" s="360"/>
      <c r="UPQ197" s="360"/>
      <c r="UPR197" s="360"/>
      <c r="UPS197" s="360"/>
      <c r="UPT197" s="360"/>
      <c r="UPU197" s="360"/>
      <c r="UPV197" s="360"/>
      <c r="UPW197" s="360"/>
      <c r="UPX197" s="360"/>
      <c r="UPY197" s="360"/>
      <c r="UPZ197" s="360"/>
      <c r="UQA197" s="360"/>
      <c r="UQB197" s="360"/>
      <c r="UQC197" s="360"/>
      <c r="UQD197" s="360"/>
      <c r="UQE197" s="360"/>
      <c r="UQF197" s="360"/>
      <c r="UQG197" s="360"/>
      <c r="UQH197" s="360"/>
      <c r="UQI197" s="360"/>
      <c r="UQJ197" s="360"/>
      <c r="UQK197" s="360"/>
      <c r="UQL197" s="360"/>
      <c r="UQM197" s="360"/>
      <c r="UQN197" s="360"/>
      <c r="UQO197" s="360"/>
      <c r="UQP197" s="360"/>
      <c r="UQQ197" s="360"/>
      <c r="UQR197" s="360"/>
      <c r="UQS197" s="360"/>
      <c r="UQT197" s="360"/>
      <c r="UQU197" s="360"/>
      <c r="UQV197" s="360"/>
      <c r="UQW197" s="360"/>
      <c r="UQX197" s="360"/>
      <c r="UQY197" s="360"/>
      <c r="UQZ197" s="360"/>
      <c r="URA197" s="360"/>
      <c r="URB197" s="360"/>
      <c r="URC197" s="360"/>
      <c r="URD197" s="360"/>
      <c r="URE197" s="360"/>
      <c r="URF197" s="360"/>
      <c r="URG197" s="360"/>
      <c r="URH197" s="360"/>
      <c r="URI197" s="360"/>
      <c r="URJ197" s="360"/>
      <c r="URK197" s="360"/>
      <c r="URL197" s="360"/>
      <c r="URM197" s="360"/>
      <c r="URN197" s="360"/>
      <c r="URO197" s="360"/>
      <c r="URP197" s="360"/>
      <c r="URQ197" s="360"/>
      <c r="URR197" s="360"/>
      <c r="URS197" s="360"/>
      <c r="URT197" s="360"/>
      <c r="URU197" s="360"/>
      <c r="URV197" s="360"/>
      <c r="URW197" s="360"/>
      <c r="URX197" s="360"/>
      <c r="URY197" s="360"/>
      <c r="URZ197" s="360"/>
      <c r="USA197" s="360"/>
      <c r="USB197" s="360"/>
      <c r="USC197" s="360"/>
      <c r="USD197" s="360"/>
      <c r="USE197" s="360"/>
      <c r="USF197" s="360"/>
      <c r="USG197" s="360"/>
      <c r="USH197" s="360"/>
      <c r="USI197" s="360"/>
      <c r="USJ197" s="360"/>
      <c r="USK197" s="360"/>
      <c r="USL197" s="360"/>
      <c r="USM197" s="360"/>
      <c r="USN197" s="360"/>
      <c r="USO197" s="360"/>
      <c r="USP197" s="360"/>
      <c r="USQ197" s="360"/>
      <c r="USR197" s="360"/>
      <c r="USS197" s="360"/>
      <c r="UST197" s="360"/>
      <c r="USU197" s="360"/>
      <c r="USV197" s="360"/>
      <c r="USW197" s="360"/>
      <c r="USX197" s="360"/>
      <c r="USY197" s="360"/>
      <c r="USZ197" s="360"/>
      <c r="UTA197" s="360"/>
      <c r="UTB197" s="360"/>
      <c r="UTC197" s="360"/>
      <c r="UTD197" s="360"/>
      <c r="UTE197" s="360"/>
      <c r="UTF197" s="360"/>
      <c r="UTG197" s="360"/>
      <c r="UTH197" s="360"/>
      <c r="UTI197" s="360"/>
      <c r="UTJ197" s="360"/>
      <c r="UTK197" s="360"/>
      <c r="UTL197" s="360"/>
      <c r="UTM197" s="360"/>
      <c r="UTN197" s="360"/>
      <c r="UTO197" s="360"/>
      <c r="UTP197" s="360"/>
      <c r="UTQ197" s="360"/>
      <c r="UTR197" s="360"/>
      <c r="UTS197" s="360"/>
      <c r="UTT197" s="360"/>
      <c r="UTU197" s="360"/>
      <c r="UTV197" s="360"/>
      <c r="UTW197" s="360"/>
      <c r="UTX197" s="360"/>
      <c r="UTY197" s="360"/>
      <c r="UTZ197" s="360"/>
      <c r="UUA197" s="360"/>
      <c r="UUB197" s="360"/>
      <c r="UUC197" s="360"/>
      <c r="UUD197" s="360"/>
      <c r="UUE197" s="360"/>
      <c r="UUF197" s="360"/>
      <c r="UUG197" s="360"/>
      <c r="UUH197" s="360"/>
      <c r="UUI197" s="360"/>
      <c r="UUJ197" s="360"/>
      <c r="UUK197" s="360"/>
      <c r="UUL197" s="360"/>
      <c r="UUM197" s="360"/>
      <c r="UUN197" s="360"/>
      <c r="UUO197" s="360"/>
      <c r="UUP197" s="360"/>
      <c r="UUQ197" s="360"/>
      <c r="UUR197" s="360"/>
      <c r="UUS197" s="360"/>
      <c r="UUT197" s="360"/>
      <c r="UUU197" s="360"/>
      <c r="UUV197" s="360"/>
      <c r="UUW197" s="360"/>
      <c r="UUX197" s="360"/>
      <c r="UUY197" s="360"/>
      <c r="UUZ197" s="360"/>
      <c r="UVA197" s="360"/>
      <c r="UVB197" s="360"/>
      <c r="UVC197" s="360"/>
      <c r="UVD197" s="360"/>
      <c r="UVE197" s="360"/>
      <c r="UVF197" s="360"/>
      <c r="UVG197" s="360"/>
      <c r="UVH197" s="360"/>
      <c r="UVI197" s="360"/>
      <c r="UVJ197" s="360"/>
      <c r="UVK197" s="360"/>
      <c r="UVL197" s="360"/>
      <c r="UVM197" s="360"/>
      <c r="UVN197" s="360"/>
      <c r="UVO197" s="360"/>
      <c r="UVP197" s="360"/>
      <c r="UVQ197" s="360"/>
      <c r="UVR197" s="360"/>
      <c r="UVS197" s="360"/>
      <c r="UVT197" s="360"/>
      <c r="UVU197" s="360"/>
      <c r="UVV197" s="360"/>
      <c r="UVW197" s="360"/>
      <c r="UVX197" s="360"/>
      <c r="UVY197" s="360"/>
      <c r="UVZ197" s="360"/>
      <c r="UWA197" s="360"/>
      <c r="UWB197" s="360"/>
      <c r="UWC197" s="360"/>
      <c r="UWD197" s="360"/>
      <c r="UWE197" s="360"/>
      <c r="UWF197" s="360"/>
      <c r="UWG197" s="360"/>
      <c r="UWH197" s="360"/>
      <c r="UWI197" s="360"/>
      <c r="UWJ197" s="360"/>
      <c r="UWK197" s="360"/>
      <c r="UWL197" s="360"/>
      <c r="UWM197" s="360"/>
      <c r="UWN197" s="360"/>
      <c r="UWO197" s="360"/>
      <c r="UWP197" s="360"/>
      <c r="UWQ197" s="360"/>
      <c r="UWR197" s="360"/>
      <c r="UWS197" s="360"/>
      <c r="UWT197" s="360"/>
      <c r="UWU197" s="360"/>
      <c r="UWV197" s="360"/>
      <c r="UWW197" s="360"/>
      <c r="UWX197" s="360"/>
      <c r="UWY197" s="360"/>
      <c r="UWZ197" s="360"/>
      <c r="UXA197" s="360"/>
      <c r="UXB197" s="360"/>
      <c r="UXC197" s="360"/>
      <c r="UXD197" s="360"/>
      <c r="UXE197" s="360"/>
      <c r="UXF197" s="360"/>
      <c r="UXG197" s="360"/>
      <c r="UXH197" s="360"/>
      <c r="UXI197" s="360"/>
      <c r="UXJ197" s="360"/>
      <c r="UXK197" s="360"/>
      <c r="UXL197" s="360"/>
      <c r="UXM197" s="360"/>
      <c r="UXN197" s="360"/>
      <c r="UXO197" s="360"/>
      <c r="UXP197" s="360"/>
      <c r="UXQ197" s="360"/>
      <c r="UXR197" s="360"/>
      <c r="UXS197" s="360"/>
      <c r="UXT197" s="360"/>
      <c r="UXU197" s="360"/>
      <c r="UXV197" s="360"/>
      <c r="UXW197" s="360"/>
      <c r="UXX197" s="360"/>
      <c r="UXY197" s="360"/>
      <c r="UXZ197" s="360"/>
      <c r="UYA197" s="360"/>
      <c r="UYB197" s="360"/>
      <c r="UYC197" s="360"/>
      <c r="UYD197" s="360"/>
      <c r="UYE197" s="360"/>
      <c r="UYF197" s="360"/>
      <c r="UYG197" s="360"/>
      <c r="UYH197" s="360"/>
      <c r="UYI197" s="360"/>
      <c r="UYJ197" s="360"/>
      <c r="UYK197" s="360"/>
      <c r="UYL197" s="360"/>
      <c r="UYM197" s="360"/>
      <c r="UYN197" s="360"/>
      <c r="UYO197" s="360"/>
      <c r="UYP197" s="360"/>
      <c r="UYQ197" s="360"/>
      <c r="UYR197" s="360"/>
      <c r="UYS197" s="360"/>
      <c r="UYT197" s="360"/>
      <c r="UYU197" s="360"/>
      <c r="UYV197" s="360"/>
      <c r="UYW197" s="360"/>
      <c r="UYX197" s="360"/>
      <c r="UYY197" s="360"/>
      <c r="UYZ197" s="360"/>
      <c r="UZA197" s="360"/>
      <c r="UZB197" s="360"/>
      <c r="UZC197" s="360"/>
      <c r="UZD197" s="360"/>
      <c r="UZE197" s="360"/>
      <c r="UZF197" s="360"/>
      <c r="UZG197" s="360"/>
      <c r="UZH197" s="360"/>
      <c r="UZI197" s="360"/>
      <c r="UZJ197" s="360"/>
      <c r="UZK197" s="360"/>
      <c r="UZL197" s="360"/>
      <c r="UZM197" s="360"/>
      <c r="UZN197" s="360"/>
      <c r="UZO197" s="360"/>
      <c r="UZP197" s="360"/>
      <c r="UZQ197" s="360"/>
      <c r="UZR197" s="360"/>
      <c r="UZS197" s="360"/>
      <c r="UZT197" s="360"/>
      <c r="UZU197" s="360"/>
      <c r="UZV197" s="360"/>
      <c r="UZW197" s="360"/>
      <c r="UZX197" s="360"/>
      <c r="UZY197" s="360"/>
      <c r="UZZ197" s="360"/>
      <c r="VAA197" s="360"/>
      <c r="VAB197" s="360"/>
      <c r="VAC197" s="360"/>
      <c r="VAD197" s="360"/>
      <c r="VAE197" s="360"/>
      <c r="VAF197" s="360"/>
      <c r="VAG197" s="360"/>
      <c r="VAH197" s="360"/>
      <c r="VAI197" s="360"/>
      <c r="VAJ197" s="360"/>
      <c r="VAK197" s="360"/>
      <c r="VAL197" s="360"/>
      <c r="VAM197" s="360"/>
      <c r="VAN197" s="360"/>
      <c r="VAO197" s="360"/>
      <c r="VAP197" s="360"/>
      <c r="VAQ197" s="360"/>
      <c r="VAR197" s="360"/>
      <c r="VAS197" s="360"/>
      <c r="VAT197" s="360"/>
      <c r="VAU197" s="360"/>
      <c r="VAV197" s="360"/>
      <c r="VAW197" s="360"/>
      <c r="VAX197" s="360"/>
      <c r="VAY197" s="360"/>
      <c r="VAZ197" s="360"/>
      <c r="VBA197" s="360"/>
      <c r="VBB197" s="360"/>
      <c r="VBC197" s="360"/>
      <c r="VBD197" s="360"/>
      <c r="VBE197" s="360"/>
      <c r="VBF197" s="360"/>
      <c r="VBG197" s="360"/>
      <c r="VBH197" s="360"/>
      <c r="VBI197" s="360"/>
      <c r="VBJ197" s="360"/>
      <c r="VBK197" s="360"/>
      <c r="VBL197" s="360"/>
      <c r="VBM197" s="360"/>
      <c r="VBN197" s="360"/>
      <c r="VBO197" s="360"/>
      <c r="VBP197" s="360"/>
      <c r="VBQ197" s="360"/>
      <c r="VBR197" s="360"/>
      <c r="VBS197" s="360"/>
      <c r="VBT197" s="360"/>
      <c r="VBU197" s="360"/>
      <c r="VBV197" s="360"/>
      <c r="VBW197" s="360"/>
      <c r="VBX197" s="360"/>
      <c r="VBY197" s="360"/>
      <c r="VBZ197" s="360"/>
      <c r="VCA197" s="360"/>
      <c r="VCB197" s="360"/>
      <c r="VCC197" s="360"/>
      <c r="VCD197" s="360"/>
      <c r="VCE197" s="360"/>
      <c r="VCF197" s="360"/>
      <c r="VCG197" s="360"/>
      <c r="VCH197" s="360"/>
      <c r="VCI197" s="360"/>
      <c r="VCJ197" s="360"/>
      <c r="VCK197" s="360"/>
      <c r="VCL197" s="360"/>
      <c r="VCM197" s="360"/>
      <c r="VCN197" s="360"/>
      <c r="VCO197" s="360"/>
      <c r="VCP197" s="360"/>
      <c r="VCQ197" s="360"/>
      <c r="VCR197" s="360"/>
      <c r="VCS197" s="360"/>
      <c r="VCT197" s="360"/>
      <c r="VCU197" s="360"/>
      <c r="VCV197" s="360"/>
      <c r="VCW197" s="360"/>
      <c r="VCX197" s="360"/>
      <c r="VCY197" s="360"/>
      <c r="VCZ197" s="360"/>
      <c r="VDA197" s="360"/>
      <c r="VDB197" s="360"/>
      <c r="VDC197" s="360"/>
      <c r="VDD197" s="360"/>
      <c r="VDE197" s="360"/>
      <c r="VDF197" s="360"/>
      <c r="VDG197" s="360"/>
      <c r="VDH197" s="360"/>
      <c r="VDI197" s="360"/>
      <c r="VDJ197" s="360"/>
      <c r="VDK197" s="360"/>
      <c r="VDL197" s="360"/>
      <c r="VDM197" s="360"/>
      <c r="VDN197" s="360"/>
      <c r="VDO197" s="360"/>
      <c r="VDP197" s="360"/>
      <c r="VDQ197" s="360"/>
      <c r="VDR197" s="360"/>
      <c r="VDS197" s="360"/>
      <c r="VDT197" s="360"/>
      <c r="VDU197" s="360"/>
      <c r="VDV197" s="360"/>
      <c r="VDW197" s="360"/>
      <c r="VDX197" s="360"/>
      <c r="VDY197" s="360"/>
      <c r="VDZ197" s="360"/>
      <c r="VEA197" s="360"/>
      <c r="VEB197" s="360"/>
      <c r="VEC197" s="360"/>
      <c r="VED197" s="360"/>
      <c r="VEE197" s="360"/>
      <c r="VEF197" s="360"/>
      <c r="VEG197" s="360"/>
      <c r="VEH197" s="360"/>
      <c r="VEI197" s="360"/>
      <c r="VEJ197" s="360"/>
      <c r="VEK197" s="360"/>
      <c r="VEL197" s="360"/>
      <c r="VEM197" s="360"/>
      <c r="VEN197" s="360"/>
      <c r="VEO197" s="360"/>
      <c r="VEP197" s="360"/>
      <c r="VEQ197" s="360"/>
      <c r="VER197" s="360"/>
      <c r="VES197" s="360"/>
      <c r="VET197" s="360"/>
      <c r="VEU197" s="360"/>
      <c r="VEV197" s="360"/>
      <c r="VEW197" s="360"/>
      <c r="VEX197" s="360"/>
      <c r="VEY197" s="360"/>
      <c r="VEZ197" s="360"/>
      <c r="VFA197" s="360"/>
      <c r="VFB197" s="360"/>
      <c r="VFC197" s="360"/>
      <c r="VFD197" s="360"/>
      <c r="VFE197" s="360"/>
      <c r="VFF197" s="360"/>
      <c r="VFG197" s="360"/>
      <c r="VFH197" s="360"/>
      <c r="VFI197" s="360"/>
      <c r="VFJ197" s="360"/>
      <c r="VFK197" s="360"/>
      <c r="VFL197" s="360"/>
      <c r="VFM197" s="360"/>
      <c r="VFN197" s="360"/>
      <c r="VFO197" s="360"/>
      <c r="VFP197" s="360"/>
      <c r="VFQ197" s="360"/>
      <c r="VFR197" s="360"/>
      <c r="VFS197" s="360"/>
      <c r="VFT197" s="360"/>
      <c r="VFU197" s="360"/>
      <c r="VFV197" s="360"/>
      <c r="VFW197" s="360"/>
      <c r="VFX197" s="360"/>
      <c r="VFY197" s="360"/>
      <c r="VFZ197" s="360"/>
      <c r="VGA197" s="360"/>
      <c r="VGB197" s="360"/>
      <c r="VGC197" s="360"/>
      <c r="VGD197" s="360"/>
      <c r="VGE197" s="360"/>
      <c r="VGF197" s="360"/>
      <c r="VGG197" s="360"/>
      <c r="VGH197" s="360"/>
      <c r="VGI197" s="360"/>
      <c r="VGJ197" s="360"/>
      <c r="VGK197" s="360"/>
      <c r="VGL197" s="360"/>
      <c r="VGM197" s="360"/>
      <c r="VGN197" s="360"/>
      <c r="VGO197" s="360"/>
      <c r="VGP197" s="360"/>
      <c r="VGQ197" s="360"/>
      <c r="VGR197" s="360"/>
      <c r="VGS197" s="360"/>
      <c r="VGT197" s="360"/>
      <c r="VGU197" s="360"/>
      <c r="VGV197" s="360"/>
      <c r="VGW197" s="360"/>
      <c r="VGX197" s="360"/>
      <c r="VGY197" s="360"/>
      <c r="VGZ197" s="360"/>
      <c r="VHA197" s="360"/>
      <c r="VHB197" s="360"/>
      <c r="VHC197" s="360"/>
      <c r="VHD197" s="360"/>
      <c r="VHE197" s="360"/>
      <c r="VHF197" s="360"/>
      <c r="VHG197" s="360"/>
      <c r="VHH197" s="360"/>
      <c r="VHI197" s="360"/>
      <c r="VHJ197" s="360"/>
      <c r="VHK197" s="360"/>
      <c r="VHL197" s="360"/>
      <c r="VHM197" s="360"/>
      <c r="VHN197" s="360"/>
      <c r="VHO197" s="360"/>
      <c r="VHP197" s="360"/>
      <c r="VHQ197" s="360"/>
      <c r="VHR197" s="360"/>
      <c r="VHS197" s="360"/>
      <c r="VHT197" s="360"/>
      <c r="VHU197" s="360"/>
      <c r="VHV197" s="360"/>
      <c r="VHW197" s="360"/>
      <c r="VHX197" s="360"/>
      <c r="VHY197" s="360"/>
      <c r="VHZ197" s="360"/>
      <c r="VIA197" s="360"/>
      <c r="VIB197" s="360"/>
      <c r="VIC197" s="360"/>
      <c r="VID197" s="360"/>
      <c r="VIE197" s="360"/>
      <c r="VIF197" s="360"/>
      <c r="VIG197" s="360"/>
      <c r="VIH197" s="360"/>
      <c r="VII197" s="360"/>
      <c r="VIJ197" s="360"/>
      <c r="VIK197" s="360"/>
      <c r="VIL197" s="360"/>
      <c r="VIM197" s="360"/>
      <c r="VIN197" s="360"/>
      <c r="VIO197" s="360"/>
      <c r="VIP197" s="360"/>
      <c r="VIQ197" s="360"/>
      <c r="VIR197" s="360"/>
      <c r="VIS197" s="360"/>
      <c r="VIT197" s="360"/>
      <c r="VIU197" s="360"/>
      <c r="VIV197" s="360"/>
      <c r="VIW197" s="360"/>
      <c r="VIX197" s="360"/>
      <c r="VIY197" s="360"/>
      <c r="VIZ197" s="360"/>
      <c r="VJA197" s="360"/>
      <c r="VJB197" s="360"/>
      <c r="VJC197" s="360"/>
      <c r="VJD197" s="360"/>
      <c r="VJE197" s="360"/>
      <c r="VJF197" s="360"/>
      <c r="VJG197" s="360"/>
      <c r="VJH197" s="360"/>
      <c r="VJI197" s="360"/>
      <c r="VJJ197" s="360"/>
      <c r="VJK197" s="360"/>
      <c r="VJL197" s="360"/>
      <c r="VJM197" s="360"/>
      <c r="VJN197" s="360"/>
      <c r="VJO197" s="360"/>
      <c r="VJP197" s="360"/>
      <c r="VJQ197" s="360"/>
      <c r="VJR197" s="360"/>
      <c r="VJS197" s="360"/>
      <c r="VJT197" s="360"/>
      <c r="VJU197" s="360"/>
      <c r="VJV197" s="360"/>
      <c r="VJW197" s="360"/>
      <c r="VJX197" s="360"/>
      <c r="VJY197" s="360"/>
      <c r="VJZ197" s="360"/>
      <c r="VKA197" s="360"/>
      <c r="VKB197" s="360"/>
      <c r="VKC197" s="360"/>
      <c r="VKD197" s="360"/>
      <c r="VKE197" s="360"/>
      <c r="VKF197" s="360"/>
      <c r="VKG197" s="360"/>
      <c r="VKH197" s="360"/>
      <c r="VKI197" s="360"/>
      <c r="VKJ197" s="360"/>
      <c r="VKK197" s="360"/>
      <c r="VKL197" s="360"/>
      <c r="VKM197" s="360"/>
      <c r="VKN197" s="360"/>
      <c r="VKO197" s="360"/>
      <c r="VKP197" s="360"/>
      <c r="VKQ197" s="360"/>
      <c r="VKR197" s="360"/>
      <c r="VKS197" s="360"/>
      <c r="VKT197" s="360"/>
      <c r="VKU197" s="360"/>
      <c r="VKV197" s="360"/>
      <c r="VKW197" s="360"/>
      <c r="VKX197" s="360"/>
      <c r="VKY197" s="360"/>
      <c r="VKZ197" s="360"/>
      <c r="VLA197" s="360"/>
      <c r="VLB197" s="360"/>
      <c r="VLC197" s="360"/>
      <c r="VLD197" s="360"/>
      <c r="VLE197" s="360"/>
      <c r="VLF197" s="360"/>
      <c r="VLG197" s="360"/>
      <c r="VLH197" s="360"/>
      <c r="VLI197" s="360"/>
      <c r="VLJ197" s="360"/>
      <c r="VLK197" s="360"/>
      <c r="VLL197" s="360"/>
      <c r="VLM197" s="360"/>
      <c r="VLN197" s="360"/>
      <c r="VLO197" s="360"/>
      <c r="VLP197" s="360"/>
      <c r="VLQ197" s="360"/>
      <c r="VLR197" s="360"/>
      <c r="VLS197" s="360"/>
      <c r="VLT197" s="360"/>
      <c r="VLU197" s="360"/>
      <c r="VLV197" s="360"/>
      <c r="VLW197" s="360"/>
      <c r="VLX197" s="360"/>
      <c r="VLY197" s="360"/>
      <c r="VLZ197" s="360"/>
      <c r="VMA197" s="360"/>
      <c r="VMB197" s="360"/>
      <c r="VMC197" s="360"/>
      <c r="VMD197" s="360"/>
      <c r="VME197" s="360"/>
      <c r="VMF197" s="360"/>
      <c r="VMG197" s="360"/>
      <c r="VMH197" s="360"/>
      <c r="VMI197" s="360"/>
      <c r="VMJ197" s="360"/>
      <c r="VMK197" s="360"/>
      <c r="VML197" s="360"/>
      <c r="VMM197" s="360"/>
      <c r="VMN197" s="360"/>
      <c r="VMO197" s="360"/>
      <c r="VMP197" s="360"/>
      <c r="VMQ197" s="360"/>
      <c r="VMR197" s="360"/>
      <c r="VMS197" s="360"/>
      <c r="VMT197" s="360"/>
      <c r="VMU197" s="360"/>
      <c r="VMV197" s="360"/>
      <c r="VMW197" s="360"/>
      <c r="VMX197" s="360"/>
      <c r="VMY197" s="360"/>
      <c r="VMZ197" s="360"/>
      <c r="VNA197" s="360"/>
      <c r="VNB197" s="360"/>
      <c r="VNC197" s="360"/>
      <c r="VND197" s="360"/>
      <c r="VNE197" s="360"/>
      <c r="VNF197" s="360"/>
      <c r="VNG197" s="360"/>
      <c r="VNH197" s="360"/>
      <c r="VNI197" s="360"/>
      <c r="VNJ197" s="360"/>
      <c r="VNK197" s="360"/>
      <c r="VNL197" s="360"/>
      <c r="VNM197" s="360"/>
      <c r="VNN197" s="360"/>
      <c r="VNO197" s="360"/>
      <c r="VNP197" s="360"/>
      <c r="VNQ197" s="360"/>
      <c r="VNR197" s="360"/>
      <c r="VNS197" s="360"/>
      <c r="VNT197" s="360"/>
      <c r="VNU197" s="360"/>
      <c r="VNV197" s="360"/>
      <c r="VNW197" s="360"/>
      <c r="VNX197" s="360"/>
      <c r="VNY197" s="360"/>
      <c r="VNZ197" s="360"/>
      <c r="VOA197" s="360"/>
      <c r="VOB197" s="360"/>
      <c r="VOC197" s="360"/>
      <c r="VOD197" s="360"/>
      <c r="VOE197" s="360"/>
      <c r="VOF197" s="360"/>
      <c r="VOG197" s="360"/>
      <c r="VOH197" s="360"/>
      <c r="VOI197" s="360"/>
      <c r="VOJ197" s="360"/>
      <c r="VOK197" s="360"/>
      <c r="VOL197" s="360"/>
      <c r="VOM197" s="360"/>
      <c r="VON197" s="360"/>
      <c r="VOO197" s="360"/>
      <c r="VOP197" s="360"/>
      <c r="VOQ197" s="360"/>
      <c r="VOR197" s="360"/>
      <c r="VOS197" s="360"/>
      <c r="VOT197" s="360"/>
      <c r="VOU197" s="360"/>
      <c r="VOV197" s="360"/>
      <c r="VOW197" s="360"/>
      <c r="VOX197" s="360"/>
      <c r="VOY197" s="360"/>
      <c r="VOZ197" s="360"/>
      <c r="VPA197" s="360"/>
      <c r="VPB197" s="360"/>
      <c r="VPC197" s="360"/>
      <c r="VPD197" s="360"/>
      <c r="VPE197" s="360"/>
      <c r="VPF197" s="360"/>
      <c r="VPG197" s="360"/>
      <c r="VPH197" s="360"/>
      <c r="VPI197" s="360"/>
      <c r="VPJ197" s="360"/>
      <c r="VPK197" s="360"/>
      <c r="VPL197" s="360"/>
      <c r="VPM197" s="360"/>
      <c r="VPN197" s="360"/>
      <c r="VPO197" s="360"/>
      <c r="VPP197" s="360"/>
      <c r="VPQ197" s="360"/>
      <c r="VPR197" s="360"/>
      <c r="VPS197" s="360"/>
      <c r="VPT197" s="360"/>
      <c r="VPU197" s="360"/>
      <c r="VPV197" s="360"/>
      <c r="VPW197" s="360"/>
      <c r="VPX197" s="360"/>
      <c r="VPY197" s="360"/>
      <c r="VPZ197" s="360"/>
      <c r="VQA197" s="360"/>
      <c r="VQB197" s="360"/>
      <c r="VQC197" s="360"/>
      <c r="VQD197" s="360"/>
      <c r="VQE197" s="360"/>
      <c r="VQF197" s="360"/>
      <c r="VQG197" s="360"/>
      <c r="VQH197" s="360"/>
      <c r="VQI197" s="360"/>
      <c r="VQJ197" s="360"/>
      <c r="VQK197" s="360"/>
      <c r="VQL197" s="360"/>
      <c r="VQM197" s="360"/>
      <c r="VQN197" s="360"/>
      <c r="VQO197" s="360"/>
      <c r="VQP197" s="360"/>
      <c r="VQQ197" s="360"/>
      <c r="VQR197" s="360"/>
      <c r="VQS197" s="360"/>
      <c r="VQT197" s="360"/>
      <c r="VQU197" s="360"/>
      <c r="VQV197" s="360"/>
      <c r="VQW197" s="360"/>
      <c r="VQX197" s="360"/>
      <c r="VQY197" s="360"/>
      <c r="VQZ197" s="360"/>
      <c r="VRA197" s="360"/>
      <c r="VRB197" s="360"/>
      <c r="VRC197" s="360"/>
      <c r="VRD197" s="360"/>
      <c r="VRE197" s="360"/>
      <c r="VRF197" s="360"/>
      <c r="VRG197" s="360"/>
      <c r="VRH197" s="360"/>
      <c r="VRI197" s="360"/>
      <c r="VRJ197" s="360"/>
      <c r="VRK197" s="360"/>
      <c r="VRL197" s="360"/>
      <c r="VRM197" s="360"/>
      <c r="VRN197" s="360"/>
      <c r="VRO197" s="360"/>
      <c r="VRP197" s="360"/>
      <c r="VRQ197" s="360"/>
      <c r="VRR197" s="360"/>
      <c r="VRS197" s="360"/>
      <c r="VRT197" s="360"/>
      <c r="VRU197" s="360"/>
      <c r="VRV197" s="360"/>
      <c r="VRW197" s="360"/>
      <c r="VRX197" s="360"/>
      <c r="VRY197" s="360"/>
      <c r="VRZ197" s="360"/>
      <c r="VSA197" s="360"/>
      <c r="VSB197" s="360"/>
      <c r="VSC197" s="360"/>
      <c r="VSD197" s="360"/>
      <c r="VSE197" s="360"/>
      <c r="VSF197" s="360"/>
      <c r="VSG197" s="360"/>
      <c r="VSH197" s="360"/>
      <c r="VSI197" s="360"/>
      <c r="VSJ197" s="360"/>
      <c r="VSK197" s="360"/>
      <c r="VSL197" s="360"/>
      <c r="VSM197" s="360"/>
      <c r="VSN197" s="360"/>
      <c r="VSO197" s="360"/>
      <c r="VSP197" s="360"/>
      <c r="VSQ197" s="360"/>
      <c r="VSR197" s="360"/>
      <c r="VSS197" s="360"/>
      <c r="VST197" s="360"/>
      <c r="VSU197" s="360"/>
      <c r="VSV197" s="360"/>
      <c r="VSW197" s="360"/>
      <c r="VSX197" s="360"/>
      <c r="VSY197" s="360"/>
      <c r="VSZ197" s="360"/>
      <c r="VTA197" s="360"/>
      <c r="VTB197" s="360"/>
      <c r="VTC197" s="360"/>
      <c r="VTD197" s="360"/>
      <c r="VTE197" s="360"/>
      <c r="VTF197" s="360"/>
      <c r="VTG197" s="360"/>
      <c r="VTH197" s="360"/>
      <c r="VTI197" s="360"/>
      <c r="VTJ197" s="360"/>
      <c r="VTK197" s="360"/>
      <c r="VTL197" s="360"/>
      <c r="VTM197" s="360"/>
      <c r="VTN197" s="360"/>
      <c r="VTO197" s="360"/>
      <c r="VTP197" s="360"/>
      <c r="VTQ197" s="360"/>
      <c r="VTR197" s="360"/>
      <c r="VTS197" s="360"/>
      <c r="VTT197" s="360"/>
      <c r="VTU197" s="360"/>
      <c r="VTV197" s="360"/>
      <c r="VTW197" s="360"/>
      <c r="VTX197" s="360"/>
      <c r="VTY197" s="360"/>
      <c r="VTZ197" s="360"/>
      <c r="VUA197" s="360"/>
      <c r="VUB197" s="360"/>
      <c r="VUC197" s="360"/>
      <c r="VUD197" s="360"/>
      <c r="VUE197" s="360"/>
      <c r="VUF197" s="360"/>
      <c r="VUG197" s="360"/>
      <c r="VUH197" s="360"/>
      <c r="VUI197" s="360"/>
      <c r="VUJ197" s="360"/>
      <c r="VUK197" s="360"/>
      <c r="VUL197" s="360"/>
      <c r="VUM197" s="360"/>
      <c r="VUN197" s="360"/>
      <c r="VUO197" s="360"/>
      <c r="VUP197" s="360"/>
      <c r="VUQ197" s="360"/>
      <c r="VUR197" s="360"/>
      <c r="VUS197" s="360"/>
      <c r="VUT197" s="360"/>
      <c r="VUU197" s="360"/>
      <c r="VUV197" s="360"/>
      <c r="VUW197" s="360"/>
      <c r="VUX197" s="360"/>
      <c r="VUY197" s="360"/>
      <c r="VUZ197" s="360"/>
      <c r="VVA197" s="360"/>
      <c r="VVB197" s="360"/>
      <c r="VVC197" s="360"/>
      <c r="VVD197" s="360"/>
      <c r="VVE197" s="360"/>
      <c r="VVF197" s="360"/>
      <c r="VVG197" s="360"/>
      <c r="VVH197" s="360"/>
      <c r="VVI197" s="360"/>
      <c r="VVJ197" s="360"/>
      <c r="VVK197" s="360"/>
      <c r="VVL197" s="360"/>
      <c r="VVM197" s="360"/>
      <c r="VVN197" s="360"/>
      <c r="VVO197" s="360"/>
      <c r="VVP197" s="360"/>
      <c r="VVQ197" s="360"/>
      <c r="VVR197" s="360"/>
      <c r="VVS197" s="360"/>
      <c r="VVT197" s="360"/>
      <c r="VVU197" s="360"/>
      <c r="VVV197" s="360"/>
      <c r="VVW197" s="360"/>
      <c r="VVX197" s="360"/>
      <c r="VVY197" s="360"/>
      <c r="VVZ197" s="360"/>
      <c r="VWA197" s="360"/>
      <c r="VWB197" s="360"/>
      <c r="VWC197" s="360"/>
      <c r="VWD197" s="360"/>
      <c r="VWE197" s="360"/>
      <c r="VWF197" s="360"/>
      <c r="VWG197" s="360"/>
      <c r="VWH197" s="360"/>
      <c r="VWI197" s="360"/>
      <c r="VWJ197" s="360"/>
      <c r="VWK197" s="360"/>
      <c r="VWL197" s="360"/>
      <c r="VWM197" s="360"/>
      <c r="VWN197" s="360"/>
      <c r="VWO197" s="360"/>
      <c r="VWP197" s="360"/>
      <c r="VWQ197" s="360"/>
      <c r="VWR197" s="360"/>
      <c r="VWS197" s="360"/>
      <c r="VWT197" s="360"/>
      <c r="VWU197" s="360"/>
      <c r="VWV197" s="360"/>
      <c r="VWW197" s="360"/>
      <c r="VWX197" s="360"/>
      <c r="VWY197" s="360"/>
      <c r="VWZ197" s="360"/>
      <c r="VXA197" s="360"/>
      <c r="VXB197" s="360"/>
      <c r="VXC197" s="360"/>
      <c r="VXD197" s="360"/>
      <c r="VXE197" s="360"/>
      <c r="VXF197" s="360"/>
      <c r="VXG197" s="360"/>
      <c r="VXH197" s="360"/>
      <c r="VXI197" s="360"/>
      <c r="VXJ197" s="360"/>
      <c r="VXK197" s="360"/>
      <c r="VXL197" s="360"/>
      <c r="VXM197" s="360"/>
      <c r="VXN197" s="360"/>
      <c r="VXO197" s="360"/>
      <c r="VXP197" s="360"/>
      <c r="VXQ197" s="360"/>
      <c r="VXR197" s="360"/>
      <c r="VXS197" s="360"/>
      <c r="VXT197" s="360"/>
      <c r="VXU197" s="360"/>
      <c r="VXV197" s="360"/>
      <c r="VXW197" s="360"/>
      <c r="VXX197" s="360"/>
      <c r="VXY197" s="360"/>
      <c r="VXZ197" s="360"/>
      <c r="VYA197" s="360"/>
      <c r="VYB197" s="360"/>
      <c r="VYC197" s="360"/>
      <c r="VYD197" s="360"/>
      <c r="VYE197" s="360"/>
      <c r="VYF197" s="360"/>
      <c r="VYG197" s="360"/>
      <c r="VYH197" s="360"/>
      <c r="VYI197" s="360"/>
      <c r="VYJ197" s="360"/>
      <c r="VYK197" s="360"/>
      <c r="VYL197" s="360"/>
      <c r="VYM197" s="360"/>
      <c r="VYN197" s="360"/>
      <c r="VYO197" s="360"/>
      <c r="VYP197" s="360"/>
      <c r="VYQ197" s="360"/>
      <c r="VYR197" s="360"/>
      <c r="VYS197" s="360"/>
      <c r="VYT197" s="360"/>
      <c r="VYU197" s="360"/>
      <c r="VYV197" s="360"/>
      <c r="VYW197" s="360"/>
      <c r="VYX197" s="360"/>
      <c r="VYY197" s="360"/>
      <c r="VYZ197" s="360"/>
      <c r="VZA197" s="360"/>
      <c r="VZB197" s="360"/>
      <c r="VZC197" s="360"/>
      <c r="VZD197" s="360"/>
      <c r="VZE197" s="360"/>
      <c r="VZF197" s="360"/>
      <c r="VZG197" s="360"/>
      <c r="VZH197" s="360"/>
      <c r="VZI197" s="360"/>
      <c r="VZJ197" s="360"/>
      <c r="VZK197" s="360"/>
      <c r="VZL197" s="360"/>
      <c r="VZM197" s="360"/>
      <c r="VZN197" s="360"/>
      <c r="VZO197" s="360"/>
      <c r="VZP197" s="360"/>
      <c r="VZQ197" s="360"/>
      <c r="VZR197" s="360"/>
      <c r="VZS197" s="360"/>
      <c r="VZT197" s="360"/>
      <c r="VZU197" s="360"/>
      <c r="VZV197" s="360"/>
      <c r="VZW197" s="360"/>
      <c r="VZX197" s="360"/>
      <c r="VZY197" s="360"/>
      <c r="VZZ197" s="360"/>
      <c r="WAA197" s="360"/>
      <c r="WAB197" s="360"/>
      <c r="WAC197" s="360"/>
      <c r="WAD197" s="360"/>
      <c r="WAE197" s="360"/>
      <c r="WAF197" s="360"/>
      <c r="WAG197" s="360"/>
      <c r="WAH197" s="360"/>
      <c r="WAI197" s="360"/>
      <c r="WAJ197" s="360"/>
      <c r="WAK197" s="360"/>
      <c r="WAL197" s="360"/>
      <c r="WAM197" s="360"/>
      <c r="WAN197" s="360"/>
      <c r="WAO197" s="360"/>
      <c r="WAP197" s="360"/>
      <c r="WAQ197" s="360"/>
      <c r="WAR197" s="360"/>
      <c r="WAS197" s="360"/>
      <c r="WAT197" s="360"/>
      <c r="WAU197" s="360"/>
      <c r="WAV197" s="360"/>
      <c r="WAW197" s="360"/>
      <c r="WAX197" s="360"/>
      <c r="WAY197" s="360"/>
      <c r="WAZ197" s="360"/>
      <c r="WBA197" s="360"/>
      <c r="WBB197" s="360"/>
      <c r="WBC197" s="360"/>
      <c r="WBD197" s="360"/>
      <c r="WBE197" s="360"/>
      <c r="WBF197" s="360"/>
      <c r="WBG197" s="360"/>
      <c r="WBH197" s="360"/>
      <c r="WBI197" s="360"/>
      <c r="WBJ197" s="360"/>
      <c r="WBK197" s="360"/>
      <c r="WBL197" s="360"/>
      <c r="WBM197" s="360"/>
      <c r="WBN197" s="360"/>
      <c r="WBO197" s="360"/>
      <c r="WBP197" s="360"/>
      <c r="WBQ197" s="360"/>
      <c r="WBR197" s="360"/>
      <c r="WBS197" s="360"/>
      <c r="WBT197" s="360"/>
      <c r="WBU197" s="360"/>
      <c r="WBV197" s="360"/>
      <c r="WBW197" s="360"/>
      <c r="WBX197" s="360"/>
      <c r="WBY197" s="360"/>
      <c r="WBZ197" s="360"/>
      <c r="WCA197" s="360"/>
      <c r="WCB197" s="360"/>
      <c r="WCC197" s="360"/>
      <c r="WCD197" s="360"/>
      <c r="WCE197" s="360"/>
      <c r="WCF197" s="360"/>
      <c r="WCG197" s="360"/>
      <c r="WCH197" s="360"/>
      <c r="WCI197" s="360"/>
      <c r="WCJ197" s="360"/>
      <c r="WCK197" s="360"/>
      <c r="WCL197" s="360"/>
      <c r="WCM197" s="360"/>
      <c r="WCN197" s="360"/>
      <c r="WCO197" s="360"/>
      <c r="WCP197" s="360"/>
      <c r="WCQ197" s="360"/>
      <c r="WCR197" s="360"/>
      <c r="WCS197" s="360"/>
      <c r="WCT197" s="360"/>
      <c r="WCU197" s="360"/>
      <c r="WCV197" s="360"/>
      <c r="WCW197" s="360"/>
      <c r="WCX197" s="360"/>
      <c r="WCY197" s="360"/>
      <c r="WCZ197" s="360"/>
      <c r="WDA197" s="360"/>
      <c r="WDB197" s="360"/>
      <c r="WDC197" s="360"/>
      <c r="WDD197" s="360"/>
      <c r="WDE197" s="360"/>
      <c r="WDF197" s="360"/>
      <c r="WDG197" s="360"/>
      <c r="WDH197" s="360"/>
      <c r="WDI197" s="360"/>
      <c r="WDJ197" s="360"/>
      <c r="WDK197" s="360"/>
      <c r="WDL197" s="360"/>
      <c r="WDM197" s="360"/>
      <c r="WDN197" s="360"/>
      <c r="WDO197" s="360"/>
      <c r="WDP197" s="360"/>
      <c r="WDQ197" s="360"/>
      <c r="WDR197" s="360"/>
      <c r="WDS197" s="360"/>
      <c r="WDT197" s="360"/>
      <c r="WDU197" s="360"/>
      <c r="WDV197" s="360"/>
      <c r="WDW197" s="360"/>
      <c r="WDX197" s="360"/>
      <c r="WDY197" s="360"/>
      <c r="WDZ197" s="360"/>
      <c r="WEA197" s="360"/>
      <c r="WEB197" s="360"/>
      <c r="WEC197" s="360"/>
      <c r="WED197" s="360"/>
      <c r="WEE197" s="360"/>
      <c r="WEF197" s="360"/>
      <c r="WEG197" s="360"/>
      <c r="WEH197" s="360"/>
      <c r="WEI197" s="360"/>
      <c r="WEJ197" s="360"/>
      <c r="WEK197" s="360"/>
      <c r="WEL197" s="360"/>
      <c r="WEM197" s="360"/>
      <c r="WEN197" s="360"/>
      <c r="WEO197" s="360"/>
      <c r="WEP197" s="360"/>
      <c r="WEQ197" s="360"/>
      <c r="WER197" s="360"/>
      <c r="WES197" s="360"/>
      <c r="WET197" s="360"/>
      <c r="WEU197" s="360"/>
      <c r="WEV197" s="360"/>
      <c r="WEW197" s="360"/>
      <c r="WEX197" s="360"/>
      <c r="WEY197" s="360"/>
      <c r="WEZ197" s="360"/>
      <c r="WFA197" s="360"/>
      <c r="WFB197" s="360"/>
      <c r="WFC197" s="360"/>
      <c r="WFD197" s="360"/>
      <c r="WFE197" s="360"/>
      <c r="WFF197" s="360"/>
      <c r="WFG197" s="360"/>
      <c r="WFH197" s="360"/>
      <c r="WFI197" s="360"/>
      <c r="WFJ197" s="360"/>
      <c r="WFK197" s="360"/>
      <c r="WFL197" s="360"/>
      <c r="WFM197" s="360"/>
      <c r="WFN197" s="360"/>
      <c r="WFO197" s="360"/>
      <c r="WFP197" s="360"/>
      <c r="WFQ197" s="360"/>
      <c r="WFR197" s="360"/>
      <c r="WFS197" s="360"/>
      <c r="WFT197" s="360"/>
      <c r="WFU197" s="360"/>
      <c r="WFV197" s="360"/>
      <c r="WFW197" s="360"/>
      <c r="WFX197" s="360"/>
      <c r="WFY197" s="360"/>
      <c r="WFZ197" s="360"/>
      <c r="WGA197" s="360"/>
      <c r="WGB197" s="360"/>
      <c r="WGC197" s="360"/>
      <c r="WGD197" s="360"/>
      <c r="WGE197" s="360"/>
      <c r="WGF197" s="360"/>
      <c r="WGG197" s="360"/>
      <c r="WGH197" s="360"/>
      <c r="WGI197" s="360"/>
      <c r="WGJ197" s="360"/>
      <c r="WGK197" s="360"/>
      <c r="WGL197" s="360"/>
      <c r="WGM197" s="360"/>
      <c r="WGN197" s="360"/>
      <c r="WGO197" s="360"/>
      <c r="WGP197" s="360"/>
      <c r="WGQ197" s="360"/>
      <c r="WGR197" s="360"/>
      <c r="WGS197" s="360"/>
      <c r="WGT197" s="360"/>
      <c r="WGU197" s="360"/>
      <c r="WGV197" s="360"/>
      <c r="WGW197" s="360"/>
      <c r="WGX197" s="360"/>
      <c r="WGY197" s="360"/>
      <c r="WGZ197" s="360"/>
      <c r="WHA197" s="360"/>
      <c r="WHB197" s="360"/>
      <c r="WHC197" s="360"/>
      <c r="WHD197" s="360"/>
      <c r="WHE197" s="360"/>
      <c r="WHF197" s="360"/>
      <c r="WHG197" s="360"/>
      <c r="WHH197" s="360"/>
      <c r="WHI197" s="360"/>
      <c r="WHJ197" s="360"/>
      <c r="WHK197" s="360"/>
      <c r="WHL197" s="360"/>
      <c r="WHM197" s="360"/>
      <c r="WHN197" s="360"/>
      <c r="WHO197" s="360"/>
      <c r="WHP197" s="360"/>
      <c r="WHQ197" s="360"/>
      <c r="WHR197" s="360"/>
      <c r="WHS197" s="360"/>
      <c r="WHT197" s="360"/>
      <c r="WHU197" s="360"/>
      <c r="WHV197" s="360"/>
      <c r="WHW197" s="360"/>
      <c r="WHX197" s="360"/>
      <c r="WHY197" s="360"/>
      <c r="WHZ197" s="360"/>
      <c r="WIA197" s="360"/>
      <c r="WIB197" s="360"/>
      <c r="WIC197" s="360"/>
      <c r="WID197" s="360"/>
      <c r="WIE197" s="360"/>
      <c r="WIF197" s="360"/>
      <c r="WIG197" s="360"/>
      <c r="WIH197" s="360"/>
      <c r="WII197" s="360"/>
      <c r="WIJ197" s="360"/>
      <c r="WIK197" s="360"/>
      <c r="WIL197" s="360"/>
      <c r="WIM197" s="360"/>
      <c r="WIN197" s="360"/>
      <c r="WIO197" s="360"/>
      <c r="WIP197" s="360"/>
      <c r="WIQ197" s="360"/>
      <c r="WIR197" s="360"/>
      <c r="WIS197" s="360"/>
      <c r="WIT197" s="360"/>
      <c r="WIU197" s="360"/>
      <c r="WIV197" s="360"/>
      <c r="WIW197" s="360"/>
      <c r="WIX197" s="360"/>
      <c r="WIY197" s="360"/>
      <c r="WIZ197" s="360"/>
      <c r="WJA197" s="360"/>
      <c r="WJB197" s="360"/>
      <c r="WJC197" s="360"/>
      <c r="WJD197" s="360"/>
      <c r="WJE197" s="360"/>
      <c r="WJF197" s="360"/>
      <c r="WJG197" s="360"/>
      <c r="WJH197" s="360"/>
      <c r="WJI197" s="360"/>
      <c r="WJJ197" s="360"/>
      <c r="WJK197" s="360"/>
      <c r="WJL197" s="360"/>
      <c r="WJM197" s="360"/>
      <c r="WJN197" s="360"/>
      <c r="WJO197" s="360"/>
      <c r="WJP197" s="360"/>
      <c r="WJQ197" s="360"/>
      <c r="WJR197" s="360"/>
      <c r="WJS197" s="360"/>
      <c r="WJT197" s="360"/>
      <c r="WJU197" s="360"/>
      <c r="WJV197" s="360"/>
      <c r="WJW197" s="360"/>
      <c r="WJX197" s="360"/>
      <c r="WJY197" s="360"/>
      <c r="WJZ197" s="360"/>
      <c r="WKA197" s="360"/>
      <c r="WKB197" s="360"/>
      <c r="WKC197" s="360"/>
      <c r="WKD197" s="360"/>
      <c r="WKE197" s="360"/>
      <c r="WKF197" s="360"/>
      <c r="WKG197" s="360"/>
      <c r="WKH197" s="360"/>
      <c r="WKI197" s="360"/>
      <c r="WKJ197" s="360"/>
      <c r="WKK197" s="360"/>
      <c r="WKL197" s="360"/>
      <c r="WKM197" s="360"/>
      <c r="WKN197" s="360"/>
      <c r="WKO197" s="360"/>
      <c r="WKP197" s="360"/>
      <c r="WKQ197" s="360"/>
      <c r="WKR197" s="360"/>
      <c r="WKS197" s="360"/>
      <c r="WKT197" s="360"/>
      <c r="WKU197" s="360"/>
      <c r="WKV197" s="360"/>
      <c r="WKW197" s="360"/>
      <c r="WKX197" s="360"/>
      <c r="WKY197" s="360"/>
      <c r="WKZ197" s="360"/>
      <c r="WLA197" s="360"/>
      <c r="WLB197" s="360"/>
      <c r="WLC197" s="360"/>
      <c r="WLD197" s="360"/>
      <c r="WLE197" s="360"/>
      <c r="WLF197" s="360"/>
      <c r="WLG197" s="360"/>
      <c r="WLH197" s="360"/>
      <c r="WLI197" s="360"/>
      <c r="WLJ197" s="360"/>
      <c r="WLK197" s="360"/>
      <c r="WLL197" s="360"/>
      <c r="WLM197" s="360"/>
      <c r="WLN197" s="360"/>
      <c r="WLO197" s="360"/>
      <c r="WLP197" s="360"/>
      <c r="WLQ197" s="360"/>
      <c r="WLR197" s="360"/>
      <c r="WLS197" s="360"/>
      <c r="WLT197" s="360"/>
      <c r="WLU197" s="360"/>
      <c r="WLV197" s="360"/>
      <c r="WLW197" s="360"/>
      <c r="WLX197" s="360"/>
      <c r="WLY197" s="360"/>
      <c r="WLZ197" s="360"/>
      <c r="WMA197" s="360"/>
      <c r="WMB197" s="360"/>
      <c r="WMC197" s="360"/>
      <c r="WMD197" s="360"/>
      <c r="WME197" s="360"/>
      <c r="WMF197" s="360"/>
      <c r="WMG197" s="360"/>
      <c r="WMH197" s="360"/>
      <c r="WMI197" s="360"/>
      <c r="WMJ197" s="360"/>
      <c r="WMK197" s="360"/>
      <c r="WML197" s="360"/>
      <c r="WMM197" s="360"/>
      <c r="WMN197" s="360"/>
      <c r="WMO197" s="360"/>
      <c r="WMP197" s="360"/>
      <c r="WMQ197" s="360"/>
      <c r="WMR197" s="360"/>
      <c r="WMS197" s="360"/>
      <c r="WMT197" s="360"/>
      <c r="WMU197" s="360"/>
      <c r="WMV197" s="360"/>
      <c r="WMW197" s="360"/>
      <c r="WMX197" s="360"/>
      <c r="WMY197" s="360"/>
      <c r="WMZ197" s="360"/>
      <c r="WNA197" s="360"/>
      <c r="WNB197" s="360"/>
      <c r="WNC197" s="360"/>
      <c r="WND197" s="360"/>
      <c r="WNE197" s="360"/>
      <c r="WNF197" s="360"/>
      <c r="WNG197" s="360"/>
      <c r="WNH197" s="360"/>
      <c r="WNI197" s="360"/>
      <c r="WNJ197" s="360"/>
      <c r="WNK197" s="360"/>
      <c r="WNL197" s="360"/>
      <c r="WNM197" s="360"/>
      <c r="WNN197" s="360"/>
      <c r="WNO197" s="360"/>
      <c r="WNP197" s="360"/>
      <c r="WNQ197" s="360"/>
      <c r="WNR197" s="360"/>
      <c r="WNS197" s="360"/>
      <c r="WNT197" s="360"/>
      <c r="WNU197" s="360"/>
      <c r="WNV197" s="360"/>
      <c r="WNW197" s="360"/>
      <c r="WNX197" s="360"/>
      <c r="WNY197" s="360"/>
      <c r="WNZ197" s="360"/>
      <c r="WOA197" s="360"/>
      <c r="WOB197" s="360"/>
      <c r="WOC197" s="360"/>
      <c r="WOD197" s="360"/>
      <c r="WOE197" s="360"/>
      <c r="WOF197" s="360"/>
      <c r="WOG197" s="360"/>
      <c r="WOH197" s="360"/>
      <c r="WOI197" s="360"/>
      <c r="WOJ197" s="360"/>
      <c r="WOK197" s="360"/>
      <c r="WOL197" s="360"/>
      <c r="WOM197" s="360"/>
      <c r="WON197" s="360"/>
      <c r="WOO197" s="360"/>
      <c r="WOP197" s="360"/>
      <c r="WOQ197" s="360"/>
      <c r="WOR197" s="360"/>
      <c r="WOS197" s="360"/>
      <c r="WOT197" s="360"/>
      <c r="WOU197" s="360"/>
      <c r="WOV197" s="360"/>
      <c r="WOW197" s="360"/>
      <c r="WOX197" s="360"/>
      <c r="WOY197" s="360"/>
      <c r="WOZ197" s="360"/>
      <c r="WPA197" s="360"/>
      <c r="WPB197" s="360"/>
      <c r="WPC197" s="360"/>
      <c r="WPD197" s="360"/>
      <c r="WPE197" s="360"/>
      <c r="WPF197" s="360"/>
      <c r="WPG197" s="360"/>
      <c r="WPH197" s="360"/>
      <c r="WPI197" s="360"/>
      <c r="WPJ197" s="360"/>
      <c r="WPK197" s="360"/>
      <c r="WPL197" s="360"/>
      <c r="WPM197" s="360"/>
      <c r="WPN197" s="360"/>
      <c r="WPO197" s="360"/>
      <c r="WPP197" s="360"/>
      <c r="WPQ197" s="360"/>
      <c r="WPR197" s="360"/>
      <c r="WPS197" s="360"/>
      <c r="WPT197" s="360"/>
      <c r="WPU197" s="360"/>
      <c r="WPV197" s="360"/>
      <c r="WPW197" s="360"/>
      <c r="WPX197" s="360"/>
      <c r="WPY197" s="360"/>
      <c r="WPZ197" s="360"/>
      <c r="WQA197" s="360"/>
      <c r="WQB197" s="360"/>
      <c r="WQC197" s="360"/>
      <c r="WQD197" s="360"/>
      <c r="WQE197" s="360"/>
      <c r="WQF197" s="360"/>
      <c r="WQG197" s="360"/>
      <c r="WQH197" s="360"/>
      <c r="WQI197" s="360"/>
      <c r="WQJ197" s="360"/>
      <c r="WQK197" s="360"/>
      <c r="WQL197" s="360"/>
      <c r="WQM197" s="360"/>
      <c r="WQN197" s="360"/>
      <c r="WQO197" s="360"/>
      <c r="WQP197" s="360"/>
      <c r="WQQ197" s="360"/>
      <c r="WQR197" s="360"/>
      <c r="WQS197" s="360"/>
      <c r="WQT197" s="360"/>
      <c r="WQU197" s="360"/>
      <c r="WQV197" s="360"/>
      <c r="WQW197" s="360"/>
      <c r="WQX197" s="360"/>
      <c r="WQY197" s="360"/>
      <c r="WQZ197" s="360"/>
      <c r="WRA197" s="360"/>
      <c r="WRB197" s="360"/>
      <c r="WRC197" s="360"/>
      <c r="WRD197" s="360"/>
      <c r="WRE197" s="360"/>
      <c r="WRF197" s="360"/>
      <c r="WRG197" s="360"/>
      <c r="WRH197" s="360"/>
      <c r="WRI197" s="360"/>
      <c r="WRJ197" s="360"/>
      <c r="WRK197" s="360"/>
      <c r="WRL197" s="360"/>
      <c r="WRM197" s="360"/>
      <c r="WRN197" s="360"/>
      <c r="WRO197" s="360"/>
      <c r="WRP197" s="360"/>
      <c r="WRQ197" s="360"/>
      <c r="WRR197" s="360"/>
      <c r="WRS197" s="360"/>
      <c r="WRT197" s="360"/>
      <c r="WRU197" s="360"/>
      <c r="WRV197" s="360"/>
      <c r="WRW197" s="360"/>
      <c r="WRX197" s="360"/>
      <c r="WRY197" s="360"/>
      <c r="WRZ197" s="360"/>
      <c r="WSA197" s="360"/>
      <c r="WSB197" s="360"/>
      <c r="WSC197" s="360"/>
      <c r="WSD197" s="360"/>
      <c r="WSE197" s="360"/>
      <c r="WSF197" s="360"/>
      <c r="WSG197" s="360"/>
      <c r="WSH197" s="360"/>
      <c r="WSI197" s="360"/>
      <c r="WSJ197" s="360"/>
      <c r="WSK197" s="360"/>
      <c r="WSL197" s="360"/>
      <c r="WSM197" s="360"/>
      <c r="WSN197" s="360"/>
      <c r="WSO197" s="360"/>
      <c r="WSP197" s="360"/>
      <c r="WSQ197" s="360"/>
      <c r="WSR197" s="360"/>
      <c r="WSS197" s="360"/>
      <c r="WST197" s="360"/>
      <c r="WSU197" s="360"/>
      <c r="WSV197" s="360"/>
      <c r="WSW197" s="360"/>
      <c r="WSX197" s="360"/>
      <c r="WSY197" s="360"/>
      <c r="WSZ197" s="360"/>
      <c r="WTA197" s="360"/>
      <c r="WTB197" s="360"/>
      <c r="WTC197" s="360"/>
      <c r="WTD197" s="360"/>
      <c r="WTE197" s="360"/>
      <c r="WTF197" s="360"/>
      <c r="WTG197" s="360"/>
      <c r="WTH197" s="360"/>
      <c r="WTI197" s="360"/>
      <c r="WTJ197" s="360"/>
      <c r="WTK197" s="360"/>
      <c r="WTL197" s="360"/>
      <c r="WTM197" s="360"/>
      <c r="WTN197" s="360"/>
      <c r="WTO197" s="360"/>
      <c r="WTP197" s="360"/>
      <c r="WTQ197" s="360"/>
      <c r="WTR197" s="360"/>
      <c r="WTS197" s="360"/>
      <c r="WTT197" s="360"/>
      <c r="WTU197" s="360"/>
      <c r="WTV197" s="360"/>
      <c r="WTW197" s="360"/>
      <c r="WTX197" s="360"/>
      <c r="WTY197" s="360"/>
      <c r="WTZ197" s="360"/>
      <c r="WUA197" s="360"/>
      <c r="WUB197" s="360"/>
      <c r="WUC197" s="360"/>
      <c r="WUD197" s="360"/>
      <c r="WUE197" s="360"/>
      <c r="WUF197" s="360"/>
      <c r="WUG197" s="360"/>
      <c r="WUH197" s="360"/>
      <c r="WUI197" s="360"/>
      <c r="WUJ197" s="360"/>
      <c r="WUK197" s="360"/>
      <c r="WUL197" s="360"/>
      <c r="WUM197" s="360"/>
      <c r="WUN197" s="360"/>
      <c r="WUO197" s="360"/>
      <c r="WUP197" s="360"/>
      <c r="WUQ197" s="360"/>
      <c r="WUR197" s="360"/>
      <c r="WUS197" s="360"/>
      <c r="WUT197" s="360"/>
      <c r="WUU197" s="360"/>
      <c r="WUV197" s="360"/>
      <c r="WUW197" s="360"/>
      <c r="WUX197" s="360"/>
      <c r="WUY197" s="360"/>
      <c r="WUZ197" s="360"/>
      <c r="WVA197" s="360"/>
      <c r="WVB197" s="360"/>
      <c r="WVC197" s="360"/>
      <c r="WVD197" s="360"/>
      <c r="WVE197" s="360"/>
      <c r="WVF197" s="360"/>
      <c r="WVG197" s="360"/>
      <c r="WVH197" s="360"/>
      <c r="WVI197" s="360"/>
      <c r="WVJ197" s="360"/>
      <c r="WVK197" s="360"/>
      <c r="WVL197" s="360"/>
      <c r="WVM197" s="360"/>
      <c r="WVN197" s="360"/>
      <c r="WVO197" s="360"/>
    </row>
    <row r="198" spans="1:16135" customFormat="1" x14ac:dyDescent="0.25">
      <c r="A198" s="360"/>
      <c r="B198" s="360"/>
      <c r="C198" s="360"/>
      <c r="D198" s="360"/>
      <c r="E198" s="360"/>
      <c r="F198" s="362"/>
      <c r="G198" s="48"/>
      <c r="I198" s="357"/>
      <c r="BY198" s="360"/>
      <c r="BZ198" s="360"/>
      <c r="CA198" s="360"/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  <c r="DF198" s="360"/>
      <c r="DG198" s="360"/>
      <c r="DH198" s="360"/>
      <c r="DI198" s="360"/>
      <c r="DJ198" s="360"/>
      <c r="DK198" s="360"/>
      <c r="DL198" s="360"/>
      <c r="DM198" s="360"/>
      <c r="DN198" s="360"/>
      <c r="DO198" s="360"/>
      <c r="DP198" s="360"/>
      <c r="DQ198" s="360"/>
      <c r="DR198" s="360"/>
      <c r="DS198" s="360"/>
      <c r="DT198" s="360"/>
      <c r="DU198" s="360"/>
      <c r="DV198" s="360"/>
      <c r="DW198" s="360"/>
      <c r="DX198" s="360"/>
      <c r="DY198" s="360"/>
      <c r="DZ198" s="360"/>
      <c r="EA198" s="360"/>
      <c r="EB198" s="360"/>
      <c r="EC198" s="360"/>
      <c r="ED198" s="360"/>
      <c r="EE198" s="360"/>
      <c r="EF198" s="360"/>
      <c r="EG198" s="360"/>
      <c r="EH198" s="360"/>
      <c r="EI198" s="360"/>
      <c r="EJ198" s="360"/>
      <c r="EK198" s="360"/>
      <c r="EL198" s="360"/>
      <c r="EM198" s="360"/>
      <c r="EN198" s="360"/>
      <c r="EO198" s="360"/>
      <c r="EP198" s="360"/>
      <c r="EQ198" s="360"/>
      <c r="ER198" s="360"/>
      <c r="ES198" s="360"/>
      <c r="ET198" s="360"/>
      <c r="EU198" s="360"/>
      <c r="EV198" s="360"/>
      <c r="EW198" s="360"/>
      <c r="EX198" s="360"/>
      <c r="EY198" s="360"/>
      <c r="EZ198" s="360"/>
      <c r="FA198" s="360"/>
      <c r="FB198" s="360"/>
      <c r="FC198" s="360"/>
      <c r="FD198" s="360"/>
      <c r="FE198" s="360"/>
      <c r="FF198" s="360"/>
      <c r="FG198" s="360"/>
      <c r="FH198" s="360"/>
      <c r="FI198" s="360"/>
      <c r="FJ198" s="360"/>
      <c r="FK198" s="360"/>
      <c r="FL198" s="360"/>
      <c r="FM198" s="360"/>
      <c r="FN198" s="360"/>
      <c r="FO198" s="360"/>
      <c r="FP198" s="360"/>
      <c r="FQ198" s="360"/>
      <c r="FR198" s="360"/>
      <c r="FS198" s="360"/>
      <c r="FT198" s="360"/>
      <c r="FU198" s="360"/>
      <c r="FV198" s="360"/>
      <c r="FW198" s="360"/>
      <c r="FX198" s="360"/>
      <c r="FY198" s="360"/>
      <c r="FZ198" s="360"/>
      <c r="GA198" s="360"/>
      <c r="GB198" s="360"/>
      <c r="GC198" s="360"/>
      <c r="GD198" s="360"/>
      <c r="GE198" s="360"/>
      <c r="GF198" s="360"/>
      <c r="GG198" s="360"/>
      <c r="GH198" s="360"/>
      <c r="GI198" s="360"/>
      <c r="GJ198" s="360"/>
      <c r="GK198" s="360"/>
      <c r="GL198" s="360"/>
      <c r="GM198" s="360"/>
      <c r="GN198" s="360"/>
      <c r="GO198" s="360"/>
      <c r="GP198" s="360"/>
      <c r="GQ198" s="360"/>
      <c r="GR198" s="360"/>
      <c r="GS198" s="360"/>
      <c r="GT198" s="360"/>
      <c r="GU198" s="360"/>
      <c r="GV198" s="360"/>
      <c r="GW198" s="360"/>
      <c r="GX198" s="360"/>
      <c r="GY198" s="360"/>
      <c r="GZ198" s="360"/>
      <c r="HA198" s="360"/>
      <c r="HB198" s="360"/>
      <c r="HC198" s="360"/>
      <c r="HD198" s="360"/>
      <c r="HE198" s="360"/>
      <c r="HF198" s="360"/>
      <c r="HG198" s="360"/>
      <c r="HH198" s="360"/>
      <c r="HI198" s="360"/>
      <c r="HJ198" s="360"/>
      <c r="HK198" s="360"/>
      <c r="HL198" s="360"/>
      <c r="HM198" s="360"/>
      <c r="HN198" s="360"/>
      <c r="HO198" s="360"/>
      <c r="HP198" s="360"/>
      <c r="HQ198" s="360"/>
      <c r="HR198" s="360"/>
      <c r="HS198" s="360"/>
      <c r="HT198" s="360"/>
      <c r="HU198" s="360"/>
      <c r="HV198" s="360"/>
      <c r="HW198" s="360"/>
      <c r="HX198" s="360"/>
      <c r="HY198" s="360"/>
      <c r="HZ198" s="360"/>
      <c r="IA198" s="360"/>
      <c r="IB198" s="360"/>
      <c r="IC198" s="360"/>
      <c r="ID198" s="360"/>
      <c r="IE198" s="360"/>
      <c r="IF198" s="360"/>
      <c r="IG198" s="360"/>
      <c r="IH198" s="360"/>
      <c r="II198" s="360"/>
      <c r="IJ198" s="360"/>
      <c r="IK198" s="360"/>
      <c r="IL198" s="360"/>
      <c r="IM198" s="360"/>
      <c r="IN198" s="360"/>
      <c r="IO198" s="360"/>
      <c r="IP198" s="360"/>
      <c r="IQ198" s="360"/>
      <c r="IR198" s="360"/>
      <c r="IS198" s="360"/>
      <c r="IT198" s="360"/>
      <c r="IU198" s="360"/>
      <c r="IV198" s="360"/>
      <c r="IW198" s="360"/>
      <c r="IX198" s="360"/>
      <c r="IY198" s="360"/>
      <c r="IZ198" s="360"/>
      <c r="JA198" s="360"/>
      <c r="JB198" s="360"/>
      <c r="JC198" s="360"/>
      <c r="JD198" s="360"/>
      <c r="JE198" s="360"/>
      <c r="JF198" s="360"/>
      <c r="JG198" s="360"/>
      <c r="JH198" s="360"/>
      <c r="JI198" s="360"/>
      <c r="JJ198" s="360"/>
      <c r="JK198" s="360"/>
      <c r="JL198" s="360"/>
      <c r="JM198" s="360"/>
      <c r="JN198" s="360"/>
      <c r="JO198" s="360"/>
      <c r="JP198" s="360"/>
      <c r="JQ198" s="360"/>
      <c r="JR198" s="360"/>
      <c r="JS198" s="360"/>
      <c r="JT198" s="360"/>
      <c r="JU198" s="360"/>
      <c r="JV198" s="360"/>
      <c r="JW198" s="360"/>
      <c r="JX198" s="360"/>
      <c r="JY198" s="360"/>
      <c r="JZ198" s="360"/>
      <c r="KA198" s="360"/>
      <c r="KB198" s="360"/>
      <c r="KC198" s="360"/>
      <c r="KD198" s="360"/>
      <c r="KE198" s="360"/>
      <c r="KF198" s="360"/>
      <c r="KG198" s="360"/>
      <c r="KH198" s="360"/>
      <c r="KI198" s="360"/>
      <c r="KJ198" s="360"/>
      <c r="KK198" s="360"/>
      <c r="KL198" s="360"/>
      <c r="KM198" s="360"/>
      <c r="KN198" s="360"/>
      <c r="KO198" s="360"/>
      <c r="KP198" s="360"/>
      <c r="KQ198" s="360"/>
      <c r="KR198" s="360"/>
      <c r="KS198" s="360"/>
      <c r="KT198" s="360"/>
      <c r="KU198" s="360"/>
      <c r="KV198" s="360"/>
      <c r="KW198" s="360"/>
      <c r="KX198" s="360"/>
      <c r="KY198" s="360"/>
      <c r="KZ198" s="360"/>
      <c r="LA198" s="360"/>
      <c r="LB198" s="360"/>
      <c r="LC198" s="360"/>
      <c r="LD198" s="360"/>
      <c r="LE198" s="360"/>
      <c r="LF198" s="360"/>
      <c r="LG198" s="360"/>
      <c r="LH198" s="360"/>
      <c r="LI198" s="360"/>
      <c r="LJ198" s="360"/>
      <c r="LK198" s="360"/>
      <c r="LL198" s="360"/>
      <c r="LM198" s="360"/>
      <c r="LN198" s="360"/>
      <c r="LO198" s="360"/>
      <c r="LP198" s="360"/>
      <c r="LQ198" s="360"/>
      <c r="LR198" s="360"/>
      <c r="LS198" s="360"/>
      <c r="LT198" s="360"/>
      <c r="LU198" s="360"/>
      <c r="LV198" s="360"/>
      <c r="LW198" s="360"/>
      <c r="LX198" s="360"/>
      <c r="LY198" s="360"/>
      <c r="LZ198" s="360"/>
      <c r="MA198" s="360"/>
      <c r="MB198" s="360"/>
      <c r="MC198" s="360"/>
      <c r="MD198" s="360"/>
      <c r="ME198" s="360"/>
      <c r="MF198" s="360"/>
      <c r="MG198" s="360"/>
      <c r="MH198" s="360"/>
      <c r="MI198" s="360"/>
      <c r="MJ198" s="360"/>
      <c r="MK198" s="360"/>
      <c r="ML198" s="360"/>
      <c r="MM198" s="360"/>
      <c r="MN198" s="360"/>
      <c r="MO198" s="360"/>
      <c r="MP198" s="360"/>
      <c r="MQ198" s="360"/>
      <c r="MR198" s="360"/>
      <c r="MS198" s="360"/>
      <c r="MT198" s="360"/>
      <c r="MU198" s="360"/>
      <c r="MV198" s="360"/>
      <c r="MW198" s="360"/>
      <c r="MX198" s="360"/>
      <c r="MY198" s="360"/>
      <c r="MZ198" s="360"/>
      <c r="NA198" s="360"/>
      <c r="NB198" s="360"/>
      <c r="NC198" s="360"/>
      <c r="ND198" s="360"/>
      <c r="NE198" s="360"/>
      <c r="NF198" s="360"/>
      <c r="NG198" s="360"/>
      <c r="NH198" s="360"/>
      <c r="NI198" s="360"/>
      <c r="NJ198" s="360"/>
      <c r="NK198" s="360"/>
      <c r="NL198" s="360"/>
      <c r="NM198" s="360"/>
      <c r="NN198" s="360"/>
      <c r="NO198" s="360"/>
      <c r="NP198" s="360"/>
      <c r="NQ198" s="360"/>
      <c r="NR198" s="360"/>
      <c r="NS198" s="360"/>
      <c r="NT198" s="360"/>
      <c r="NU198" s="360"/>
      <c r="NV198" s="360"/>
      <c r="NW198" s="360"/>
      <c r="NX198" s="360"/>
      <c r="NY198" s="360"/>
      <c r="NZ198" s="360"/>
      <c r="OA198" s="360"/>
      <c r="OB198" s="360"/>
      <c r="OC198" s="360"/>
      <c r="OD198" s="360"/>
      <c r="OE198" s="360"/>
      <c r="OF198" s="360"/>
      <c r="OG198" s="360"/>
      <c r="OH198" s="360"/>
      <c r="OI198" s="360"/>
      <c r="OJ198" s="360"/>
      <c r="OK198" s="360"/>
      <c r="OL198" s="360"/>
      <c r="OM198" s="360"/>
      <c r="ON198" s="360"/>
      <c r="OO198" s="360"/>
      <c r="OP198" s="360"/>
      <c r="OQ198" s="360"/>
      <c r="OR198" s="360"/>
      <c r="OS198" s="360"/>
      <c r="OT198" s="360"/>
      <c r="OU198" s="360"/>
      <c r="OV198" s="360"/>
      <c r="OW198" s="360"/>
      <c r="OX198" s="360"/>
      <c r="OY198" s="360"/>
      <c r="OZ198" s="360"/>
      <c r="PA198" s="360"/>
      <c r="PB198" s="360"/>
      <c r="PC198" s="360"/>
      <c r="PD198" s="360"/>
      <c r="PE198" s="360"/>
      <c r="PF198" s="360"/>
      <c r="PG198" s="360"/>
      <c r="PH198" s="360"/>
      <c r="PI198" s="360"/>
      <c r="PJ198" s="360"/>
      <c r="PK198" s="360"/>
      <c r="PL198" s="360"/>
      <c r="PM198" s="360"/>
      <c r="PN198" s="360"/>
      <c r="PO198" s="360"/>
      <c r="PP198" s="360"/>
      <c r="PQ198" s="360"/>
      <c r="PR198" s="360"/>
      <c r="PS198" s="360"/>
      <c r="PT198" s="360"/>
      <c r="PU198" s="360"/>
      <c r="PV198" s="360"/>
      <c r="PW198" s="360"/>
      <c r="PX198" s="360"/>
      <c r="PY198" s="360"/>
      <c r="PZ198" s="360"/>
      <c r="QA198" s="360"/>
      <c r="QB198" s="360"/>
      <c r="QC198" s="360"/>
      <c r="QD198" s="360"/>
      <c r="QE198" s="360"/>
      <c r="QF198" s="360"/>
      <c r="QG198" s="360"/>
      <c r="QH198" s="360"/>
      <c r="QI198" s="360"/>
      <c r="QJ198" s="360"/>
      <c r="QK198" s="360"/>
      <c r="QL198" s="360"/>
      <c r="QM198" s="360"/>
      <c r="QN198" s="360"/>
      <c r="QO198" s="360"/>
      <c r="QP198" s="360"/>
      <c r="QQ198" s="360"/>
      <c r="QR198" s="360"/>
      <c r="QS198" s="360"/>
      <c r="QT198" s="360"/>
      <c r="QU198" s="360"/>
      <c r="QV198" s="360"/>
      <c r="QW198" s="360"/>
      <c r="QX198" s="360"/>
      <c r="QY198" s="360"/>
      <c r="QZ198" s="360"/>
      <c r="RA198" s="360"/>
      <c r="RB198" s="360"/>
      <c r="RC198" s="360"/>
      <c r="RD198" s="360"/>
      <c r="RE198" s="360"/>
      <c r="RF198" s="360"/>
      <c r="RG198" s="360"/>
      <c r="RH198" s="360"/>
      <c r="RI198" s="360"/>
      <c r="RJ198" s="360"/>
      <c r="RK198" s="360"/>
      <c r="RL198" s="360"/>
      <c r="RM198" s="360"/>
      <c r="RN198" s="360"/>
      <c r="RO198" s="360"/>
      <c r="RP198" s="360"/>
      <c r="RQ198" s="360"/>
      <c r="RR198" s="360"/>
      <c r="RS198" s="360"/>
      <c r="RT198" s="360"/>
      <c r="RU198" s="360"/>
      <c r="RV198" s="360"/>
      <c r="RW198" s="360"/>
      <c r="RX198" s="360"/>
      <c r="RY198" s="360"/>
      <c r="RZ198" s="360"/>
      <c r="SA198" s="360"/>
      <c r="SB198" s="360"/>
      <c r="SC198" s="360"/>
      <c r="SD198" s="360"/>
      <c r="SE198" s="360"/>
      <c r="SF198" s="360"/>
      <c r="SG198" s="360"/>
      <c r="SH198" s="360"/>
      <c r="SI198" s="360"/>
      <c r="SJ198" s="360"/>
      <c r="SK198" s="360"/>
      <c r="SL198" s="360"/>
      <c r="SM198" s="360"/>
      <c r="SN198" s="360"/>
      <c r="SO198" s="360"/>
      <c r="SP198" s="360"/>
      <c r="SQ198" s="360"/>
      <c r="SR198" s="360"/>
      <c r="SS198" s="360"/>
      <c r="ST198" s="360"/>
      <c r="SU198" s="360"/>
      <c r="SV198" s="360"/>
      <c r="SW198" s="360"/>
      <c r="SX198" s="360"/>
      <c r="SY198" s="360"/>
      <c r="SZ198" s="360"/>
      <c r="TA198" s="360"/>
      <c r="TB198" s="360"/>
      <c r="TC198" s="360"/>
      <c r="TD198" s="360"/>
      <c r="TE198" s="360"/>
      <c r="TF198" s="360"/>
      <c r="TG198" s="360"/>
      <c r="TH198" s="360"/>
      <c r="TI198" s="360"/>
      <c r="TJ198" s="360"/>
      <c r="TK198" s="360"/>
      <c r="TL198" s="360"/>
      <c r="TM198" s="360"/>
      <c r="TN198" s="360"/>
      <c r="TO198" s="360"/>
      <c r="TP198" s="360"/>
      <c r="TQ198" s="360"/>
      <c r="TR198" s="360"/>
      <c r="TS198" s="360"/>
      <c r="TT198" s="360"/>
      <c r="TU198" s="360"/>
      <c r="TV198" s="360"/>
      <c r="TW198" s="360"/>
      <c r="TX198" s="360"/>
      <c r="TY198" s="360"/>
      <c r="TZ198" s="360"/>
      <c r="UA198" s="360"/>
      <c r="UB198" s="360"/>
      <c r="UC198" s="360"/>
      <c r="UD198" s="360"/>
      <c r="UE198" s="360"/>
      <c r="UF198" s="360"/>
      <c r="UG198" s="360"/>
      <c r="UH198" s="360"/>
      <c r="UI198" s="360"/>
      <c r="UJ198" s="360"/>
      <c r="UK198" s="360"/>
      <c r="UL198" s="360"/>
      <c r="UM198" s="360"/>
      <c r="UN198" s="360"/>
      <c r="UO198" s="360"/>
      <c r="UP198" s="360"/>
      <c r="UQ198" s="360"/>
      <c r="UR198" s="360"/>
      <c r="US198" s="360"/>
      <c r="UT198" s="360"/>
      <c r="UU198" s="360"/>
      <c r="UV198" s="360"/>
      <c r="UW198" s="360"/>
      <c r="UX198" s="360"/>
      <c r="UY198" s="360"/>
      <c r="UZ198" s="360"/>
      <c r="VA198" s="360"/>
      <c r="VB198" s="360"/>
      <c r="VC198" s="360"/>
      <c r="VD198" s="360"/>
      <c r="VE198" s="360"/>
      <c r="VF198" s="360"/>
      <c r="VG198" s="360"/>
      <c r="VH198" s="360"/>
      <c r="VI198" s="360"/>
      <c r="VJ198" s="360"/>
      <c r="VK198" s="360"/>
      <c r="VL198" s="360"/>
      <c r="VM198" s="360"/>
      <c r="VN198" s="360"/>
      <c r="VO198" s="360"/>
      <c r="VP198" s="360"/>
      <c r="VQ198" s="360"/>
      <c r="VR198" s="360"/>
      <c r="VS198" s="360"/>
      <c r="VT198" s="360"/>
      <c r="VU198" s="360"/>
      <c r="VV198" s="360"/>
      <c r="VW198" s="360"/>
      <c r="VX198" s="360"/>
      <c r="VY198" s="360"/>
      <c r="VZ198" s="360"/>
      <c r="WA198" s="360"/>
      <c r="WB198" s="360"/>
      <c r="WC198" s="360"/>
      <c r="WD198" s="360"/>
      <c r="WE198" s="360"/>
      <c r="WF198" s="360"/>
      <c r="WG198" s="360"/>
      <c r="WH198" s="360"/>
      <c r="WI198" s="360"/>
      <c r="WJ198" s="360"/>
      <c r="WK198" s="360"/>
      <c r="WL198" s="360"/>
      <c r="WM198" s="360"/>
      <c r="WN198" s="360"/>
      <c r="WO198" s="360"/>
      <c r="WP198" s="360"/>
      <c r="WQ198" s="360"/>
      <c r="WR198" s="360"/>
      <c r="WS198" s="360"/>
      <c r="WT198" s="360"/>
      <c r="WU198" s="360"/>
      <c r="WV198" s="360"/>
      <c r="WW198" s="360"/>
      <c r="WX198" s="360"/>
      <c r="WY198" s="360"/>
      <c r="WZ198" s="360"/>
      <c r="XA198" s="360"/>
      <c r="XB198" s="360"/>
      <c r="XC198" s="360"/>
      <c r="XD198" s="360"/>
      <c r="XE198" s="360"/>
      <c r="XF198" s="360"/>
      <c r="XG198" s="360"/>
      <c r="XH198" s="360"/>
      <c r="XI198" s="360"/>
      <c r="XJ198" s="360"/>
      <c r="XK198" s="360"/>
      <c r="XL198" s="360"/>
      <c r="XM198" s="360"/>
      <c r="XN198" s="360"/>
      <c r="XO198" s="360"/>
      <c r="XP198" s="360"/>
      <c r="XQ198" s="360"/>
      <c r="XR198" s="360"/>
      <c r="XS198" s="360"/>
      <c r="XT198" s="360"/>
      <c r="XU198" s="360"/>
      <c r="XV198" s="360"/>
      <c r="XW198" s="360"/>
      <c r="XX198" s="360"/>
      <c r="XY198" s="360"/>
      <c r="XZ198" s="360"/>
      <c r="YA198" s="360"/>
      <c r="YB198" s="360"/>
      <c r="YC198" s="360"/>
      <c r="YD198" s="360"/>
      <c r="YE198" s="360"/>
      <c r="YF198" s="360"/>
      <c r="YG198" s="360"/>
      <c r="YH198" s="360"/>
      <c r="YI198" s="360"/>
      <c r="YJ198" s="360"/>
      <c r="YK198" s="360"/>
      <c r="YL198" s="360"/>
      <c r="YM198" s="360"/>
      <c r="YN198" s="360"/>
      <c r="YO198" s="360"/>
      <c r="YP198" s="360"/>
      <c r="YQ198" s="360"/>
      <c r="YR198" s="360"/>
      <c r="YS198" s="360"/>
      <c r="YT198" s="360"/>
      <c r="YU198" s="360"/>
      <c r="YV198" s="360"/>
      <c r="YW198" s="360"/>
      <c r="YX198" s="360"/>
      <c r="YY198" s="360"/>
      <c r="YZ198" s="360"/>
      <c r="ZA198" s="360"/>
      <c r="ZB198" s="360"/>
      <c r="ZC198" s="360"/>
      <c r="ZD198" s="360"/>
      <c r="ZE198" s="360"/>
      <c r="ZF198" s="360"/>
      <c r="ZG198" s="360"/>
      <c r="ZH198" s="360"/>
      <c r="ZI198" s="360"/>
      <c r="ZJ198" s="360"/>
      <c r="ZK198" s="360"/>
      <c r="ZL198" s="360"/>
      <c r="ZM198" s="360"/>
      <c r="ZN198" s="360"/>
      <c r="ZO198" s="360"/>
      <c r="ZP198" s="360"/>
      <c r="ZQ198" s="360"/>
      <c r="ZR198" s="360"/>
      <c r="ZS198" s="360"/>
      <c r="ZT198" s="360"/>
      <c r="ZU198" s="360"/>
      <c r="ZV198" s="360"/>
      <c r="ZW198" s="360"/>
      <c r="ZX198" s="360"/>
      <c r="ZY198" s="360"/>
      <c r="ZZ198" s="360"/>
      <c r="AAA198" s="360"/>
      <c r="AAB198" s="360"/>
      <c r="AAC198" s="360"/>
      <c r="AAD198" s="360"/>
      <c r="AAE198" s="360"/>
      <c r="AAF198" s="360"/>
      <c r="AAG198" s="360"/>
      <c r="AAH198" s="360"/>
      <c r="AAI198" s="360"/>
      <c r="AAJ198" s="360"/>
      <c r="AAK198" s="360"/>
      <c r="AAL198" s="360"/>
      <c r="AAM198" s="360"/>
      <c r="AAN198" s="360"/>
      <c r="AAO198" s="360"/>
      <c r="AAP198" s="360"/>
      <c r="AAQ198" s="360"/>
      <c r="AAR198" s="360"/>
      <c r="AAS198" s="360"/>
      <c r="AAT198" s="360"/>
      <c r="AAU198" s="360"/>
      <c r="AAV198" s="360"/>
      <c r="AAW198" s="360"/>
      <c r="AAX198" s="360"/>
      <c r="AAY198" s="360"/>
      <c r="AAZ198" s="360"/>
      <c r="ABA198" s="360"/>
      <c r="ABB198" s="360"/>
      <c r="ABC198" s="360"/>
      <c r="ABD198" s="360"/>
      <c r="ABE198" s="360"/>
      <c r="ABF198" s="360"/>
      <c r="ABG198" s="360"/>
      <c r="ABH198" s="360"/>
      <c r="ABI198" s="360"/>
      <c r="ABJ198" s="360"/>
      <c r="ABK198" s="360"/>
      <c r="ABL198" s="360"/>
      <c r="ABM198" s="360"/>
      <c r="ABN198" s="360"/>
      <c r="ABO198" s="360"/>
      <c r="ABP198" s="360"/>
      <c r="ABQ198" s="360"/>
      <c r="ABR198" s="360"/>
      <c r="ABS198" s="360"/>
      <c r="ABT198" s="360"/>
      <c r="ABU198" s="360"/>
      <c r="ABV198" s="360"/>
      <c r="ABW198" s="360"/>
      <c r="ABX198" s="360"/>
      <c r="ABY198" s="360"/>
      <c r="ABZ198" s="360"/>
      <c r="ACA198" s="360"/>
      <c r="ACB198" s="360"/>
      <c r="ACC198" s="360"/>
      <c r="ACD198" s="360"/>
      <c r="ACE198" s="360"/>
      <c r="ACF198" s="360"/>
      <c r="ACG198" s="360"/>
      <c r="ACH198" s="360"/>
      <c r="ACI198" s="360"/>
      <c r="ACJ198" s="360"/>
      <c r="ACK198" s="360"/>
      <c r="ACL198" s="360"/>
      <c r="ACM198" s="360"/>
      <c r="ACN198" s="360"/>
      <c r="ACO198" s="360"/>
      <c r="ACP198" s="360"/>
      <c r="ACQ198" s="360"/>
      <c r="ACR198" s="360"/>
      <c r="ACS198" s="360"/>
      <c r="ACT198" s="360"/>
      <c r="ACU198" s="360"/>
      <c r="ACV198" s="360"/>
      <c r="ACW198" s="360"/>
      <c r="ACX198" s="360"/>
      <c r="ACY198" s="360"/>
      <c r="ACZ198" s="360"/>
      <c r="ADA198" s="360"/>
      <c r="ADB198" s="360"/>
      <c r="ADC198" s="360"/>
      <c r="ADD198" s="360"/>
      <c r="ADE198" s="360"/>
      <c r="ADF198" s="360"/>
      <c r="ADG198" s="360"/>
      <c r="ADH198" s="360"/>
      <c r="ADI198" s="360"/>
      <c r="ADJ198" s="360"/>
      <c r="ADK198" s="360"/>
      <c r="ADL198" s="360"/>
      <c r="ADM198" s="360"/>
      <c r="ADN198" s="360"/>
      <c r="ADO198" s="360"/>
      <c r="ADP198" s="360"/>
      <c r="ADQ198" s="360"/>
      <c r="ADR198" s="360"/>
      <c r="ADS198" s="360"/>
      <c r="ADT198" s="360"/>
      <c r="ADU198" s="360"/>
      <c r="ADV198" s="360"/>
      <c r="ADW198" s="360"/>
      <c r="ADX198" s="360"/>
      <c r="ADY198" s="360"/>
      <c r="ADZ198" s="360"/>
      <c r="AEA198" s="360"/>
      <c r="AEB198" s="360"/>
      <c r="AEC198" s="360"/>
      <c r="AED198" s="360"/>
      <c r="AEE198" s="360"/>
      <c r="AEF198" s="360"/>
      <c r="AEG198" s="360"/>
      <c r="AEH198" s="360"/>
      <c r="AEI198" s="360"/>
      <c r="AEJ198" s="360"/>
      <c r="AEK198" s="360"/>
      <c r="AEL198" s="360"/>
      <c r="AEM198" s="360"/>
      <c r="AEN198" s="360"/>
      <c r="AEO198" s="360"/>
      <c r="AEP198" s="360"/>
      <c r="AEQ198" s="360"/>
      <c r="AER198" s="360"/>
      <c r="AES198" s="360"/>
      <c r="AET198" s="360"/>
      <c r="AEU198" s="360"/>
      <c r="AEV198" s="360"/>
      <c r="AEW198" s="360"/>
      <c r="AEX198" s="360"/>
      <c r="AEY198" s="360"/>
      <c r="AEZ198" s="360"/>
      <c r="AFA198" s="360"/>
      <c r="AFB198" s="360"/>
      <c r="AFC198" s="360"/>
      <c r="AFD198" s="360"/>
      <c r="AFE198" s="360"/>
      <c r="AFF198" s="360"/>
      <c r="AFG198" s="360"/>
      <c r="AFH198" s="360"/>
      <c r="AFI198" s="360"/>
      <c r="AFJ198" s="360"/>
      <c r="AFK198" s="360"/>
      <c r="AFL198" s="360"/>
      <c r="AFM198" s="360"/>
      <c r="AFN198" s="360"/>
      <c r="AFO198" s="360"/>
      <c r="AFP198" s="360"/>
      <c r="AFQ198" s="360"/>
      <c r="AFR198" s="360"/>
      <c r="AFS198" s="360"/>
      <c r="AFT198" s="360"/>
      <c r="AFU198" s="360"/>
      <c r="AFV198" s="360"/>
      <c r="AFW198" s="360"/>
      <c r="AFX198" s="360"/>
      <c r="AFY198" s="360"/>
      <c r="AFZ198" s="360"/>
      <c r="AGA198" s="360"/>
      <c r="AGB198" s="360"/>
      <c r="AGC198" s="360"/>
      <c r="AGD198" s="360"/>
      <c r="AGE198" s="360"/>
      <c r="AGF198" s="360"/>
      <c r="AGG198" s="360"/>
      <c r="AGH198" s="360"/>
      <c r="AGI198" s="360"/>
      <c r="AGJ198" s="360"/>
      <c r="AGK198" s="360"/>
      <c r="AGL198" s="360"/>
      <c r="AGM198" s="360"/>
      <c r="AGN198" s="360"/>
      <c r="AGO198" s="360"/>
      <c r="AGP198" s="360"/>
      <c r="AGQ198" s="360"/>
      <c r="AGR198" s="360"/>
      <c r="AGS198" s="360"/>
      <c r="AGT198" s="360"/>
      <c r="AGU198" s="360"/>
      <c r="AGV198" s="360"/>
      <c r="AGW198" s="360"/>
      <c r="AGX198" s="360"/>
      <c r="AGY198" s="360"/>
      <c r="AGZ198" s="360"/>
      <c r="AHA198" s="360"/>
      <c r="AHB198" s="360"/>
      <c r="AHC198" s="360"/>
      <c r="AHD198" s="360"/>
      <c r="AHE198" s="360"/>
      <c r="AHF198" s="360"/>
      <c r="AHG198" s="360"/>
      <c r="AHH198" s="360"/>
      <c r="AHI198" s="360"/>
      <c r="AHJ198" s="360"/>
      <c r="AHK198" s="360"/>
      <c r="AHL198" s="360"/>
      <c r="AHM198" s="360"/>
      <c r="AHN198" s="360"/>
      <c r="AHO198" s="360"/>
      <c r="AHP198" s="360"/>
      <c r="AHQ198" s="360"/>
      <c r="AHR198" s="360"/>
      <c r="AHS198" s="360"/>
      <c r="AHT198" s="360"/>
      <c r="AHU198" s="360"/>
      <c r="AHV198" s="360"/>
      <c r="AHW198" s="360"/>
      <c r="AHX198" s="360"/>
      <c r="AHY198" s="360"/>
      <c r="AHZ198" s="360"/>
      <c r="AIA198" s="360"/>
      <c r="AIB198" s="360"/>
      <c r="AIC198" s="360"/>
      <c r="AID198" s="360"/>
      <c r="AIE198" s="360"/>
      <c r="AIF198" s="360"/>
      <c r="AIG198" s="360"/>
      <c r="AIH198" s="360"/>
      <c r="AII198" s="360"/>
      <c r="AIJ198" s="360"/>
      <c r="AIK198" s="360"/>
      <c r="AIL198" s="360"/>
      <c r="AIM198" s="360"/>
      <c r="AIN198" s="360"/>
      <c r="AIO198" s="360"/>
      <c r="AIP198" s="360"/>
      <c r="AIQ198" s="360"/>
      <c r="AIR198" s="360"/>
      <c r="AIS198" s="360"/>
      <c r="AIT198" s="360"/>
      <c r="AIU198" s="360"/>
      <c r="AIV198" s="360"/>
      <c r="AIW198" s="360"/>
      <c r="AIX198" s="360"/>
      <c r="AIY198" s="360"/>
      <c r="AIZ198" s="360"/>
      <c r="AJA198" s="360"/>
      <c r="AJB198" s="360"/>
      <c r="AJC198" s="360"/>
      <c r="AJD198" s="360"/>
      <c r="AJE198" s="360"/>
      <c r="AJF198" s="360"/>
      <c r="AJG198" s="360"/>
      <c r="AJH198" s="360"/>
      <c r="AJI198" s="360"/>
      <c r="AJJ198" s="360"/>
      <c r="AJK198" s="360"/>
      <c r="AJL198" s="360"/>
      <c r="AJM198" s="360"/>
      <c r="AJN198" s="360"/>
      <c r="AJO198" s="360"/>
      <c r="AJP198" s="360"/>
      <c r="AJQ198" s="360"/>
      <c r="AJR198" s="360"/>
      <c r="AJS198" s="360"/>
      <c r="AJT198" s="360"/>
      <c r="AJU198" s="360"/>
      <c r="AJV198" s="360"/>
      <c r="AJW198" s="360"/>
      <c r="AJX198" s="360"/>
      <c r="AJY198" s="360"/>
      <c r="AJZ198" s="360"/>
      <c r="AKA198" s="360"/>
      <c r="AKB198" s="360"/>
      <c r="AKC198" s="360"/>
      <c r="AKD198" s="360"/>
      <c r="AKE198" s="360"/>
      <c r="AKF198" s="360"/>
      <c r="AKG198" s="360"/>
      <c r="AKH198" s="360"/>
      <c r="AKI198" s="360"/>
      <c r="AKJ198" s="360"/>
      <c r="AKK198" s="360"/>
      <c r="AKL198" s="360"/>
      <c r="AKM198" s="360"/>
      <c r="AKN198" s="360"/>
      <c r="AKO198" s="360"/>
      <c r="AKP198" s="360"/>
      <c r="AKQ198" s="360"/>
      <c r="AKR198" s="360"/>
      <c r="AKS198" s="360"/>
      <c r="AKT198" s="360"/>
      <c r="AKU198" s="360"/>
      <c r="AKV198" s="360"/>
      <c r="AKW198" s="360"/>
      <c r="AKX198" s="360"/>
      <c r="AKY198" s="360"/>
      <c r="AKZ198" s="360"/>
      <c r="ALA198" s="360"/>
      <c r="ALB198" s="360"/>
      <c r="ALC198" s="360"/>
      <c r="ALD198" s="360"/>
      <c r="ALE198" s="360"/>
      <c r="ALF198" s="360"/>
      <c r="ALG198" s="360"/>
      <c r="ALH198" s="360"/>
      <c r="ALI198" s="360"/>
      <c r="ALJ198" s="360"/>
      <c r="ALK198" s="360"/>
      <c r="ALL198" s="360"/>
      <c r="ALM198" s="360"/>
      <c r="ALN198" s="360"/>
      <c r="ALO198" s="360"/>
      <c r="ALP198" s="360"/>
      <c r="ALQ198" s="360"/>
      <c r="ALR198" s="360"/>
      <c r="ALS198" s="360"/>
      <c r="ALT198" s="360"/>
      <c r="ALU198" s="360"/>
      <c r="ALV198" s="360"/>
      <c r="ALW198" s="360"/>
      <c r="ALX198" s="360"/>
      <c r="ALY198" s="360"/>
      <c r="ALZ198" s="360"/>
      <c r="AMA198" s="360"/>
      <c r="AMB198" s="360"/>
      <c r="AMC198" s="360"/>
      <c r="AMD198" s="360"/>
      <c r="AME198" s="360"/>
      <c r="AMF198" s="360"/>
      <c r="AMG198" s="360"/>
      <c r="AMH198" s="360"/>
      <c r="AMI198" s="360"/>
      <c r="AMJ198" s="360"/>
      <c r="AMK198" s="360"/>
      <c r="AML198" s="360"/>
      <c r="AMM198" s="360"/>
      <c r="AMN198" s="360"/>
      <c r="AMO198" s="360"/>
      <c r="AMP198" s="360"/>
      <c r="AMQ198" s="360"/>
      <c r="AMR198" s="360"/>
      <c r="AMS198" s="360"/>
      <c r="AMT198" s="360"/>
      <c r="AMU198" s="360"/>
      <c r="AMV198" s="360"/>
      <c r="AMW198" s="360"/>
      <c r="AMX198" s="360"/>
      <c r="AMY198" s="360"/>
      <c r="AMZ198" s="360"/>
      <c r="ANA198" s="360"/>
      <c r="ANB198" s="360"/>
      <c r="ANC198" s="360"/>
      <c r="AND198" s="360"/>
      <c r="ANE198" s="360"/>
      <c r="ANF198" s="360"/>
      <c r="ANG198" s="360"/>
      <c r="ANH198" s="360"/>
      <c r="ANI198" s="360"/>
      <c r="ANJ198" s="360"/>
      <c r="ANK198" s="360"/>
      <c r="ANL198" s="360"/>
      <c r="ANM198" s="360"/>
      <c r="ANN198" s="360"/>
      <c r="ANO198" s="360"/>
      <c r="ANP198" s="360"/>
      <c r="ANQ198" s="360"/>
      <c r="ANR198" s="360"/>
      <c r="ANS198" s="360"/>
      <c r="ANT198" s="360"/>
      <c r="ANU198" s="360"/>
      <c r="ANV198" s="360"/>
      <c r="ANW198" s="360"/>
      <c r="ANX198" s="360"/>
      <c r="ANY198" s="360"/>
      <c r="ANZ198" s="360"/>
      <c r="AOA198" s="360"/>
      <c r="AOB198" s="360"/>
      <c r="AOC198" s="360"/>
      <c r="AOD198" s="360"/>
      <c r="AOE198" s="360"/>
      <c r="AOF198" s="360"/>
      <c r="AOG198" s="360"/>
      <c r="AOH198" s="360"/>
      <c r="AOI198" s="360"/>
      <c r="AOJ198" s="360"/>
      <c r="AOK198" s="360"/>
      <c r="AOL198" s="360"/>
      <c r="AOM198" s="360"/>
      <c r="AON198" s="360"/>
      <c r="AOO198" s="360"/>
      <c r="AOP198" s="360"/>
      <c r="AOQ198" s="360"/>
      <c r="AOR198" s="360"/>
      <c r="AOS198" s="360"/>
      <c r="AOT198" s="360"/>
      <c r="AOU198" s="360"/>
      <c r="AOV198" s="360"/>
      <c r="AOW198" s="360"/>
      <c r="AOX198" s="360"/>
      <c r="AOY198" s="360"/>
      <c r="AOZ198" s="360"/>
      <c r="APA198" s="360"/>
      <c r="APB198" s="360"/>
      <c r="APC198" s="360"/>
      <c r="APD198" s="360"/>
      <c r="APE198" s="360"/>
      <c r="APF198" s="360"/>
      <c r="APG198" s="360"/>
      <c r="APH198" s="360"/>
      <c r="API198" s="360"/>
      <c r="APJ198" s="360"/>
      <c r="APK198" s="360"/>
      <c r="APL198" s="360"/>
      <c r="APM198" s="360"/>
      <c r="APN198" s="360"/>
      <c r="APO198" s="360"/>
      <c r="APP198" s="360"/>
      <c r="APQ198" s="360"/>
      <c r="APR198" s="360"/>
      <c r="APS198" s="360"/>
      <c r="APT198" s="360"/>
      <c r="APU198" s="360"/>
      <c r="APV198" s="360"/>
      <c r="APW198" s="360"/>
      <c r="APX198" s="360"/>
      <c r="APY198" s="360"/>
      <c r="APZ198" s="360"/>
      <c r="AQA198" s="360"/>
      <c r="AQB198" s="360"/>
      <c r="AQC198" s="360"/>
      <c r="AQD198" s="360"/>
      <c r="AQE198" s="360"/>
      <c r="AQF198" s="360"/>
      <c r="AQG198" s="360"/>
      <c r="AQH198" s="360"/>
      <c r="AQI198" s="360"/>
      <c r="AQJ198" s="360"/>
      <c r="AQK198" s="360"/>
      <c r="AQL198" s="360"/>
      <c r="AQM198" s="360"/>
      <c r="AQN198" s="360"/>
      <c r="AQO198" s="360"/>
      <c r="AQP198" s="360"/>
      <c r="AQQ198" s="360"/>
      <c r="AQR198" s="360"/>
      <c r="AQS198" s="360"/>
      <c r="AQT198" s="360"/>
      <c r="AQU198" s="360"/>
      <c r="AQV198" s="360"/>
      <c r="AQW198" s="360"/>
      <c r="AQX198" s="360"/>
      <c r="AQY198" s="360"/>
      <c r="AQZ198" s="360"/>
      <c r="ARA198" s="360"/>
      <c r="ARB198" s="360"/>
      <c r="ARC198" s="360"/>
      <c r="ARD198" s="360"/>
      <c r="ARE198" s="360"/>
      <c r="ARF198" s="360"/>
      <c r="ARG198" s="360"/>
      <c r="ARH198" s="360"/>
      <c r="ARI198" s="360"/>
      <c r="ARJ198" s="360"/>
      <c r="ARK198" s="360"/>
      <c r="ARL198" s="360"/>
      <c r="ARM198" s="360"/>
      <c r="ARN198" s="360"/>
      <c r="ARO198" s="360"/>
      <c r="ARP198" s="360"/>
      <c r="ARQ198" s="360"/>
      <c r="ARR198" s="360"/>
      <c r="ARS198" s="360"/>
      <c r="ART198" s="360"/>
      <c r="ARU198" s="360"/>
      <c r="ARV198" s="360"/>
      <c r="ARW198" s="360"/>
      <c r="ARX198" s="360"/>
      <c r="ARY198" s="360"/>
      <c r="ARZ198" s="360"/>
      <c r="ASA198" s="360"/>
      <c r="ASB198" s="360"/>
      <c r="ASC198" s="360"/>
      <c r="ASD198" s="360"/>
      <c r="ASE198" s="360"/>
      <c r="ASF198" s="360"/>
      <c r="ASG198" s="360"/>
      <c r="ASH198" s="360"/>
      <c r="ASI198" s="360"/>
      <c r="ASJ198" s="360"/>
      <c r="ASK198" s="360"/>
      <c r="ASL198" s="360"/>
      <c r="ASM198" s="360"/>
      <c r="ASN198" s="360"/>
      <c r="ASO198" s="360"/>
      <c r="ASP198" s="360"/>
      <c r="ASQ198" s="360"/>
      <c r="ASR198" s="360"/>
      <c r="ASS198" s="360"/>
      <c r="AST198" s="360"/>
      <c r="ASU198" s="360"/>
      <c r="ASV198" s="360"/>
      <c r="ASW198" s="360"/>
      <c r="ASX198" s="360"/>
      <c r="ASY198" s="360"/>
      <c r="ASZ198" s="360"/>
      <c r="ATA198" s="360"/>
      <c r="ATB198" s="360"/>
      <c r="ATC198" s="360"/>
      <c r="ATD198" s="360"/>
      <c r="ATE198" s="360"/>
      <c r="ATF198" s="360"/>
      <c r="ATG198" s="360"/>
      <c r="ATH198" s="360"/>
      <c r="ATI198" s="360"/>
      <c r="ATJ198" s="360"/>
      <c r="ATK198" s="360"/>
      <c r="ATL198" s="360"/>
      <c r="ATM198" s="360"/>
      <c r="ATN198" s="360"/>
      <c r="ATO198" s="360"/>
      <c r="ATP198" s="360"/>
      <c r="ATQ198" s="360"/>
      <c r="ATR198" s="360"/>
      <c r="ATS198" s="360"/>
      <c r="ATT198" s="360"/>
      <c r="ATU198" s="360"/>
      <c r="ATV198" s="360"/>
      <c r="ATW198" s="360"/>
      <c r="ATX198" s="360"/>
      <c r="ATY198" s="360"/>
      <c r="ATZ198" s="360"/>
      <c r="AUA198" s="360"/>
      <c r="AUB198" s="360"/>
      <c r="AUC198" s="360"/>
      <c r="AUD198" s="360"/>
      <c r="AUE198" s="360"/>
      <c r="AUF198" s="360"/>
      <c r="AUG198" s="360"/>
      <c r="AUH198" s="360"/>
      <c r="AUI198" s="360"/>
      <c r="AUJ198" s="360"/>
      <c r="AUK198" s="360"/>
      <c r="AUL198" s="360"/>
      <c r="AUM198" s="360"/>
      <c r="AUN198" s="360"/>
      <c r="AUO198" s="360"/>
      <c r="AUP198" s="360"/>
      <c r="AUQ198" s="360"/>
      <c r="AUR198" s="360"/>
      <c r="AUS198" s="360"/>
      <c r="AUT198" s="360"/>
      <c r="AUU198" s="360"/>
      <c r="AUV198" s="360"/>
      <c r="AUW198" s="360"/>
      <c r="AUX198" s="360"/>
      <c r="AUY198" s="360"/>
      <c r="AUZ198" s="360"/>
      <c r="AVA198" s="360"/>
      <c r="AVB198" s="360"/>
      <c r="AVC198" s="360"/>
      <c r="AVD198" s="360"/>
      <c r="AVE198" s="360"/>
      <c r="AVF198" s="360"/>
      <c r="AVG198" s="360"/>
      <c r="AVH198" s="360"/>
      <c r="AVI198" s="360"/>
      <c r="AVJ198" s="360"/>
      <c r="AVK198" s="360"/>
      <c r="AVL198" s="360"/>
      <c r="AVM198" s="360"/>
      <c r="AVN198" s="360"/>
      <c r="AVO198" s="360"/>
      <c r="AVP198" s="360"/>
      <c r="AVQ198" s="360"/>
      <c r="AVR198" s="360"/>
      <c r="AVS198" s="360"/>
      <c r="AVT198" s="360"/>
      <c r="AVU198" s="360"/>
      <c r="AVV198" s="360"/>
      <c r="AVW198" s="360"/>
      <c r="AVX198" s="360"/>
      <c r="AVY198" s="360"/>
      <c r="AVZ198" s="360"/>
      <c r="AWA198" s="360"/>
      <c r="AWB198" s="360"/>
      <c r="AWC198" s="360"/>
      <c r="AWD198" s="360"/>
      <c r="AWE198" s="360"/>
      <c r="AWF198" s="360"/>
      <c r="AWG198" s="360"/>
      <c r="AWH198" s="360"/>
      <c r="AWI198" s="360"/>
      <c r="AWJ198" s="360"/>
      <c r="AWK198" s="360"/>
      <c r="AWL198" s="360"/>
      <c r="AWM198" s="360"/>
      <c r="AWN198" s="360"/>
      <c r="AWO198" s="360"/>
      <c r="AWP198" s="360"/>
      <c r="AWQ198" s="360"/>
      <c r="AWR198" s="360"/>
      <c r="AWS198" s="360"/>
      <c r="AWT198" s="360"/>
      <c r="AWU198" s="360"/>
      <c r="AWV198" s="360"/>
      <c r="AWW198" s="360"/>
      <c r="AWX198" s="360"/>
      <c r="AWY198" s="360"/>
      <c r="AWZ198" s="360"/>
      <c r="AXA198" s="360"/>
      <c r="AXB198" s="360"/>
      <c r="AXC198" s="360"/>
      <c r="AXD198" s="360"/>
      <c r="AXE198" s="360"/>
      <c r="AXF198" s="360"/>
      <c r="AXG198" s="360"/>
      <c r="AXH198" s="360"/>
      <c r="AXI198" s="360"/>
      <c r="AXJ198" s="360"/>
      <c r="AXK198" s="360"/>
      <c r="AXL198" s="360"/>
      <c r="AXM198" s="360"/>
      <c r="AXN198" s="360"/>
      <c r="AXO198" s="360"/>
      <c r="AXP198" s="360"/>
      <c r="AXQ198" s="360"/>
      <c r="AXR198" s="360"/>
      <c r="AXS198" s="360"/>
      <c r="AXT198" s="360"/>
      <c r="AXU198" s="360"/>
      <c r="AXV198" s="360"/>
      <c r="AXW198" s="360"/>
      <c r="AXX198" s="360"/>
      <c r="AXY198" s="360"/>
      <c r="AXZ198" s="360"/>
      <c r="AYA198" s="360"/>
      <c r="AYB198" s="360"/>
      <c r="AYC198" s="360"/>
      <c r="AYD198" s="360"/>
      <c r="AYE198" s="360"/>
      <c r="AYF198" s="360"/>
      <c r="AYG198" s="360"/>
      <c r="AYH198" s="360"/>
      <c r="AYI198" s="360"/>
      <c r="AYJ198" s="360"/>
      <c r="AYK198" s="360"/>
      <c r="AYL198" s="360"/>
      <c r="AYM198" s="360"/>
      <c r="AYN198" s="360"/>
      <c r="AYO198" s="360"/>
      <c r="AYP198" s="360"/>
      <c r="AYQ198" s="360"/>
      <c r="AYR198" s="360"/>
      <c r="AYS198" s="360"/>
      <c r="AYT198" s="360"/>
      <c r="AYU198" s="360"/>
      <c r="AYV198" s="360"/>
      <c r="AYW198" s="360"/>
      <c r="AYX198" s="360"/>
      <c r="AYY198" s="360"/>
      <c r="AYZ198" s="360"/>
      <c r="AZA198" s="360"/>
      <c r="AZB198" s="360"/>
      <c r="AZC198" s="360"/>
      <c r="AZD198" s="360"/>
      <c r="AZE198" s="360"/>
      <c r="AZF198" s="360"/>
      <c r="AZG198" s="360"/>
      <c r="AZH198" s="360"/>
      <c r="AZI198" s="360"/>
      <c r="AZJ198" s="360"/>
      <c r="AZK198" s="360"/>
      <c r="AZL198" s="360"/>
      <c r="AZM198" s="360"/>
      <c r="AZN198" s="360"/>
      <c r="AZO198" s="360"/>
      <c r="AZP198" s="360"/>
      <c r="AZQ198" s="360"/>
      <c r="AZR198" s="360"/>
      <c r="AZS198" s="360"/>
      <c r="AZT198" s="360"/>
      <c r="AZU198" s="360"/>
      <c r="AZV198" s="360"/>
      <c r="AZW198" s="360"/>
      <c r="AZX198" s="360"/>
      <c r="AZY198" s="360"/>
      <c r="AZZ198" s="360"/>
      <c r="BAA198" s="360"/>
      <c r="BAB198" s="360"/>
      <c r="BAC198" s="360"/>
      <c r="BAD198" s="360"/>
      <c r="BAE198" s="360"/>
      <c r="BAF198" s="360"/>
      <c r="BAG198" s="360"/>
      <c r="BAH198" s="360"/>
      <c r="BAI198" s="360"/>
      <c r="BAJ198" s="360"/>
      <c r="BAK198" s="360"/>
      <c r="BAL198" s="360"/>
      <c r="BAM198" s="360"/>
      <c r="BAN198" s="360"/>
      <c r="BAO198" s="360"/>
      <c r="BAP198" s="360"/>
      <c r="BAQ198" s="360"/>
      <c r="BAR198" s="360"/>
      <c r="BAS198" s="360"/>
      <c r="BAT198" s="360"/>
      <c r="BAU198" s="360"/>
      <c r="BAV198" s="360"/>
      <c r="BAW198" s="360"/>
      <c r="BAX198" s="360"/>
      <c r="BAY198" s="360"/>
      <c r="BAZ198" s="360"/>
      <c r="BBA198" s="360"/>
      <c r="BBB198" s="360"/>
      <c r="BBC198" s="360"/>
      <c r="BBD198" s="360"/>
      <c r="BBE198" s="360"/>
      <c r="BBF198" s="360"/>
      <c r="BBG198" s="360"/>
      <c r="BBH198" s="360"/>
      <c r="BBI198" s="360"/>
      <c r="BBJ198" s="360"/>
      <c r="BBK198" s="360"/>
      <c r="BBL198" s="360"/>
      <c r="BBM198" s="360"/>
      <c r="BBN198" s="360"/>
      <c r="BBO198" s="360"/>
      <c r="BBP198" s="360"/>
      <c r="BBQ198" s="360"/>
      <c r="BBR198" s="360"/>
      <c r="BBS198" s="360"/>
      <c r="BBT198" s="360"/>
      <c r="BBU198" s="360"/>
      <c r="BBV198" s="360"/>
      <c r="BBW198" s="360"/>
      <c r="BBX198" s="360"/>
      <c r="BBY198" s="360"/>
      <c r="BBZ198" s="360"/>
      <c r="BCA198" s="360"/>
      <c r="BCB198" s="360"/>
      <c r="BCC198" s="360"/>
      <c r="BCD198" s="360"/>
      <c r="BCE198" s="360"/>
      <c r="BCF198" s="360"/>
      <c r="BCG198" s="360"/>
      <c r="BCH198" s="360"/>
      <c r="BCI198" s="360"/>
      <c r="BCJ198" s="360"/>
      <c r="BCK198" s="360"/>
      <c r="BCL198" s="360"/>
      <c r="BCM198" s="360"/>
      <c r="BCN198" s="360"/>
      <c r="BCO198" s="360"/>
      <c r="BCP198" s="360"/>
      <c r="BCQ198" s="360"/>
      <c r="BCR198" s="360"/>
      <c r="BCS198" s="360"/>
      <c r="BCT198" s="360"/>
      <c r="BCU198" s="360"/>
      <c r="BCV198" s="360"/>
      <c r="BCW198" s="360"/>
      <c r="BCX198" s="360"/>
      <c r="BCY198" s="360"/>
      <c r="BCZ198" s="360"/>
      <c r="BDA198" s="360"/>
      <c r="BDB198" s="360"/>
      <c r="BDC198" s="360"/>
      <c r="BDD198" s="360"/>
      <c r="BDE198" s="360"/>
      <c r="BDF198" s="360"/>
      <c r="BDG198" s="360"/>
      <c r="BDH198" s="360"/>
      <c r="BDI198" s="360"/>
      <c r="BDJ198" s="360"/>
      <c r="BDK198" s="360"/>
      <c r="BDL198" s="360"/>
      <c r="BDM198" s="360"/>
      <c r="BDN198" s="360"/>
      <c r="BDO198" s="360"/>
      <c r="BDP198" s="360"/>
      <c r="BDQ198" s="360"/>
      <c r="BDR198" s="360"/>
      <c r="BDS198" s="360"/>
      <c r="BDT198" s="360"/>
      <c r="BDU198" s="360"/>
      <c r="BDV198" s="360"/>
      <c r="BDW198" s="360"/>
      <c r="BDX198" s="360"/>
      <c r="BDY198" s="360"/>
      <c r="BDZ198" s="360"/>
      <c r="BEA198" s="360"/>
      <c r="BEB198" s="360"/>
      <c r="BEC198" s="360"/>
      <c r="BED198" s="360"/>
      <c r="BEE198" s="360"/>
      <c r="BEF198" s="360"/>
      <c r="BEG198" s="360"/>
      <c r="BEH198" s="360"/>
      <c r="BEI198" s="360"/>
      <c r="BEJ198" s="360"/>
      <c r="BEK198" s="360"/>
      <c r="BEL198" s="360"/>
      <c r="BEM198" s="360"/>
      <c r="BEN198" s="360"/>
      <c r="BEO198" s="360"/>
      <c r="BEP198" s="360"/>
      <c r="BEQ198" s="360"/>
      <c r="BER198" s="360"/>
      <c r="BES198" s="360"/>
      <c r="BET198" s="360"/>
      <c r="BEU198" s="360"/>
      <c r="BEV198" s="360"/>
      <c r="BEW198" s="360"/>
      <c r="BEX198" s="360"/>
      <c r="BEY198" s="360"/>
      <c r="BEZ198" s="360"/>
      <c r="BFA198" s="360"/>
      <c r="BFB198" s="360"/>
      <c r="BFC198" s="360"/>
      <c r="BFD198" s="360"/>
      <c r="BFE198" s="360"/>
      <c r="BFF198" s="360"/>
      <c r="BFG198" s="360"/>
      <c r="BFH198" s="360"/>
      <c r="BFI198" s="360"/>
      <c r="BFJ198" s="360"/>
      <c r="BFK198" s="360"/>
      <c r="BFL198" s="360"/>
      <c r="BFM198" s="360"/>
      <c r="BFN198" s="360"/>
      <c r="BFO198" s="360"/>
      <c r="BFP198" s="360"/>
      <c r="BFQ198" s="360"/>
      <c r="BFR198" s="360"/>
      <c r="BFS198" s="360"/>
      <c r="BFT198" s="360"/>
      <c r="BFU198" s="360"/>
      <c r="BFV198" s="360"/>
      <c r="BFW198" s="360"/>
      <c r="BFX198" s="360"/>
      <c r="BFY198" s="360"/>
      <c r="BFZ198" s="360"/>
      <c r="BGA198" s="360"/>
      <c r="BGB198" s="360"/>
      <c r="BGC198" s="360"/>
      <c r="BGD198" s="360"/>
      <c r="BGE198" s="360"/>
      <c r="BGF198" s="360"/>
      <c r="BGG198" s="360"/>
      <c r="BGH198" s="360"/>
      <c r="BGI198" s="360"/>
      <c r="BGJ198" s="360"/>
      <c r="BGK198" s="360"/>
      <c r="BGL198" s="360"/>
      <c r="BGM198" s="360"/>
      <c r="BGN198" s="360"/>
      <c r="BGO198" s="360"/>
      <c r="BGP198" s="360"/>
      <c r="BGQ198" s="360"/>
      <c r="BGR198" s="360"/>
      <c r="BGS198" s="360"/>
      <c r="BGT198" s="360"/>
      <c r="BGU198" s="360"/>
      <c r="BGV198" s="360"/>
      <c r="BGW198" s="360"/>
      <c r="BGX198" s="360"/>
      <c r="BGY198" s="360"/>
      <c r="BGZ198" s="360"/>
      <c r="BHA198" s="360"/>
      <c r="BHB198" s="360"/>
      <c r="BHC198" s="360"/>
      <c r="BHD198" s="360"/>
      <c r="BHE198" s="360"/>
      <c r="BHF198" s="360"/>
      <c r="BHG198" s="360"/>
      <c r="BHH198" s="360"/>
      <c r="BHI198" s="360"/>
      <c r="BHJ198" s="360"/>
      <c r="BHK198" s="360"/>
      <c r="BHL198" s="360"/>
      <c r="BHM198" s="360"/>
      <c r="BHN198" s="360"/>
      <c r="BHO198" s="360"/>
      <c r="BHP198" s="360"/>
      <c r="BHQ198" s="360"/>
      <c r="BHR198" s="360"/>
      <c r="BHS198" s="360"/>
      <c r="BHT198" s="360"/>
      <c r="BHU198" s="360"/>
      <c r="BHV198" s="360"/>
      <c r="BHW198" s="360"/>
      <c r="BHX198" s="360"/>
      <c r="BHY198" s="360"/>
      <c r="BHZ198" s="360"/>
      <c r="BIA198" s="360"/>
      <c r="BIB198" s="360"/>
      <c r="BIC198" s="360"/>
      <c r="BID198" s="360"/>
      <c r="BIE198" s="360"/>
      <c r="BIF198" s="360"/>
      <c r="BIG198" s="360"/>
      <c r="BIH198" s="360"/>
      <c r="BII198" s="360"/>
      <c r="BIJ198" s="360"/>
      <c r="BIK198" s="360"/>
      <c r="BIL198" s="360"/>
      <c r="BIM198" s="360"/>
      <c r="BIN198" s="360"/>
      <c r="BIO198" s="360"/>
      <c r="BIP198" s="360"/>
      <c r="BIQ198" s="360"/>
      <c r="BIR198" s="360"/>
      <c r="BIS198" s="360"/>
      <c r="BIT198" s="360"/>
      <c r="BIU198" s="360"/>
      <c r="BIV198" s="360"/>
      <c r="BIW198" s="360"/>
      <c r="BIX198" s="360"/>
      <c r="BIY198" s="360"/>
      <c r="BIZ198" s="360"/>
      <c r="BJA198" s="360"/>
      <c r="BJB198" s="360"/>
      <c r="BJC198" s="360"/>
      <c r="BJD198" s="360"/>
      <c r="BJE198" s="360"/>
      <c r="BJF198" s="360"/>
      <c r="BJG198" s="360"/>
      <c r="BJH198" s="360"/>
      <c r="BJI198" s="360"/>
      <c r="BJJ198" s="360"/>
      <c r="BJK198" s="360"/>
      <c r="BJL198" s="360"/>
      <c r="BJM198" s="360"/>
      <c r="BJN198" s="360"/>
      <c r="BJO198" s="360"/>
      <c r="BJP198" s="360"/>
      <c r="BJQ198" s="360"/>
      <c r="BJR198" s="360"/>
      <c r="BJS198" s="360"/>
      <c r="BJT198" s="360"/>
      <c r="BJU198" s="360"/>
      <c r="BJV198" s="360"/>
      <c r="BJW198" s="360"/>
      <c r="BJX198" s="360"/>
      <c r="BJY198" s="360"/>
      <c r="BJZ198" s="360"/>
      <c r="BKA198" s="360"/>
      <c r="BKB198" s="360"/>
      <c r="BKC198" s="360"/>
      <c r="BKD198" s="360"/>
      <c r="BKE198" s="360"/>
      <c r="BKF198" s="360"/>
      <c r="BKG198" s="360"/>
      <c r="BKH198" s="360"/>
      <c r="BKI198" s="360"/>
      <c r="BKJ198" s="360"/>
      <c r="BKK198" s="360"/>
      <c r="BKL198" s="360"/>
      <c r="BKM198" s="360"/>
      <c r="BKN198" s="360"/>
      <c r="BKO198" s="360"/>
      <c r="BKP198" s="360"/>
      <c r="BKQ198" s="360"/>
      <c r="BKR198" s="360"/>
      <c r="BKS198" s="360"/>
      <c r="BKT198" s="360"/>
      <c r="BKU198" s="360"/>
      <c r="BKV198" s="360"/>
      <c r="BKW198" s="360"/>
      <c r="BKX198" s="360"/>
      <c r="BKY198" s="360"/>
      <c r="BKZ198" s="360"/>
      <c r="BLA198" s="360"/>
      <c r="BLB198" s="360"/>
      <c r="BLC198" s="360"/>
      <c r="BLD198" s="360"/>
      <c r="BLE198" s="360"/>
      <c r="BLF198" s="360"/>
      <c r="BLG198" s="360"/>
      <c r="BLH198" s="360"/>
      <c r="BLI198" s="360"/>
      <c r="BLJ198" s="360"/>
      <c r="BLK198" s="360"/>
      <c r="BLL198" s="360"/>
      <c r="BLM198" s="360"/>
      <c r="BLN198" s="360"/>
      <c r="BLO198" s="360"/>
      <c r="BLP198" s="360"/>
      <c r="BLQ198" s="360"/>
      <c r="BLR198" s="360"/>
      <c r="BLS198" s="360"/>
      <c r="BLT198" s="360"/>
      <c r="BLU198" s="360"/>
      <c r="BLV198" s="360"/>
      <c r="BLW198" s="360"/>
      <c r="BLX198" s="360"/>
      <c r="BLY198" s="360"/>
      <c r="BLZ198" s="360"/>
      <c r="BMA198" s="360"/>
      <c r="BMB198" s="360"/>
      <c r="BMC198" s="360"/>
      <c r="BMD198" s="360"/>
      <c r="BME198" s="360"/>
      <c r="BMF198" s="360"/>
      <c r="BMG198" s="360"/>
      <c r="BMH198" s="360"/>
      <c r="BMI198" s="360"/>
      <c r="BMJ198" s="360"/>
      <c r="BMK198" s="360"/>
      <c r="BML198" s="360"/>
      <c r="BMM198" s="360"/>
      <c r="BMN198" s="360"/>
      <c r="BMO198" s="360"/>
      <c r="BMP198" s="360"/>
      <c r="BMQ198" s="360"/>
      <c r="BMR198" s="360"/>
      <c r="BMS198" s="360"/>
      <c r="BMT198" s="360"/>
      <c r="BMU198" s="360"/>
      <c r="BMV198" s="360"/>
      <c r="BMW198" s="360"/>
      <c r="BMX198" s="360"/>
      <c r="BMY198" s="360"/>
      <c r="BMZ198" s="360"/>
      <c r="BNA198" s="360"/>
      <c r="BNB198" s="360"/>
      <c r="BNC198" s="360"/>
      <c r="BND198" s="360"/>
      <c r="BNE198" s="360"/>
      <c r="BNF198" s="360"/>
      <c r="BNG198" s="360"/>
      <c r="BNH198" s="360"/>
      <c r="BNI198" s="360"/>
      <c r="BNJ198" s="360"/>
      <c r="BNK198" s="360"/>
      <c r="BNL198" s="360"/>
      <c r="BNM198" s="360"/>
      <c r="BNN198" s="360"/>
      <c r="BNO198" s="360"/>
      <c r="BNP198" s="360"/>
      <c r="BNQ198" s="360"/>
      <c r="BNR198" s="360"/>
      <c r="BNS198" s="360"/>
      <c r="BNT198" s="360"/>
      <c r="BNU198" s="360"/>
      <c r="BNV198" s="360"/>
      <c r="BNW198" s="360"/>
      <c r="BNX198" s="360"/>
      <c r="BNY198" s="360"/>
      <c r="BNZ198" s="360"/>
      <c r="BOA198" s="360"/>
      <c r="BOB198" s="360"/>
      <c r="BOC198" s="360"/>
      <c r="BOD198" s="360"/>
      <c r="BOE198" s="360"/>
      <c r="BOF198" s="360"/>
      <c r="BOG198" s="360"/>
      <c r="BOH198" s="360"/>
      <c r="BOI198" s="360"/>
      <c r="BOJ198" s="360"/>
      <c r="BOK198" s="360"/>
      <c r="BOL198" s="360"/>
      <c r="BOM198" s="360"/>
      <c r="BON198" s="360"/>
      <c r="BOO198" s="360"/>
      <c r="BOP198" s="360"/>
      <c r="BOQ198" s="360"/>
      <c r="BOR198" s="360"/>
      <c r="BOS198" s="360"/>
      <c r="BOT198" s="360"/>
      <c r="BOU198" s="360"/>
      <c r="BOV198" s="360"/>
      <c r="BOW198" s="360"/>
      <c r="BOX198" s="360"/>
      <c r="BOY198" s="360"/>
      <c r="BOZ198" s="360"/>
      <c r="BPA198" s="360"/>
      <c r="BPB198" s="360"/>
      <c r="BPC198" s="360"/>
      <c r="BPD198" s="360"/>
      <c r="BPE198" s="360"/>
      <c r="BPF198" s="360"/>
      <c r="BPG198" s="360"/>
      <c r="BPH198" s="360"/>
      <c r="BPI198" s="360"/>
      <c r="BPJ198" s="360"/>
      <c r="BPK198" s="360"/>
      <c r="BPL198" s="360"/>
      <c r="BPM198" s="360"/>
      <c r="BPN198" s="360"/>
      <c r="BPO198" s="360"/>
      <c r="BPP198" s="360"/>
      <c r="BPQ198" s="360"/>
      <c r="BPR198" s="360"/>
      <c r="BPS198" s="360"/>
      <c r="BPT198" s="360"/>
      <c r="BPU198" s="360"/>
      <c r="BPV198" s="360"/>
      <c r="BPW198" s="360"/>
      <c r="BPX198" s="360"/>
      <c r="BPY198" s="360"/>
      <c r="BPZ198" s="360"/>
      <c r="BQA198" s="360"/>
      <c r="BQB198" s="360"/>
      <c r="BQC198" s="360"/>
      <c r="BQD198" s="360"/>
      <c r="BQE198" s="360"/>
      <c r="BQF198" s="360"/>
      <c r="BQG198" s="360"/>
      <c r="BQH198" s="360"/>
      <c r="BQI198" s="360"/>
      <c r="BQJ198" s="360"/>
      <c r="BQK198" s="360"/>
      <c r="BQL198" s="360"/>
      <c r="BQM198" s="360"/>
      <c r="BQN198" s="360"/>
      <c r="BQO198" s="360"/>
      <c r="BQP198" s="360"/>
      <c r="BQQ198" s="360"/>
      <c r="BQR198" s="360"/>
      <c r="BQS198" s="360"/>
      <c r="BQT198" s="360"/>
      <c r="BQU198" s="360"/>
      <c r="BQV198" s="360"/>
      <c r="BQW198" s="360"/>
      <c r="BQX198" s="360"/>
      <c r="BQY198" s="360"/>
      <c r="BQZ198" s="360"/>
      <c r="BRA198" s="360"/>
      <c r="BRB198" s="360"/>
      <c r="BRC198" s="360"/>
      <c r="BRD198" s="360"/>
      <c r="BRE198" s="360"/>
      <c r="BRF198" s="360"/>
      <c r="BRG198" s="360"/>
      <c r="BRH198" s="360"/>
      <c r="BRI198" s="360"/>
      <c r="BRJ198" s="360"/>
      <c r="BRK198" s="360"/>
      <c r="BRL198" s="360"/>
      <c r="BRM198" s="360"/>
      <c r="BRN198" s="360"/>
      <c r="BRO198" s="360"/>
      <c r="BRP198" s="360"/>
      <c r="BRQ198" s="360"/>
      <c r="BRR198" s="360"/>
      <c r="BRS198" s="360"/>
      <c r="BRT198" s="360"/>
      <c r="BRU198" s="360"/>
      <c r="BRV198" s="360"/>
      <c r="BRW198" s="360"/>
      <c r="BRX198" s="360"/>
      <c r="BRY198" s="360"/>
      <c r="BRZ198" s="360"/>
      <c r="BSA198" s="360"/>
      <c r="BSB198" s="360"/>
      <c r="BSC198" s="360"/>
      <c r="BSD198" s="360"/>
      <c r="BSE198" s="360"/>
      <c r="BSF198" s="360"/>
      <c r="BSG198" s="360"/>
      <c r="BSH198" s="360"/>
      <c r="BSI198" s="360"/>
      <c r="BSJ198" s="360"/>
      <c r="BSK198" s="360"/>
      <c r="BSL198" s="360"/>
      <c r="BSM198" s="360"/>
      <c r="BSN198" s="360"/>
      <c r="BSO198" s="360"/>
      <c r="BSP198" s="360"/>
      <c r="BSQ198" s="360"/>
      <c r="BSR198" s="360"/>
      <c r="BSS198" s="360"/>
      <c r="BST198" s="360"/>
      <c r="BSU198" s="360"/>
      <c r="BSV198" s="360"/>
      <c r="BSW198" s="360"/>
      <c r="BSX198" s="360"/>
      <c r="BSY198" s="360"/>
      <c r="BSZ198" s="360"/>
      <c r="BTA198" s="360"/>
      <c r="BTB198" s="360"/>
      <c r="BTC198" s="360"/>
      <c r="BTD198" s="360"/>
      <c r="BTE198" s="360"/>
      <c r="BTF198" s="360"/>
      <c r="BTG198" s="360"/>
      <c r="BTH198" s="360"/>
      <c r="BTI198" s="360"/>
      <c r="BTJ198" s="360"/>
      <c r="BTK198" s="360"/>
      <c r="BTL198" s="360"/>
      <c r="BTM198" s="360"/>
      <c r="BTN198" s="360"/>
      <c r="BTO198" s="360"/>
      <c r="BTP198" s="360"/>
      <c r="BTQ198" s="360"/>
      <c r="BTR198" s="360"/>
      <c r="BTS198" s="360"/>
      <c r="BTT198" s="360"/>
      <c r="BTU198" s="360"/>
      <c r="BTV198" s="360"/>
      <c r="BTW198" s="360"/>
      <c r="BTX198" s="360"/>
      <c r="BTY198" s="360"/>
      <c r="BTZ198" s="360"/>
      <c r="BUA198" s="360"/>
      <c r="BUB198" s="360"/>
      <c r="BUC198" s="360"/>
      <c r="BUD198" s="360"/>
      <c r="BUE198" s="360"/>
      <c r="BUF198" s="360"/>
      <c r="BUG198" s="360"/>
      <c r="BUH198" s="360"/>
      <c r="BUI198" s="360"/>
      <c r="BUJ198" s="360"/>
      <c r="BUK198" s="360"/>
      <c r="BUL198" s="360"/>
      <c r="BUM198" s="360"/>
      <c r="BUN198" s="360"/>
      <c r="BUO198" s="360"/>
      <c r="BUP198" s="360"/>
      <c r="BUQ198" s="360"/>
      <c r="BUR198" s="360"/>
      <c r="BUS198" s="360"/>
      <c r="BUT198" s="360"/>
      <c r="BUU198" s="360"/>
      <c r="BUV198" s="360"/>
      <c r="BUW198" s="360"/>
      <c r="BUX198" s="360"/>
      <c r="BUY198" s="360"/>
      <c r="BUZ198" s="360"/>
      <c r="BVA198" s="360"/>
      <c r="BVB198" s="360"/>
      <c r="BVC198" s="360"/>
      <c r="BVD198" s="360"/>
      <c r="BVE198" s="360"/>
      <c r="BVF198" s="360"/>
      <c r="BVG198" s="360"/>
      <c r="BVH198" s="360"/>
      <c r="BVI198" s="360"/>
      <c r="BVJ198" s="360"/>
      <c r="BVK198" s="360"/>
      <c r="BVL198" s="360"/>
      <c r="BVM198" s="360"/>
      <c r="BVN198" s="360"/>
      <c r="BVO198" s="360"/>
      <c r="BVP198" s="360"/>
      <c r="BVQ198" s="360"/>
      <c r="BVR198" s="360"/>
      <c r="BVS198" s="360"/>
      <c r="BVT198" s="360"/>
      <c r="BVU198" s="360"/>
      <c r="BVV198" s="360"/>
      <c r="BVW198" s="360"/>
      <c r="BVX198" s="360"/>
      <c r="BVY198" s="360"/>
      <c r="BVZ198" s="360"/>
      <c r="BWA198" s="360"/>
      <c r="BWB198" s="360"/>
      <c r="BWC198" s="360"/>
      <c r="BWD198" s="360"/>
      <c r="BWE198" s="360"/>
      <c r="BWF198" s="360"/>
      <c r="BWG198" s="360"/>
      <c r="BWH198" s="360"/>
      <c r="BWI198" s="360"/>
      <c r="BWJ198" s="360"/>
      <c r="BWK198" s="360"/>
      <c r="BWL198" s="360"/>
      <c r="BWM198" s="360"/>
      <c r="BWN198" s="360"/>
      <c r="BWO198" s="360"/>
      <c r="BWP198" s="360"/>
      <c r="BWQ198" s="360"/>
      <c r="BWR198" s="360"/>
      <c r="BWS198" s="360"/>
      <c r="BWT198" s="360"/>
      <c r="BWU198" s="360"/>
      <c r="BWV198" s="360"/>
      <c r="BWW198" s="360"/>
      <c r="BWX198" s="360"/>
      <c r="BWY198" s="360"/>
      <c r="BWZ198" s="360"/>
      <c r="BXA198" s="360"/>
      <c r="BXB198" s="360"/>
      <c r="BXC198" s="360"/>
      <c r="BXD198" s="360"/>
      <c r="BXE198" s="360"/>
      <c r="BXF198" s="360"/>
      <c r="BXG198" s="360"/>
      <c r="BXH198" s="360"/>
      <c r="BXI198" s="360"/>
      <c r="BXJ198" s="360"/>
      <c r="BXK198" s="360"/>
      <c r="BXL198" s="360"/>
      <c r="BXM198" s="360"/>
      <c r="BXN198" s="360"/>
      <c r="BXO198" s="360"/>
      <c r="BXP198" s="360"/>
      <c r="BXQ198" s="360"/>
      <c r="BXR198" s="360"/>
      <c r="BXS198" s="360"/>
      <c r="BXT198" s="360"/>
      <c r="BXU198" s="360"/>
      <c r="BXV198" s="360"/>
      <c r="BXW198" s="360"/>
      <c r="BXX198" s="360"/>
      <c r="BXY198" s="360"/>
      <c r="BXZ198" s="360"/>
      <c r="BYA198" s="360"/>
      <c r="BYB198" s="360"/>
      <c r="BYC198" s="360"/>
      <c r="BYD198" s="360"/>
      <c r="BYE198" s="360"/>
      <c r="BYF198" s="360"/>
      <c r="BYG198" s="360"/>
      <c r="BYH198" s="360"/>
      <c r="BYI198" s="360"/>
      <c r="BYJ198" s="360"/>
      <c r="BYK198" s="360"/>
      <c r="BYL198" s="360"/>
      <c r="BYM198" s="360"/>
      <c r="BYN198" s="360"/>
      <c r="BYO198" s="360"/>
      <c r="BYP198" s="360"/>
      <c r="BYQ198" s="360"/>
      <c r="BYR198" s="360"/>
      <c r="BYS198" s="360"/>
      <c r="BYT198" s="360"/>
      <c r="BYU198" s="360"/>
      <c r="BYV198" s="360"/>
      <c r="BYW198" s="360"/>
      <c r="BYX198" s="360"/>
      <c r="BYY198" s="360"/>
      <c r="BYZ198" s="360"/>
      <c r="BZA198" s="360"/>
      <c r="BZB198" s="360"/>
      <c r="BZC198" s="360"/>
      <c r="BZD198" s="360"/>
      <c r="BZE198" s="360"/>
      <c r="BZF198" s="360"/>
      <c r="BZG198" s="360"/>
      <c r="BZH198" s="360"/>
      <c r="BZI198" s="360"/>
      <c r="BZJ198" s="360"/>
      <c r="BZK198" s="360"/>
      <c r="BZL198" s="360"/>
      <c r="BZM198" s="360"/>
      <c r="BZN198" s="360"/>
      <c r="BZO198" s="360"/>
      <c r="BZP198" s="360"/>
      <c r="BZQ198" s="360"/>
      <c r="BZR198" s="360"/>
      <c r="BZS198" s="360"/>
      <c r="BZT198" s="360"/>
      <c r="BZU198" s="360"/>
      <c r="BZV198" s="360"/>
      <c r="BZW198" s="360"/>
      <c r="BZX198" s="360"/>
      <c r="BZY198" s="360"/>
      <c r="BZZ198" s="360"/>
      <c r="CAA198" s="360"/>
      <c r="CAB198" s="360"/>
      <c r="CAC198" s="360"/>
      <c r="CAD198" s="360"/>
      <c r="CAE198" s="360"/>
      <c r="CAF198" s="360"/>
      <c r="CAG198" s="360"/>
      <c r="CAH198" s="360"/>
      <c r="CAI198" s="360"/>
      <c r="CAJ198" s="360"/>
      <c r="CAK198" s="360"/>
      <c r="CAL198" s="360"/>
      <c r="CAM198" s="360"/>
      <c r="CAN198" s="360"/>
      <c r="CAO198" s="360"/>
      <c r="CAP198" s="360"/>
      <c r="CAQ198" s="360"/>
      <c r="CAR198" s="360"/>
      <c r="CAS198" s="360"/>
      <c r="CAT198" s="360"/>
      <c r="CAU198" s="360"/>
      <c r="CAV198" s="360"/>
      <c r="CAW198" s="360"/>
      <c r="CAX198" s="360"/>
      <c r="CAY198" s="360"/>
      <c r="CAZ198" s="360"/>
      <c r="CBA198" s="360"/>
      <c r="CBB198" s="360"/>
      <c r="CBC198" s="360"/>
      <c r="CBD198" s="360"/>
      <c r="CBE198" s="360"/>
      <c r="CBF198" s="360"/>
      <c r="CBG198" s="360"/>
      <c r="CBH198" s="360"/>
      <c r="CBI198" s="360"/>
      <c r="CBJ198" s="360"/>
      <c r="CBK198" s="360"/>
      <c r="CBL198" s="360"/>
      <c r="CBM198" s="360"/>
      <c r="CBN198" s="360"/>
      <c r="CBO198" s="360"/>
      <c r="CBP198" s="360"/>
      <c r="CBQ198" s="360"/>
      <c r="CBR198" s="360"/>
      <c r="CBS198" s="360"/>
      <c r="CBT198" s="360"/>
      <c r="CBU198" s="360"/>
      <c r="CBV198" s="360"/>
      <c r="CBW198" s="360"/>
      <c r="CBX198" s="360"/>
      <c r="CBY198" s="360"/>
      <c r="CBZ198" s="360"/>
      <c r="CCA198" s="360"/>
      <c r="CCB198" s="360"/>
      <c r="CCC198" s="360"/>
      <c r="CCD198" s="360"/>
      <c r="CCE198" s="360"/>
      <c r="CCF198" s="360"/>
      <c r="CCG198" s="360"/>
      <c r="CCH198" s="360"/>
      <c r="CCI198" s="360"/>
      <c r="CCJ198" s="360"/>
      <c r="CCK198" s="360"/>
      <c r="CCL198" s="360"/>
      <c r="CCM198" s="360"/>
      <c r="CCN198" s="360"/>
      <c r="CCO198" s="360"/>
      <c r="CCP198" s="360"/>
      <c r="CCQ198" s="360"/>
      <c r="CCR198" s="360"/>
      <c r="CCS198" s="360"/>
      <c r="CCT198" s="360"/>
      <c r="CCU198" s="360"/>
      <c r="CCV198" s="360"/>
      <c r="CCW198" s="360"/>
      <c r="CCX198" s="360"/>
      <c r="CCY198" s="360"/>
      <c r="CCZ198" s="360"/>
      <c r="CDA198" s="360"/>
      <c r="CDB198" s="360"/>
      <c r="CDC198" s="360"/>
      <c r="CDD198" s="360"/>
      <c r="CDE198" s="360"/>
      <c r="CDF198" s="360"/>
      <c r="CDG198" s="360"/>
      <c r="CDH198" s="360"/>
      <c r="CDI198" s="360"/>
      <c r="CDJ198" s="360"/>
      <c r="CDK198" s="360"/>
      <c r="CDL198" s="360"/>
      <c r="CDM198" s="360"/>
      <c r="CDN198" s="360"/>
      <c r="CDO198" s="360"/>
      <c r="CDP198" s="360"/>
      <c r="CDQ198" s="360"/>
      <c r="CDR198" s="360"/>
      <c r="CDS198" s="360"/>
      <c r="CDT198" s="360"/>
      <c r="CDU198" s="360"/>
      <c r="CDV198" s="360"/>
      <c r="CDW198" s="360"/>
      <c r="CDX198" s="360"/>
      <c r="CDY198" s="360"/>
      <c r="CDZ198" s="360"/>
      <c r="CEA198" s="360"/>
      <c r="CEB198" s="360"/>
      <c r="CEC198" s="360"/>
      <c r="CED198" s="360"/>
      <c r="CEE198" s="360"/>
      <c r="CEF198" s="360"/>
      <c r="CEG198" s="360"/>
      <c r="CEH198" s="360"/>
      <c r="CEI198" s="360"/>
      <c r="CEJ198" s="360"/>
      <c r="CEK198" s="360"/>
      <c r="CEL198" s="360"/>
      <c r="CEM198" s="360"/>
      <c r="CEN198" s="360"/>
      <c r="CEO198" s="360"/>
      <c r="CEP198" s="360"/>
      <c r="CEQ198" s="360"/>
      <c r="CER198" s="360"/>
      <c r="CES198" s="360"/>
      <c r="CET198" s="360"/>
      <c r="CEU198" s="360"/>
      <c r="CEV198" s="360"/>
      <c r="CEW198" s="360"/>
      <c r="CEX198" s="360"/>
      <c r="CEY198" s="360"/>
      <c r="CEZ198" s="360"/>
      <c r="CFA198" s="360"/>
      <c r="CFB198" s="360"/>
      <c r="CFC198" s="360"/>
      <c r="CFD198" s="360"/>
      <c r="CFE198" s="360"/>
      <c r="CFF198" s="360"/>
      <c r="CFG198" s="360"/>
      <c r="CFH198" s="360"/>
      <c r="CFI198" s="360"/>
      <c r="CFJ198" s="360"/>
      <c r="CFK198" s="360"/>
      <c r="CFL198" s="360"/>
      <c r="CFM198" s="360"/>
      <c r="CFN198" s="360"/>
      <c r="CFO198" s="360"/>
      <c r="CFP198" s="360"/>
      <c r="CFQ198" s="360"/>
      <c r="CFR198" s="360"/>
      <c r="CFS198" s="360"/>
      <c r="CFT198" s="360"/>
      <c r="CFU198" s="360"/>
      <c r="CFV198" s="360"/>
      <c r="CFW198" s="360"/>
      <c r="CFX198" s="360"/>
      <c r="CFY198" s="360"/>
      <c r="CFZ198" s="360"/>
      <c r="CGA198" s="360"/>
      <c r="CGB198" s="360"/>
      <c r="CGC198" s="360"/>
      <c r="CGD198" s="360"/>
      <c r="CGE198" s="360"/>
      <c r="CGF198" s="360"/>
      <c r="CGG198" s="360"/>
      <c r="CGH198" s="360"/>
      <c r="CGI198" s="360"/>
      <c r="CGJ198" s="360"/>
      <c r="CGK198" s="360"/>
      <c r="CGL198" s="360"/>
      <c r="CGM198" s="360"/>
      <c r="CGN198" s="360"/>
      <c r="CGO198" s="360"/>
      <c r="CGP198" s="360"/>
      <c r="CGQ198" s="360"/>
      <c r="CGR198" s="360"/>
      <c r="CGS198" s="360"/>
      <c r="CGT198" s="360"/>
      <c r="CGU198" s="360"/>
      <c r="CGV198" s="360"/>
      <c r="CGW198" s="360"/>
      <c r="CGX198" s="360"/>
      <c r="CGY198" s="360"/>
      <c r="CGZ198" s="360"/>
      <c r="CHA198" s="360"/>
      <c r="CHB198" s="360"/>
      <c r="CHC198" s="360"/>
      <c r="CHD198" s="360"/>
      <c r="CHE198" s="360"/>
      <c r="CHF198" s="360"/>
      <c r="CHG198" s="360"/>
      <c r="CHH198" s="360"/>
      <c r="CHI198" s="360"/>
      <c r="CHJ198" s="360"/>
      <c r="CHK198" s="360"/>
      <c r="CHL198" s="360"/>
      <c r="CHM198" s="360"/>
      <c r="CHN198" s="360"/>
      <c r="CHO198" s="360"/>
      <c r="CHP198" s="360"/>
      <c r="CHQ198" s="360"/>
      <c r="CHR198" s="360"/>
      <c r="CHS198" s="360"/>
      <c r="CHT198" s="360"/>
      <c r="CHU198" s="360"/>
      <c r="CHV198" s="360"/>
      <c r="CHW198" s="360"/>
      <c r="CHX198" s="360"/>
      <c r="CHY198" s="360"/>
      <c r="CHZ198" s="360"/>
      <c r="CIA198" s="360"/>
      <c r="CIB198" s="360"/>
      <c r="CIC198" s="360"/>
      <c r="CID198" s="360"/>
      <c r="CIE198" s="360"/>
      <c r="CIF198" s="360"/>
      <c r="CIG198" s="360"/>
      <c r="CIH198" s="360"/>
      <c r="CII198" s="360"/>
      <c r="CIJ198" s="360"/>
      <c r="CIK198" s="360"/>
      <c r="CIL198" s="360"/>
      <c r="CIM198" s="360"/>
      <c r="CIN198" s="360"/>
      <c r="CIO198" s="360"/>
      <c r="CIP198" s="360"/>
      <c r="CIQ198" s="360"/>
      <c r="CIR198" s="360"/>
      <c r="CIS198" s="360"/>
      <c r="CIT198" s="360"/>
      <c r="CIU198" s="360"/>
      <c r="CIV198" s="360"/>
      <c r="CIW198" s="360"/>
      <c r="CIX198" s="360"/>
      <c r="CIY198" s="360"/>
      <c r="CIZ198" s="360"/>
      <c r="CJA198" s="360"/>
      <c r="CJB198" s="360"/>
      <c r="CJC198" s="360"/>
      <c r="CJD198" s="360"/>
      <c r="CJE198" s="360"/>
      <c r="CJF198" s="360"/>
      <c r="CJG198" s="360"/>
      <c r="CJH198" s="360"/>
      <c r="CJI198" s="360"/>
      <c r="CJJ198" s="360"/>
      <c r="CJK198" s="360"/>
      <c r="CJL198" s="360"/>
      <c r="CJM198" s="360"/>
      <c r="CJN198" s="360"/>
      <c r="CJO198" s="360"/>
      <c r="CJP198" s="360"/>
      <c r="CJQ198" s="360"/>
      <c r="CJR198" s="360"/>
      <c r="CJS198" s="360"/>
      <c r="CJT198" s="360"/>
      <c r="CJU198" s="360"/>
      <c r="CJV198" s="360"/>
      <c r="CJW198" s="360"/>
      <c r="CJX198" s="360"/>
      <c r="CJY198" s="360"/>
      <c r="CJZ198" s="360"/>
      <c r="CKA198" s="360"/>
      <c r="CKB198" s="360"/>
      <c r="CKC198" s="360"/>
      <c r="CKD198" s="360"/>
      <c r="CKE198" s="360"/>
      <c r="CKF198" s="360"/>
      <c r="CKG198" s="360"/>
      <c r="CKH198" s="360"/>
      <c r="CKI198" s="360"/>
      <c r="CKJ198" s="360"/>
      <c r="CKK198" s="360"/>
      <c r="CKL198" s="360"/>
      <c r="CKM198" s="360"/>
      <c r="CKN198" s="360"/>
      <c r="CKO198" s="360"/>
      <c r="CKP198" s="360"/>
      <c r="CKQ198" s="360"/>
      <c r="CKR198" s="360"/>
      <c r="CKS198" s="360"/>
      <c r="CKT198" s="360"/>
      <c r="CKU198" s="360"/>
      <c r="CKV198" s="360"/>
      <c r="CKW198" s="360"/>
      <c r="CKX198" s="360"/>
      <c r="CKY198" s="360"/>
      <c r="CKZ198" s="360"/>
      <c r="CLA198" s="360"/>
      <c r="CLB198" s="360"/>
      <c r="CLC198" s="360"/>
      <c r="CLD198" s="360"/>
      <c r="CLE198" s="360"/>
      <c r="CLF198" s="360"/>
      <c r="CLG198" s="360"/>
      <c r="CLH198" s="360"/>
      <c r="CLI198" s="360"/>
      <c r="CLJ198" s="360"/>
      <c r="CLK198" s="360"/>
      <c r="CLL198" s="360"/>
      <c r="CLM198" s="360"/>
      <c r="CLN198" s="360"/>
      <c r="CLO198" s="360"/>
      <c r="CLP198" s="360"/>
      <c r="CLQ198" s="360"/>
      <c r="CLR198" s="360"/>
      <c r="CLS198" s="360"/>
      <c r="CLT198" s="360"/>
      <c r="CLU198" s="360"/>
      <c r="CLV198" s="360"/>
      <c r="CLW198" s="360"/>
      <c r="CLX198" s="360"/>
      <c r="CLY198" s="360"/>
      <c r="CLZ198" s="360"/>
      <c r="CMA198" s="360"/>
      <c r="CMB198" s="360"/>
      <c r="CMC198" s="360"/>
      <c r="CMD198" s="360"/>
      <c r="CME198" s="360"/>
      <c r="CMF198" s="360"/>
      <c r="CMG198" s="360"/>
      <c r="CMH198" s="360"/>
      <c r="CMI198" s="360"/>
      <c r="CMJ198" s="360"/>
      <c r="CMK198" s="360"/>
      <c r="CML198" s="360"/>
      <c r="CMM198" s="360"/>
      <c r="CMN198" s="360"/>
      <c r="CMO198" s="360"/>
      <c r="CMP198" s="360"/>
      <c r="CMQ198" s="360"/>
      <c r="CMR198" s="360"/>
      <c r="CMS198" s="360"/>
      <c r="CMT198" s="360"/>
      <c r="CMU198" s="360"/>
      <c r="CMV198" s="360"/>
      <c r="CMW198" s="360"/>
      <c r="CMX198" s="360"/>
      <c r="CMY198" s="360"/>
      <c r="CMZ198" s="360"/>
      <c r="CNA198" s="360"/>
      <c r="CNB198" s="360"/>
      <c r="CNC198" s="360"/>
      <c r="CND198" s="360"/>
      <c r="CNE198" s="360"/>
      <c r="CNF198" s="360"/>
      <c r="CNG198" s="360"/>
      <c r="CNH198" s="360"/>
      <c r="CNI198" s="360"/>
      <c r="CNJ198" s="360"/>
      <c r="CNK198" s="360"/>
      <c r="CNL198" s="360"/>
      <c r="CNM198" s="360"/>
      <c r="CNN198" s="360"/>
      <c r="CNO198" s="360"/>
      <c r="CNP198" s="360"/>
      <c r="CNQ198" s="360"/>
      <c r="CNR198" s="360"/>
      <c r="CNS198" s="360"/>
      <c r="CNT198" s="360"/>
      <c r="CNU198" s="360"/>
      <c r="CNV198" s="360"/>
      <c r="CNW198" s="360"/>
      <c r="CNX198" s="360"/>
      <c r="CNY198" s="360"/>
      <c r="CNZ198" s="360"/>
      <c r="COA198" s="360"/>
      <c r="COB198" s="360"/>
      <c r="COC198" s="360"/>
      <c r="COD198" s="360"/>
      <c r="COE198" s="360"/>
      <c r="COF198" s="360"/>
      <c r="COG198" s="360"/>
      <c r="COH198" s="360"/>
      <c r="COI198" s="360"/>
      <c r="COJ198" s="360"/>
      <c r="COK198" s="360"/>
      <c r="COL198" s="360"/>
      <c r="COM198" s="360"/>
      <c r="CON198" s="360"/>
      <c r="COO198" s="360"/>
      <c r="COP198" s="360"/>
      <c r="COQ198" s="360"/>
      <c r="COR198" s="360"/>
      <c r="COS198" s="360"/>
      <c r="COT198" s="360"/>
      <c r="COU198" s="360"/>
      <c r="COV198" s="360"/>
      <c r="COW198" s="360"/>
      <c r="COX198" s="360"/>
      <c r="COY198" s="360"/>
      <c r="COZ198" s="360"/>
      <c r="CPA198" s="360"/>
      <c r="CPB198" s="360"/>
      <c r="CPC198" s="360"/>
      <c r="CPD198" s="360"/>
      <c r="CPE198" s="360"/>
      <c r="CPF198" s="360"/>
      <c r="CPG198" s="360"/>
      <c r="CPH198" s="360"/>
      <c r="CPI198" s="360"/>
      <c r="CPJ198" s="360"/>
      <c r="CPK198" s="360"/>
      <c r="CPL198" s="360"/>
      <c r="CPM198" s="360"/>
      <c r="CPN198" s="360"/>
      <c r="CPO198" s="360"/>
      <c r="CPP198" s="360"/>
      <c r="CPQ198" s="360"/>
      <c r="CPR198" s="360"/>
      <c r="CPS198" s="360"/>
      <c r="CPT198" s="360"/>
      <c r="CPU198" s="360"/>
      <c r="CPV198" s="360"/>
      <c r="CPW198" s="360"/>
      <c r="CPX198" s="360"/>
      <c r="CPY198" s="360"/>
      <c r="CPZ198" s="360"/>
      <c r="CQA198" s="360"/>
      <c r="CQB198" s="360"/>
      <c r="CQC198" s="360"/>
      <c r="CQD198" s="360"/>
      <c r="CQE198" s="360"/>
      <c r="CQF198" s="360"/>
      <c r="CQG198" s="360"/>
      <c r="CQH198" s="360"/>
      <c r="CQI198" s="360"/>
      <c r="CQJ198" s="360"/>
      <c r="CQK198" s="360"/>
      <c r="CQL198" s="360"/>
      <c r="CQM198" s="360"/>
      <c r="CQN198" s="360"/>
      <c r="CQO198" s="360"/>
      <c r="CQP198" s="360"/>
      <c r="CQQ198" s="360"/>
      <c r="CQR198" s="360"/>
      <c r="CQS198" s="360"/>
      <c r="CQT198" s="360"/>
      <c r="CQU198" s="360"/>
      <c r="CQV198" s="360"/>
      <c r="CQW198" s="360"/>
      <c r="CQX198" s="360"/>
      <c r="CQY198" s="360"/>
      <c r="CQZ198" s="360"/>
      <c r="CRA198" s="360"/>
      <c r="CRB198" s="360"/>
      <c r="CRC198" s="360"/>
      <c r="CRD198" s="360"/>
      <c r="CRE198" s="360"/>
      <c r="CRF198" s="360"/>
      <c r="CRG198" s="360"/>
      <c r="CRH198" s="360"/>
      <c r="CRI198" s="360"/>
      <c r="CRJ198" s="360"/>
      <c r="CRK198" s="360"/>
      <c r="CRL198" s="360"/>
      <c r="CRM198" s="360"/>
      <c r="CRN198" s="360"/>
      <c r="CRO198" s="360"/>
      <c r="CRP198" s="360"/>
      <c r="CRQ198" s="360"/>
      <c r="CRR198" s="360"/>
      <c r="CRS198" s="360"/>
      <c r="CRT198" s="360"/>
      <c r="CRU198" s="360"/>
      <c r="CRV198" s="360"/>
      <c r="CRW198" s="360"/>
      <c r="CRX198" s="360"/>
      <c r="CRY198" s="360"/>
      <c r="CRZ198" s="360"/>
      <c r="CSA198" s="360"/>
      <c r="CSB198" s="360"/>
      <c r="CSC198" s="360"/>
      <c r="CSD198" s="360"/>
      <c r="CSE198" s="360"/>
      <c r="CSF198" s="360"/>
      <c r="CSG198" s="360"/>
      <c r="CSH198" s="360"/>
      <c r="CSI198" s="360"/>
      <c r="CSJ198" s="360"/>
      <c r="CSK198" s="360"/>
      <c r="CSL198" s="360"/>
      <c r="CSM198" s="360"/>
      <c r="CSN198" s="360"/>
      <c r="CSO198" s="360"/>
      <c r="CSP198" s="360"/>
      <c r="CSQ198" s="360"/>
      <c r="CSR198" s="360"/>
      <c r="CSS198" s="360"/>
      <c r="CST198" s="360"/>
      <c r="CSU198" s="360"/>
      <c r="CSV198" s="360"/>
      <c r="CSW198" s="360"/>
      <c r="CSX198" s="360"/>
      <c r="CSY198" s="360"/>
      <c r="CSZ198" s="360"/>
      <c r="CTA198" s="360"/>
      <c r="CTB198" s="360"/>
      <c r="CTC198" s="360"/>
      <c r="CTD198" s="360"/>
      <c r="CTE198" s="360"/>
      <c r="CTF198" s="360"/>
      <c r="CTG198" s="360"/>
      <c r="CTH198" s="360"/>
      <c r="CTI198" s="360"/>
      <c r="CTJ198" s="360"/>
      <c r="CTK198" s="360"/>
      <c r="CTL198" s="360"/>
      <c r="CTM198" s="360"/>
      <c r="CTN198" s="360"/>
      <c r="CTO198" s="360"/>
      <c r="CTP198" s="360"/>
      <c r="CTQ198" s="360"/>
      <c r="CTR198" s="360"/>
      <c r="CTS198" s="360"/>
      <c r="CTT198" s="360"/>
      <c r="CTU198" s="360"/>
      <c r="CTV198" s="360"/>
      <c r="CTW198" s="360"/>
      <c r="CTX198" s="360"/>
      <c r="CTY198" s="360"/>
      <c r="CTZ198" s="360"/>
      <c r="CUA198" s="360"/>
      <c r="CUB198" s="360"/>
      <c r="CUC198" s="360"/>
      <c r="CUD198" s="360"/>
      <c r="CUE198" s="360"/>
      <c r="CUF198" s="360"/>
      <c r="CUG198" s="360"/>
      <c r="CUH198" s="360"/>
      <c r="CUI198" s="360"/>
      <c r="CUJ198" s="360"/>
      <c r="CUK198" s="360"/>
      <c r="CUL198" s="360"/>
      <c r="CUM198" s="360"/>
      <c r="CUN198" s="360"/>
      <c r="CUO198" s="360"/>
      <c r="CUP198" s="360"/>
      <c r="CUQ198" s="360"/>
      <c r="CUR198" s="360"/>
      <c r="CUS198" s="360"/>
      <c r="CUT198" s="360"/>
      <c r="CUU198" s="360"/>
      <c r="CUV198" s="360"/>
      <c r="CUW198" s="360"/>
      <c r="CUX198" s="360"/>
      <c r="CUY198" s="360"/>
      <c r="CUZ198" s="360"/>
      <c r="CVA198" s="360"/>
      <c r="CVB198" s="360"/>
      <c r="CVC198" s="360"/>
      <c r="CVD198" s="360"/>
      <c r="CVE198" s="360"/>
      <c r="CVF198" s="360"/>
      <c r="CVG198" s="360"/>
      <c r="CVH198" s="360"/>
      <c r="CVI198" s="360"/>
      <c r="CVJ198" s="360"/>
      <c r="CVK198" s="360"/>
      <c r="CVL198" s="360"/>
      <c r="CVM198" s="360"/>
      <c r="CVN198" s="360"/>
      <c r="CVO198" s="360"/>
      <c r="CVP198" s="360"/>
      <c r="CVQ198" s="360"/>
      <c r="CVR198" s="360"/>
      <c r="CVS198" s="360"/>
      <c r="CVT198" s="360"/>
      <c r="CVU198" s="360"/>
      <c r="CVV198" s="360"/>
      <c r="CVW198" s="360"/>
      <c r="CVX198" s="360"/>
      <c r="CVY198" s="360"/>
      <c r="CVZ198" s="360"/>
      <c r="CWA198" s="360"/>
      <c r="CWB198" s="360"/>
      <c r="CWC198" s="360"/>
      <c r="CWD198" s="360"/>
      <c r="CWE198" s="360"/>
      <c r="CWF198" s="360"/>
      <c r="CWG198" s="360"/>
      <c r="CWH198" s="360"/>
      <c r="CWI198" s="360"/>
      <c r="CWJ198" s="360"/>
      <c r="CWK198" s="360"/>
      <c r="CWL198" s="360"/>
      <c r="CWM198" s="360"/>
      <c r="CWN198" s="360"/>
      <c r="CWO198" s="360"/>
      <c r="CWP198" s="360"/>
      <c r="CWQ198" s="360"/>
      <c r="CWR198" s="360"/>
      <c r="CWS198" s="360"/>
      <c r="CWT198" s="360"/>
      <c r="CWU198" s="360"/>
      <c r="CWV198" s="360"/>
      <c r="CWW198" s="360"/>
      <c r="CWX198" s="360"/>
      <c r="CWY198" s="360"/>
      <c r="CWZ198" s="360"/>
      <c r="CXA198" s="360"/>
      <c r="CXB198" s="360"/>
      <c r="CXC198" s="360"/>
      <c r="CXD198" s="360"/>
      <c r="CXE198" s="360"/>
      <c r="CXF198" s="360"/>
      <c r="CXG198" s="360"/>
      <c r="CXH198" s="360"/>
      <c r="CXI198" s="360"/>
      <c r="CXJ198" s="360"/>
      <c r="CXK198" s="360"/>
      <c r="CXL198" s="360"/>
      <c r="CXM198" s="360"/>
      <c r="CXN198" s="360"/>
      <c r="CXO198" s="360"/>
      <c r="CXP198" s="360"/>
      <c r="CXQ198" s="360"/>
      <c r="CXR198" s="360"/>
      <c r="CXS198" s="360"/>
      <c r="CXT198" s="360"/>
      <c r="CXU198" s="360"/>
      <c r="CXV198" s="360"/>
      <c r="CXW198" s="360"/>
      <c r="CXX198" s="360"/>
      <c r="CXY198" s="360"/>
      <c r="CXZ198" s="360"/>
      <c r="CYA198" s="360"/>
      <c r="CYB198" s="360"/>
      <c r="CYC198" s="360"/>
      <c r="CYD198" s="360"/>
      <c r="CYE198" s="360"/>
      <c r="CYF198" s="360"/>
      <c r="CYG198" s="360"/>
      <c r="CYH198" s="360"/>
      <c r="CYI198" s="360"/>
      <c r="CYJ198" s="360"/>
      <c r="CYK198" s="360"/>
      <c r="CYL198" s="360"/>
      <c r="CYM198" s="360"/>
      <c r="CYN198" s="360"/>
      <c r="CYO198" s="360"/>
      <c r="CYP198" s="360"/>
      <c r="CYQ198" s="360"/>
      <c r="CYR198" s="360"/>
      <c r="CYS198" s="360"/>
      <c r="CYT198" s="360"/>
      <c r="CYU198" s="360"/>
      <c r="CYV198" s="360"/>
      <c r="CYW198" s="360"/>
      <c r="CYX198" s="360"/>
      <c r="CYY198" s="360"/>
      <c r="CYZ198" s="360"/>
      <c r="CZA198" s="360"/>
      <c r="CZB198" s="360"/>
      <c r="CZC198" s="360"/>
      <c r="CZD198" s="360"/>
      <c r="CZE198" s="360"/>
      <c r="CZF198" s="360"/>
      <c r="CZG198" s="360"/>
      <c r="CZH198" s="360"/>
      <c r="CZI198" s="360"/>
      <c r="CZJ198" s="360"/>
      <c r="CZK198" s="360"/>
      <c r="CZL198" s="360"/>
      <c r="CZM198" s="360"/>
      <c r="CZN198" s="360"/>
      <c r="CZO198" s="360"/>
      <c r="CZP198" s="360"/>
      <c r="CZQ198" s="360"/>
      <c r="CZR198" s="360"/>
      <c r="CZS198" s="360"/>
      <c r="CZT198" s="360"/>
      <c r="CZU198" s="360"/>
      <c r="CZV198" s="360"/>
      <c r="CZW198" s="360"/>
      <c r="CZX198" s="360"/>
      <c r="CZY198" s="360"/>
      <c r="CZZ198" s="360"/>
      <c r="DAA198" s="360"/>
      <c r="DAB198" s="360"/>
      <c r="DAC198" s="360"/>
      <c r="DAD198" s="360"/>
      <c r="DAE198" s="360"/>
      <c r="DAF198" s="360"/>
      <c r="DAG198" s="360"/>
      <c r="DAH198" s="360"/>
      <c r="DAI198" s="360"/>
      <c r="DAJ198" s="360"/>
      <c r="DAK198" s="360"/>
      <c r="DAL198" s="360"/>
      <c r="DAM198" s="360"/>
      <c r="DAN198" s="360"/>
      <c r="DAO198" s="360"/>
      <c r="DAP198" s="360"/>
      <c r="DAQ198" s="360"/>
      <c r="DAR198" s="360"/>
      <c r="DAS198" s="360"/>
      <c r="DAT198" s="360"/>
      <c r="DAU198" s="360"/>
      <c r="DAV198" s="360"/>
      <c r="DAW198" s="360"/>
      <c r="DAX198" s="360"/>
      <c r="DAY198" s="360"/>
      <c r="DAZ198" s="360"/>
      <c r="DBA198" s="360"/>
      <c r="DBB198" s="360"/>
      <c r="DBC198" s="360"/>
      <c r="DBD198" s="360"/>
      <c r="DBE198" s="360"/>
      <c r="DBF198" s="360"/>
      <c r="DBG198" s="360"/>
      <c r="DBH198" s="360"/>
      <c r="DBI198" s="360"/>
      <c r="DBJ198" s="360"/>
      <c r="DBK198" s="360"/>
      <c r="DBL198" s="360"/>
      <c r="DBM198" s="360"/>
      <c r="DBN198" s="360"/>
      <c r="DBO198" s="360"/>
      <c r="DBP198" s="360"/>
      <c r="DBQ198" s="360"/>
      <c r="DBR198" s="360"/>
      <c r="DBS198" s="360"/>
      <c r="DBT198" s="360"/>
      <c r="DBU198" s="360"/>
      <c r="DBV198" s="360"/>
      <c r="DBW198" s="360"/>
      <c r="DBX198" s="360"/>
      <c r="DBY198" s="360"/>
      <c r="DBZ198" s="360"/>
      <c r="DCA198" s="360"/>
      <c r="DCB198" s="360"/>
      <c r="DCC198" s="360"/>
      <c r="DCD198" s="360"/>
      <c r="DCE198" s="360"/>
      <c r="DCF198" s="360"/>
      <c r="DCG198" s="360"/>
      <c r="DCH198" s="360"/>
      <c r="DCI198" s="360"/>
      <c r="DCJ198" s="360"/>
      <c r="DCK198" s="360"/>
      <c r="DCL198" s="360"/>
      <c r="DCM198" s="360"/>
      <c r="DCN198" s="360"/>
      <c r="DCO198" s="360"/>
      <c r="DCP198" s="360"/>
      <c r="DCQ198" s="360"/>
      <c r="DCR198" s="360"/>
      <c r="DCS198" s="360"/>
      <c r="DCT198" s="360"/>
      <c r="DCU198" s="360"/>
      <c r="DCV198" s="360"/>
      <c r="DCW198" s="360"/>
      <c r="DCX198" s="360"/>
      <c r="DCY198" s="360"/>
      <c r="DCZ198" s="360"/>
      <c r="DDA198" s="360"/>
      <c r="DDB198" s="360"/>
      <c r="DDC198" s="360"/>
      <c r="DDD198" s="360"/>
      <c r="DDE198" s="360"/>
      <c r="DDF198" s="360"/>
      <c r="DDG198" s="360"/>
      <c r="DDH198" s="360"/>
      <c r="DDI198" s="360"/>
      <c r="DDJ198" s="360"/>
      <c r="DDK198" s="360"/>
      <c r="DDL198" s="360"/>
      <c r="DDM198" s="360"/>
      <c r="DDN198" s="360"/>
      <c r="DDO198" s="360"/>
      <c r="DDP198" s="360"/>
      <c r="DDQ198" s="360"/>
      <c r="DDR198" s="360"/>
      <c r="DDS198" s="360"/>
      <c r="DDT198" s="360"/>
      <c r="DDU198" s="360"/>
      <c r="DDV198" s="360"/>
      <c r="DDW198" s="360"/>
      <c r="DDX198" s="360"/>
      <c r="DDY198" s="360"/>
      <c r="DDZ198" s="360"/>
      <c r="DEA198" s="360"/>
      <c r="DEB198" s="360"/>
      <c r="DEC198" s="360"/>
      <c r="DED198" s="360"/>
      <c r="DEE198" s="360"/>
      <c r="DEF198" s="360"/>
      <c r="DEG198" s="360"/>
      <c r="DEH198" s="360"/>
      <c r="DEI198" s="360"/>
      <c r="DEJ198" s="360"/>
      <c r="DEK198" s="360"/>
      <c r="DEL198" s="360"/>
      <c r="DEM198" s="360"/>
      <c r="DEN198" s="360"/>
      <c r="DEO198" s="360"/>
      <c r="DEP198" s="360"/>
      <c r="DEQ198" s="360"/>
      <c r="DER198" s="360"/>
      <c r="DES198" s="360"/>
      <c r="DET198" s="360"/>
      <c r="DEU198" s="360"/>
      <c r="DEV198" s="360"/>
      <c r="DEW198" s="360"/>
      <c r="DEX198" s="360"/>
      <c r="DEY198" s="360"/>
      <c r="DEZ198" s="360"/>
      <c r="DFA198" s="360"/>
      <c r="DFB198" s="360"/>
      <c r="DFC198" s="360"/>
      <c r="DFD198" s="360"/>
      <c r="DFE198" s="360"/>
      <c r="DFF198" s="360"/>
      <c r="DFG198" s="360"/>
      <c r="DFH198" s="360"/>
      <c r="DFI198" s="360"/>
      <c r="DFJ198" s="360"/>
      <c r="DFK198" s="360"/>
      <c r="DFL198" s="360"/>
      <c r="DFM198" s="360"/>
      <c r="DFN198" s="360"/>
      <c r="DFO198" s="360"/>
      <c r="DFP198" s="360"/>
      <c r="DFQ198" s="360"/>
      <c r="DFR198" s="360"/>
      <c r="DFS198" s="360"/>
      <c r="DFT198" s="360"/>
      <c r="DFU198" s="360"/>
      <c r="DFV198" s="360"/>
      <c r="DFW198" s="360"/>
      <c r="DFX198" s="360"/>
      <c r="DFY198" s="360"/>
      <c r="DFZ198" s="360"/>
      <c r="DGA198" s="360"/>
      <c r="DGB198" s="360"/>
      <c r="DGC198" s="360"/>
      <c r="DGD198" s="360"/>
      <c r="DGE198" s="360"/>
      <c r="DGF198" s="360"/>
      <c r="DGG198" s="360"/>
      <c r="DGH198" s="360"/>
      <c r="DGI198" s="360"/>
      <c r="DGJ198" s="360"/>
      <c r="DGK198" s="360"/>
      <c r="DGL198" s="360"/>
      <c r="DGM198" s="360"/>
      <c r="DGN198" s="360"/>
      <c r="DGO198" s="360"/>
      <c r="DGP198" s="360"/>
      <c r="DGQ198" s="360"/>
      <c r="DGR198" s="360"/>
      <c r="DGS198" s="360"/>
      <c r="DGT198" s="360"/>
      <c r="DGU198" s="360"/>
      <c r="DGV198" s="360"/>
      <c r="DGW198" s="360"/>
      <c r="DGX198" s="360"/>
      <c r="DGY198" s="360"/>
      <c r="DGZ198" s="360"/>
      <c r="DHA198" s="360"/>
      <c r="DHB198" s="360"/>
      <c r="DHC198" s="360"/>
      <c r="DHD198" s="360"/>
      <c r="DHE198" s="360"/>
      <c r="DHF198" s="360"/>
      <c r="DHG198" s="360"/>
      <c r="DHH198" s="360"/>
      <c r="DHI198" s="360"/>
      <c r="DHJ198" s="360"/>
      <c r="DHK198" s="360"/>
      <c r="DHL198" s="360"/>
      <c r="DHM198" s="360"/>
      <c r="DHN198" s="360"/>
      <c r="DHO198" s="360"/>
      <c r="DHP198" s="360"/>
      <c r="DHQ198" s="360"/>
      <c r="DHR198" s="360"/>
      <c r="DHS198" s="360"/>
      <c r="DHT198" s="360"/>
      <c r="DHU198" s="360"/>
      <c r="DHV198" s="360"/>
      <c r="DHW198" s="360"/>
      <c r="DHX198" s="360"/>
      <c r="DHY198" s="360"/>
      <c r="DHZ198" s="360"/>
      <c r="DIA198" s="360"/>
      <c r="DIB198" s="360"/>
      <c r="DIC198" s="360"/>
      <c r="DID198" s="360"/>
      <c r="DIE198" s="360"/>
      <c r="DIF198" s="360"/>
      <c r="DIG198" s="360"/>
      <c r="DIH198" s="360"/>
      <c r="DII198" s="360"/>
      <c r="DIJ198" s="360"/>
      <c r="DIK198" s="360"/>
      <c r="DIL198" s="360"/>
      <c r="DIM198" s="360"/>
      <c r="DIN198" s="360"/>
      <c r="DIO198" s="360"/>
      <c r="DIP198" s="360"/>
      <c r="DIQ198" s="360"/>
      <c r="DIR198" s="360"/>
      <c r="DIS198" s="360"/>
      <c r="DIT198" s="360"/>
      <c r="DIU198" s="360"/>
      <c r="DIV198" s="360"/>
      <c r="DIW198" s="360"/>
      <c r="DIX198" s="360"/>
      <c r="DIY198" s="360"/>
      <c r="DIZ198" s="360"/>
      <c r="DJA198" s="360"/>
      <c r="DJB198" s="360"/>
      <c r="DJC198" s="360"/>
      <c r="DJD198" s="360"/>
      <c r="DJE198" s="360"/>
      <c r="DJF198" s="360"/>
      <c r="DJG198" s="360"/>
      <c r="DJH198" s="360"/>
      <c r="DJI198" s="360"/>
      <c r="DJJ198" s="360"/>
      <c r="DJK198" s="360"/>
      <c r="DJL198" s="360"/>
      <c r="DJM198" s="360"/>
      <c r="DJN198" s="360"/>
      <c r="DJO198" s="360"/>
      <c r="DJP198" s="360"/>
      <c r="DJQ198" s="360"/>
      <c r="DJR198" s="360"/>
      <c r="DJS198" s="360"/>
      <c r="DJT198" s="360"/>
      <c r="DJU198" s="360"/>
      <c r="DJV198" s="360"/>
      <c r="DJW198" s="360"/>
      <c r="DJX198" s="360"/>
      <c r="DJY198" s="360"/>
      <c r="DJZ198" s="360"/>
      <c r="DKA198" s="360"/>
      <c r="DKB198" s="360"/>
      <c r="DKC198" s="360"/>
      <c r="DKD198" s="360"/>
      <c r="DKE198" s="360"/>
      <c r="DKF198" s="360"/>
      <c r="DKG198" s="360"/>
      <c r="DKH198" s="360"/>
      <c r="DKI198" s="360"/>
      <c r="DKJ198" s="360"/>
      <c r="DKK198" s="360"/>
      <c r="DKL198" s="360"/>
      <c r="DKM198" s="360"/>
      <c r="DKN198" s="360"/>
      <c r="DKO198" s="360"/>
      <c r="DKP198" s="360"/>
      <c r="DKQ198" s="360"/>
      <c r="DKR198" s="360"/>
      <c r="DKS198" s="360"/>
      <c r="DKT198" s="360"/>
      <c r="DKU198" s="360"/>
      <c r="DKV198" s="360"/>
      <c r="DKW198" s="360"/>
      <c r="DKX198" s="360"/>
      <c r="DKY198" s="360"/>
      <c r="DKZ198" s="360"/>
      <c r="DLA198" s="360"/>
      <c r="DLB198" s="360"/>
      <c r="DLC198" s="360"/>
      <c r="DLD198" s="360"/>
      <c r="DLE198" s="360"/>
      <c r="DLF198" s="360"/>
      <c r="DLG198" s="360"/>
      <c r="DLH198" s="360"/>
      <c r="DLI198" s="360"/>
      <c r="DLJ198" s="360"/>
      <c r="DLK198" s="360"/>
      <c r="DLL198" s="360"/>
      <c r="DLM198" s="360"/>
      <c r="DLN198" s="360"/>
      <c r="DLO198" s="360"/>
      <c r="DLP198" s="360"/>
      <c r="DLQ198" s="360"/>
      <c r="DLR198" s="360"/>
      <c r="DLS198" s="360"/>
      <c r="DLT198" s="360"/>
      <c r="DLU198" s="360"/>
      <c r="DLV198" s="360"/>
      <c r="DLW198" s="360"/>
      <c r="DLX198" s="360"/>
      <c r="DLY198" s="360"/>
      <c r="DLZ198" s="360"/>
      <c r="DMA198" s="360"/>
      <c r="DMB198" s="360"/>
      <c r="DMC198" s="360"/>
      <c r="DMD198" s="360"/>
      <c r="DME198" s="360"/>
      <c r="DMF198" s="360"/>
      <c r="DMG198" s="360"/>
      <c r="DMH198" s="360"/>
      <c r="DMI198" s="360"/>
      <c r="DMJ198" s="360"/>
      <c r="DMK198" s="360"/>
      <c r="DML198" s="360"/>
      <c r="DMM198" s="360"/>
      <c r="DMN198" s="360"/>
      <c r="DMO198" s="360"/>
      <c r="DMP198" s="360"/>
      <c r="DMQ198" s="360"/>
      <c r="DMR198" s="360"/>
      <c r="DMS198" s="360"/>
      <c r="DMT198" s="360"/>
      <c r="DMU198" s="360"/>
      <c r="DMV198" s="360"/>
      <c r="DMW198" s="360"/>
      <c r="DMX198" s="360"/>
      <c r="DMY198" s="360"/>
      <c r="DMZ198" s="360"/>
      <c r="DNA198" s="360"/>
      <c r="DNB198" s="360"/>
      <c r="DNC198" s="360"/>
      <c r="DND198" s="360"/>
      <c r="DNE198" s="360"/>
      <c r="DNF198" s="360"/>
      <c r="DNG198" s="360"/>
      <c r="DNH198" s="360"/>
      <c r="DNI198" s="360"/>
      <c r="DNJ198" s="360"/>
      <c r="DNK198" s="360"/>
      <c r="DNL198" s="360"/>
      <c r="DNM198" s="360"/>
      <c r="DNN198" s="360"/>
      <c r="DNO198" s="360"/>
      <c r="DNP198" s="360"/>
      <c r="DNQ198" s="360"/>
      <c r="DNR198" s="360"/>
      <c r="DNS198" s="360"/>
      <c r="DNT198" s="360"/>
      <c r="DNU198" s="360"/>
      <c r="DNV198" s="360"/>
      <c r="DNW198" s="360"/>
      <c r="DNX198" s="360"/>
      <c r="DNY198" s="360"/>
      <c r="DNZ198" s="360"/>
      <c r="DOA198" s="360"/>
      <c r="DOB198" s="360"/>
      <c r="DOC198" s="360"/>
      <c r="DOD198" s="360"/>
      <c r="DOE198" s="360"/>
      <c r="DOF198" s="360"/>
      <c r="DOG198" s="360"/>
      <c r="DOH198" s="360"/>
      <c r="DOI198" s="360"/>
      <c r="DOJ198" s="360"/>
      <c r="DOK198" s="360"/>
      <c r="DOL198" s="360"/>
      <c r="DOM198" s="360"/>
      <c r="DON198" s="360"/>
      <c r="DOO198" s="360"/>
      <c r="DOP198" s="360"/>
      <c r="DOQ198" s="360"/>
      <c r="DOR198" s="360"/>
      <c r="DOS198" s="360"/>
      <c r="DOT198" s="360"/>
      <c r="DOU198" s="360"/>
      <c r="DOV198" s="360"/>
      <c r="DOW198" s="360"/>
      <c r="DOX198" s="360"/>
      <c r="DOY198" s="360"/>
      <c r="DOZ198" s="360"/>
      <c r="DPA198" s="360"/>
      <c r="DPB198" s="360"/>
      <c r="DPC198" s="360"/>
      <c r="DPD198" s="360"/>
      <c r="DPE198" s="360"/>
      <c r="DPF198" s="360"/>
      <c r="DPG198" s="360"/>
      <c r="DPH198" s="360"/>
      <c r="DPI198" s="360"/>
      <c r="DPJ198" s="360"/>
      <c r="DPK198" s="360"/>
      <c r="DPL198" s="360"/>
      <c r="DPM198" s="360"/>
      <c r="DPN198" s="360"/>
      <c r="DPO198" s="360"/>
      <c r="DPP198" s="360"/>
      <c r="DPQ198" s="360"/>
      <c r="DPR198" s="360"/>
      <c r="DPS198" s="360"/>
      <c r="DPT198" s="360"/>
      <c r="DPU198" s="360"/>
      <c r="DPV198" s="360"/>
      <c r="DPW198" s="360"/>
      <c r="DPX198" s="360"/>
      <c r="DPY198" s="360"/>
      <c r="DPZ198" s="360"/>
      <c r="DQA198" s="360"/>
      <c r="DQB198" s="360"/>
      <c r="DQC198" s="360"/>
      <c r="DQD198" s="360"/>
      <c r="DQE198" s="360"/>
      <c r="DQF198" s="360"/>
      <c r="DQG198" s="360"/>
      <c r="DQH198" s="360"/>
      <c r="DQI198" s="360"/>
      <c r="DQJ198" s="360"/>
      <c r="DQK198" s="360"/>
      <c r="DQL198" s="360"/>
      <c r="DQM198" s="360"/>
      <c r="DQN198" s="360"/>
      <c r="DQO198" s="360"/>
      <c r="DQP198" s="360"/>
      <c r="DQQ198" s="360"/>
      <c r="DQR198" s="360"/>
      <c r="DQS198" s="360"/>
      <c r="DQT198" s="360"/>
      <c r="DQU198" s="360"/>
      <c r="DQV198" s="360"/>
      <c r="DQW198" s="360"/>
      <c r="DQX198" s="360"/>
      <c r="DQY198" s="360"/>
      <c r="DQZ198" s="360"/>
      <c r="DRA198" s="360"/>
      <c r="DRB198" s="360"/>
      <c r="DRC198" s="360"/>
      <c r="DRD198" s="360"/>
      <c r="DRE198" s="360"/>
      <c r="DRF198" s="360"/>
      <c r="DRG198" s="360"/>
      <c r="DRH198" s="360"/>
      <c r="DRI198" s="360"/>
      <c r="DRJ198" s="360"/>
      <c r="DRK198" s="360"/>
      <c r="DRL198" s="360"/>
      <c r="DRM198" s="360"/>
      <c r="DRN198" s="360"/>
      <c r="DRO198" s="360"/>
      <c r="DRP198" s="360"/>
      <c r="DRQ198" s="360"/>
      <c r="DRR198" s="360"/>
      <c r="DRS198" s="360"/>
      <c r="DRT198" s="360"/>
      <c r="DRU198" s="360"/>
      <c r="DRV198" s="360"/>
      <c r="DRW198" s="360"/>
      <c r="DRX198" s="360"/>
      <c r="DRY198" s="360"/>
      <c r="DRZ198" s="360"/>
      <c r="DSA198" s="360"/>
      <c r="DSB198" s="360"/>
      <c r="DSC198" s="360"/>
      <c r="DSD198" s="360"/>
      <c r="DSE198" s="360"/>
      <c r="DSF198" s="360"/>
      <c r="DSG198" s="360"/>
      <c r="DSH198" s="360"/>
      <c r="DSI198" s="360"/>
      <c r="DSJ198" s="360"/>
      <c r="DSK198" s="360"/>
      <c r="DSL198" s="360"/>
      <c r="DSM198" s="360"/>
      <c r="DSN198" s="360"/>
      <c r="DSO198" s="360"/>
      <c r="DSP198" s="360"/>
      <c r="DSQ198" s="360"/>
      <c r="DSR198" s="360"/>
      <c r="DSS198" s="360"/>
      <c r="DST198" s="360"/>
      <c r="DSU198" s="360"/>
      <c r="DSV198" s="360"/>
      <c r="DSW198" s="360"/>
      <c r="DSX198" s="360"/>
      <c r="DSY198" s="360"/>
      <c r="DSZ198" s="360"/>
      <c r="DTA198" s="360"/>
      <c r="DTB198" s="360"/>
      <c r="DTC198" s="360"/>
      <c r="DTD198" s="360"/>
      <c r="DTE198" s="360"/>
      <c r="DTF198" s="360"/>
      <c r="DTG198" s="360"/>
      <c r="DTH198" s="360"/>
      <c r="DTI198" s="360"/>
      <c r="DTJ198" s="360"/>
      <c r="DTK198" s="360"/>
      <c r="DTL198" s="360"/>
      <c r="DTM198" s="360"/>
      <c r="DTN198" s="360"/>
      <c r="DTO198" s="360"/>
      <c r="DTP198" s="360"/>
      <c r="DTQ198" s="360"/>
      <c r="DTR198" s="360"/>
      <c r="DTS198" s="360"/>
      <c r="DTT198" s="360"/>
      <c r="DTU198" s="360"/>
      <c r="DTV198" s="360"/>
      <c r="DTW198" s="360"/>
      <c r="DTX198" s="360"/>
      <c r="DTY198" s="360"/>
      <c r="DTZ198" s="360"/>
      <c r="DUA198" s="360"/>
      <c r="DUB198" s="360"/>
      <c r="DUC198" s="360"/>
      <c r="DUD198" s="360"/>
      <c r="DUE198" s="360"/>
      <c r="DUF198" s="360"/>
      <c r="DUG198" s="360"/>
      <c r="DUH198" s="360"/>
      <c r="DUI198" s="360"/>
      <c r="DUJ198" s="360"/>
      <c r="DUK198" s="360"/>
      <c r="DUL198" s="360"/>
      <c r="DUM198" s="360"/>
      <c r="DUN198" s="360"/>
      <c r="DUO198" s="360"/>
      <c r="DUP198" s="360"/>
      <c r="DUQ198" s="360"/>
      <c r="DUR198" s="360"/>
      <c r="DUS198" s="360"/>
      <c r="DUT198" s="360"/>
      <c r="DUU198" s="360"/>
      <c r="DUV198" s="360"/>
      <c r="DUW198" s="360"/>
      <c r="DUX198" s="360"/>
      <c r="DUY198" s="360"/>
      <c r="DUZ198" s="360"/>
      <c r="DVA198" s="360"/>
      <c r="DVB198" s="360"/>
      <c r="DVC198" s="360"/>
      <c r="DVD198" s="360"/>
      <c r="DVE198" s="360"/>
      <c r="DVF198" s="360"/>
      <c r="DVG198" s="360"/>
      <c r="DVH198" s="360"/>
      <c r="DVI198" s="360"/>
      <c r="DVJ198" s="360"/>
      <c r="DVK198" s="360"/>
      <c r="DVL198" s="360"/>
      <c r="DVM198" s="360"/>
      <c r="DVN198" s="360"/>
      <c r="DVO198" s="360"/>
      <c r="DVP198" s="360"/>
      <c r="DVQ198" s="360"/>
      <c r="DVR198" s="360"/>
      <c r="DVS198" s="360"/>
      <c r="DVT198" s="360"/>
      <c r="DVU198" s="360"/>
      <c r="DVV198" s="360"/>
      <c r="DVW198" s="360"/>
      <c r="DVX198" s="360"/>
      <c r="DVY198" s="360"/>
      <c r="DVZ198" s="360"/>
      <c r="DWA198" s="360"/>
      <c r="DWB198" s="360"/>
      <c r="DWC198" s="360"/>
      <c r="DWD198" s="360"/>
      <c r="DWE198" s="360"/>
      <c r="DWF198" s="360"/>
      <c r="DWG198" s="360"/>
      <c r="DWH198" s="360"/>
      <c r="DWI198" s="360"/>
      <c r="DWJ198" s="360"/>
      <c r="DWK198" s="360"/>
      <c r="DWL198" s="360"/>
      <c r="DWM198" s="360"/>
      <c r="DWN198" s="360"/>
      <c r="DWO198" s="360"/>
      <c r="DWP198" s="360"/>
      <c r="DWQ198" s="360"/>
      <c r="DWR198" s="360"/>
      <c r="DWS198" s="360"/>
      <c r="DWT198" s="360"/>
      <c r="DWU198" s="360"/>
      <c r="DWV198" s="360"/>
      <c r="DWW198" s="360"/>
      <c r="DWX198" s="360"/>
      <c r="DWY198" s="360"/>
      <c r="DWZ198" s="360"/>
      <c r="DXA198" s="360"/>
      <c r="DXB198" s="360"/>
      <c r="DXC198" s="360"/>
      <c r="DXD198" s="360"/>
      <c r="DXE198" s="360"/>
      <c r="DXF198" s="360"/>
      <c r="DXG198" s="360"/>
      <c r="DXH198" s="360"/>
      <c r="DXI198" s="360"/>
      <c r="DXJ198" s="360"/>
      <c r="DXK198" s="360"/>
      <c r="DXL198" s="360"/>
      <c r="DXM198" s="360"/>
      <c r="DXN198" s="360"/>
      <c r="DXO198" s="360"/>
      <c r="DXP198" s="360"/>
      <c r="DXQ198" s="360"/>
      <c r="DXR198" s="360"/>
      <c r="DXS198" s="360"/>
      <c r="DXT198" s="360"/>
      <c r="DXU198" s="360"/>
      <c r="DXV198" s="360"/>
      <c r="DXW198" s="360"/>
      <c r="DXX198" s="360"/>
      <c r="DXY198" s="360"/>
      <c r="DXZ198" s="360"/>
      <c r="DYA198" s="360"/>
      <c r="DYB198" s="360"/>
      <c r="DYC198" s="360"/>
      <c r="DYD198" s="360"/>
      <c r="DYE198" s="360"/>
      <c r="DYF198" s="360"/>
      <c r="DYG198" s="360"/>
      <c r="DYH198" s="360"/>
      <c r="DYI198" s="360"/>
      <c r="DYJ198" s="360"/>
      <c r="DYK198" s="360"/>
      <c r="DYL198" s="360"/>
      <c r="DYM198" s="360"/>
      <c r="DYN198" s="360"/>
      <c r="DYO198" s="360"/>
      <c r="DYP198" s="360"/>
      <c r="DYQ198" s="360"/>
      <c r="DYR198" s="360"/>
      <c r="DYS198" s="360"/>
      <c r="DYT198" s="360"/>
      <c r="DYU198" s="360"/>
      <c r="DYV198" s="360"/>
      <c r="DYW198" s="360"/>
      <c r="DYX198" s="360"/>
      <c r="DYY198" s="360"/>
      <c r="DYZ198" s="360"/>
      <c r="DZA198" s="360"/>
      <c r="DZB198" s="360"/>
      <c r="DZC198" s="360"/>
      <c r="DZD198" s="360"/>
      <c r="DZE198" s="360"/>
      <c r="DZF198" s="360"/>
      <c r="DZG198" s="360"/>
      <c r="DZH198" s="360"/>
      <c r="DZI198" s="360"/>
      <c r="DZJ198" s="360"/>
      <c r="DZK198" s="360"/>
      <c r="DZL198" s="360"/>
      <c r="DZM198" s="360"/>
      <c r="DZN198" s="360"/>
      <c r="DZO198" s="360"/>
      <c r="DZP198" s="360"/>
      <c r="DZQ198" s="360"/>
      <c r="DZR198" s="360"/>
      <c r="DZS198" s="360"/>
      <c r="DZT198" s="360"/>
      <c r="DZU198" s="360"/>
      <c r="DZV198" s="360"/>
      <c r="DZW198" s="360"/>
      <c r="DZX198" s="360"/>
      <c r="DZY198" s="360"/>
      <c r="DZZ198" s="360"/>
      <c r="EAA198" s="360"/>
      <c r="EAB198" s="360"/>
      <c r="EAC198" s="360"/>
      <c r="EAD198" s="360"/>
      <c r="EAE198" s="360"/>
      <c r="EAF198" s="360"/>
      <c r="EAG198" s="360"/>
      <c r="EAH198" s="360"/>
      <c r="EAI198" s="360"/>
      <c r="EAJ198" s="360"/>
      <c r="EAK198" s="360"/>
      <c r="EAL198" s="360"/>
      <c r="EAM198" s="360"/>
      <c r="EAN198" s="360"/>
      <c r="EAO198" s="360"/>
      <c r="EAP198" s="360"/>
      <c r="EAQ198" s="360"/>
      <c r="EAR198" s="360"/>
      <c r="EAS198" s="360"/>
      <c r="EAT198" s="360"/>
      <c r="EAU198" s="360"/>
      <c r="EAV198" s="360"/>
      <c r="EAW198" s="360"/>
      <c r="EAX198" s="360"/>
      <c r="EAY198" s="360"/>
      <c r="EAZ198" s="360"/>
      <c r="EBA198" s="360"/>
      <c r="EBB198" s="360"/>
      <c r="EBC198" s="360"/>
      <c r="EBD198" s="360"/>
      <c r="EBE198" s="360"/>
      <c r="EBF198" s="360"/>
      <c r="EBG198" s="360"/>
      <c r="EBH198" s="360"/>
      <c r="EBI198" s="360"/>
      <c r="EBJ198" s="360"/>
      <c r="EBK198" s="360"/>
      <c r="EBL198" s="360"/>
      <c r="EBM198" s="360"/>
      <c r="EBN198" s="360"/>
      <c r="EBO198" s="360"/>
      <c r="EBP198" s="360"/>
      <c r="EBQ198" s="360"/>
      <c r="EBR198" s="360"/>
      <c r="EBS198" s="360"/>
      <c r="EBT198" s="360"/>
      <c r="EBU198" s="360"/>
      <c r="EBV198" s="360"/>
      <c r="EBW198" s="360"/>
      <c r="EBX198" s="360"/>
      <c r="EBY198" s="360"/>
      <c r="EBZ198" s="360"/>
      <c r="ECA198" s="360"/>
      <c r="ECB198" s="360"/>
      <c r="ECC198" s="360"/>
      <c r="ECD198" s="360"/>
      <c r="ECE198" s="360"/>
      <c r="ECF198" s="360"/>
      <c r="ECG198" s="360"/>
      <c r="ECH198" s="360"/>
      <c r="ECI198" s="360"/>
      <c r="ECJ198" s="360"/>
      <c r="ECK198" s="360"/>
      <c r="ECL198" s="360"/>
      <c r="ECM198" s="360"/>
      <c r="ECN198" s="360"/>
      <c r="ECO198" s="360"/>
      <c r="ECP198" s="360"/>
      <c r="ECQ198" s="360"/>
      <c r="ECR198" s="360"/>
      <c r="ECS198" s="360"/>
      <c r="ECT198" s="360"/>
      <c r="ECU198" s="360"/>
      <c r="ECV198" s="360"/>
      <c r="ECW198" s="360"/>
      <c r="ECX198" s="360"/>
      <c r="ECY198" s="360"/>
      <c r="ECZ198" s="360"/>
      <c r="EDA198" s="360"/>
      <c r="EDB198" s="360"/>
      <c r="EDC198" s="360"/>
      <c r="EDD198" s="360"/>
      <c r="EDE198" s="360"/>
      <c r="EDF198" s="360"/>
      <c r="EDG198" s="360"/>
      <c r="EDH198" s="360"/>
      <c r="EDI198" s="360"/>
      <c r="EDJ198" s="360"/>
      <c r="EDK198" s="360"/>
      <c r="EDL198" s="360"/>
      <c r="EDM198" s="360"/>
      <c r="EDN198" s="360"/>
      <c r="EDO198" s="360"/>
      <c r="EDP198" s="360"/>
      <c r="EDQ198" s="360"/>
      <c r="EDR198" s="360"/>
      <c r="EDS198" s="360"/>
      <c r="EDT198" s="360"/>
      <c r="EDU198" s="360"/>
      <c r="EDV198" s="360"/>
      <c r="EDW198" s="360"/>
      <c r="EDX198" s="360"/>
      <c r="EDY198" s="360"/>
      <c r="EDZ198" s="360"/>
      <c r="EEA198" s="360"/>
      <c r="EEB198" s="360"/>
      <c r="EEC198" s="360"/>
      <c r="EED198" s="360"/>
      <c r="EEE198" s="360"/>
      <c r="EEF198" s="360"/>
      <c r="EEG198" s="360"/>
      <c r="EEH198" s="360"/>
      <c r="EEI198" s="360"/>
      <c r="EEJ198" s="360"/>
      <c r="EEK198" s="360"/>
      <c r="EEL198" s="360"/>
      <c r="EEM198" s="360"/>
      <c r="EEN198" s="360"/>
      <c r="EEO198" s="360"/>
      <c r="EEP198" s="360"/>
      <c r="EEQ198" s="360"/>
      <c r="EER198" s="360"/>
      <c r="EES198" s="360"/>
      <c r="EET198" s="360"/>
      <c r="EEU198" s="360"/>
      <c r="EEV198" s="360"/>
      <c r="EEW198" s="360"/>
      <c r="EEX198" s="360"/>
      <c r="EEY198" s="360"/>
      <c r="EEZ198" s="360"/>
      <c r="EFA198" s="360"/>
      <c r="EFB198" s="360"/>
      <c r="EFC198" s="360"/>
      <c r="EFD198" s="360"/>
      <c r="EFE198" s="360"/>
      <c r="EFF198" s="360"/>
      <c r="EFG198" s="360"/>
      <c r="EFH198" s="360"/>
      <c r="EFI198" s="360"/>
      <c r="EFJ198" s="360"/>
      <c r="EFK198" s="360"/>
      <c r="EFL198" s="360"/>
      <c r="EFM198" s="360"/>
      <c r="EFN198" s="360"/>
      <c r="EFO198" s="360"/>
      <c r="EFP198" s="360"/>
      <c r="EFQ198" s="360"/>
      <c r="EFR198" s="360"/>
      <c r="EFS198" s="360"/>
      <c r="EFT198" s="360"/>
      <c r="EFU198" s="360"/>
      <c r="EFV198" s="360"/>
      <c r="EFW198" s="360"/>
      <c r="EFX198" s="360"/>
      <c r="EFY198" s="360"/>
      <c r="EFZ198" s="360"/>
      <c r="EGA198" s="360"/>
      <c r="EGB198" s="360"/>
      <c r="EGC198" s="360"/>
      <c r="EGD198" s="360"/>
      <c r="EGE198" s="360"/>
      <c r="EGF198" s="360"/>
      <c r="EGG198" s="360"/>
      <c r="EGH198" s="360"/>
      <c r="EGI198" s="360"/>
      <c r="EGJ198" s="360"/>
      <c r="EGK198" s="360"/>
      <c r="EGL198" s="360"/>
      <c r="EGM198" s="360"/>
      <c r="EGN198" s="360"/>
      <c r="EGO198" s="360"/>
      <c r="EGP198" s="360"/>
      <c r="EGQ198" s="360"/>
      <c r="EGR198" s="360"/>
      <c r="EGS198" s="360"/>
      <c r="EGT198" s="360"/>
      <c r="EGU198" s="360"/>
      <c r="EGV198" s="360"/>
      <c r="EGW198" s="360"/>
      <c r="EGX198" s="360"/>
      <c r="EGY198" s="360"/>
      <c r="EGZ198" s="360"/>
      <c r="EHA198" s="360"/>
      <c r="EHB198" s="360"/>
      <c r="EHC198" s="360"/>
      <c r="EHD198" s="360"/>
      <c r="EHE198" s="360"/>
      <c r="EHF198" s="360"/>
      <c r="EHG198" s="360"/>
      <c r="EHH198" s="360"/>
      <c r="EHI198" s="360"/>
      <c r="EHJ198" s="360"/>
      <c r="EHK198" s="360"/>
      <c r="EHL198" s="360"/>
      <c r="EHM198" s="360"/>
      <c r="EHN198" s="360"/>
      <c r="EHO198" s="360"/>
      <c r="EHP198" s="360"/>
      <c r="EHQ198" s="360"/>
      <c r="EHR198" s="360"/>
      <c r="EHS198" s="360"/>
      <c r="EHT198" s="360"/>
      <c r="EHU198" s="360"/>
      <c r="EHV198" s="360"/>
      <c r="EHW198" s="360"/>
      <c r="EHX198" s="360"/>
      <c r="EHY198" s="360"/>
      <c r="EHZ198" s="360"/>
      <c r="EIA198" s="360"/>
      <c r="EIB198" s="360"/>
      <c r="EIC198" s="360"/>
      <c r="EID198" s="360"/>
      <c r="EIE198" s="360"/>
      <c r="EIF198" s="360"/>
      <c r="EIG198" s="360"/>
      <c r="EIH198" s="360"/>
      <c r="EII198" s="360"/>
      <c r="EIJ198" s="360"/>
      <c r="EIK198" s="360"/>
      <c r="EIL198" s="360"/>
      <c r="EIM198" s="360"/>
      <c r="EIN198" s="360"/>
      <c r="EIO198" s="360"/>
      <c r="EIP198" s="360"/>
      <c r="EIQ198" s="360"/>
      <c r="EIR198" s="360"/>
      <c r="EIS198" s="360"/>
      <c r="EIT198" s="360"/>
      <c r="EIU198" s="360"/>
      <c r="EIV198" s="360"/>
      <c r="EIW198" s="360"/>
      <c r="EIX198" s="360"/>
      <c r="EIY198" s="360"/>
      <c r="EIZ198" s="360"/>
      <c r="EJA198" s="360"/>
      <c r="EJB198" s="360"/>
      <c r="EJC198" s="360"/>
      <c r="EJD198" s="360"/>
      <c r="EJE198" s="360"/>
      <c r="EJF198" s="360"/>
      <c r="EJG198" s="360"/>
      <c r="EJH198" s="360"/>
      <c r="EJI198" s="360"/>
      <c r="EJJ198" s="360"/>
      <c r="EJK198" s="360"/>
      <c r="EJL198" s="360"/>
      <c r="EJM198" s="360"/>
      <c r="EJN198" s="360"/>
      <c r="EJO198" s="360"/>
      <c r="EJP198" s="360"/>
      <c r="EJQ198" s="360"/>
      <c r="EJR198" s="360"/>
      <c r="EJS198" s="360"/>
      <c r="EJT198" s="360"/>
      <c r="EJU198" s="360"/>
      <c r="EJV198" s="360"/>
      <c r="EJW198" s="360"/>
      <c r="EJX198" s="360"/>
      <c r="EJY198" s="360"/>
      <c r="EJZ198" s="360"/>
      <c r="EKA198" s="360"/>
      <c r="EKB198" s="360"/>
      <c r="EKC198" s="360"/>
      <c r="EKD198" s="360"/>
      <c r="EKE198" s="360"/>
      <c r="EKF198" s="360"/>
      <c r="EKG198" s="360"/>
      <c r="EKH198" s="360"/>
      <c r="EKI198" s="360"/>
      <c r="EKJ198" s="360"/>
      <c r="EKK198" s="360"/>
      <c r="EKL198" s="360"/>
      <c r="EKM198" s="360"/>
      <c r="EKN198" s="360"/>
      <c r="EKO198" s="360"/>
      <c r="EKP198" s="360"/>
      <c r="EKQ198" s="360"/>
      <c r="EKR198" s="360"/>
      <c r="EKS198" s="360"/>
      <c r="EKT198" s="360"/>
      <c r="EKU198" s="360"/>
      <c r="EKV198" s="360"/>
      <c r="EKW198" s="360"/>
      <c r="EKX198" s="360"/>
      <c r="EKY198" s="360"/>
      <c r="EKZ198" s="360"/>
      <c r="ELA198" s="360"/>
      <c r="ELB198" s="360"/>
      <c r="ELC198" s="360"/>
      <c r="ELD198" s="360"/>
      <c r="ELE198" s="360"/>
      <c r="ELF198" s="360"/>
      <c r="ELG198" s="360"/>
      <c r="ELH198" s="360"/>
      <c r="ELI198" s="360"/>
      <c r="ELJ198" s="360"/>
      <c r="ELK198" s="360"/>
      <c r="ELL198" s="360"/>
      <c r="ELM198" s="360"/>
      <c r="ELN198" s="360"/>
      <c r="ELO198" s="360"/>
      <c r="ELP198" s="360"/>
      <c r="ELQ198" s="360"/>
      <c r="ELR198" s="360"/>
      <c r="ELS198" s="360"/>
      <c r="ELT198" s="360"/>
      <c r="ELU198" s="360"/>
      <c r="ELV198" s="360"/>
      <c r="ELW198" s="360"/>
      <c r="ELX198" s="360"/>
      <c r="ELY198" s="360"/>
      <c r="ELZ198" s="360"/>
      <c r="EMA198" s="360"/>
      <c r="EMB198" s="360"/>
      <c r="EMC198" s="360"/>
      <c r="EMD198" s="360"/>
      <c r="EME198" s="360"/>
      <c r="EMF198" s="360"/>
      <c r="EMG198" s="360"/>
      <c r="EMH198" s="360"/>
      <c r="EMI198" s="360"/>
      <c r="EMJ198" s="360"/>
      <c r="EMK198" s="360"/>
      <c r="EML198" s="360"/>
      <c r="EMM198" s="360"/>
      <c r="EMN198" s="360"/>
      <c r="EMO198" s="360"/>
      <c r="EMP198" s="360"/>
      <c r="EMQ198" s="360"/>
      <c r="EMR198" s="360"/>
      <c r="EMS198" s="360"/>
      <c r="EMT198" s="360"/>
      <c r="EMU198" s="360"/>
      <c r="EMV198" s="360"/>
      <c r="EMW198" s="360"/>
      <c r="EMX198" s="360"/>
      <c r="EMY198" s="360"/>
      <c r="EMZ198" s="360"/>
      <c r="ENA198" s="360"/>
      <c r="ENB198" s="360"/>
      <c r="ENC198" s="360"/>
      <c r="END198" s="360"/>
      <c r="ENE198" s="360"/>
      <c r="ENF198" s="360"/>
      <c r="ENG198" s="360"/>
      <c r="ENH198" s="360"/>
      <c r="ENI198" s="360"/>
      <c r="ENJ198" s="360"/>
      <c r="ENK198" s="360"/>
      <c r="ENL198" s="360"/>
      <c r="ENM198" s="360"/>
      <c r="ENN198" s="360"/>
      <c r="ENO198" s="360"/>
      <c r="ENP198" s="360"/>
      <c r="ENQ198" s="360"/>
      <c r="ENR198" s="360"/>
      <c r="ENS198" s="360"/>
      <c r="ENT198" s="360"/>
      <c r="ENU198" s="360"/>
      <c r="ENV198" s="360"/>
      <c r="ENW198" s="360"/>
      <c r="ENX198" s="360"/>
      <c r="ENY198" s="360"/>
      <c r="ENZ198" s="360"/>
      <c r="EOA198" s="360"/>
      <c r="EOB198" s="360"/>
      <c r="EOC198" s="360"/>
      <c r="EOD198" s="360"/>
      <c r="EOE198" s="360"/>
      <c r="EOF198" s="360"/>
      <c r="EOG198" s="360"/>
      <c r="EOH198" s="360"/>
      <c r="EOI198" s="360"/>
      <c r="EOJ198" s="360"/>
      <c r="EOK198" s="360"/>
      <c r="EOL198" s="360"/>
      <c r="EOM198" s="360"/>
      <c r="EON198" s="360"/>
      <c r="EOO198" s="360"/>
      <c r="EOP198" s="360"/>
      <c r="EOQ198" s="360"/>
      <c r="EOR198" s="360"/>
      <c r="EOS198" s="360"/>
      <c r="EOT198" s="360"/>
      <c r="EOU198" s="360"/>
      <c r="EOV198" s="360"/>
      <c r="EOW198" s="360"/>
      <c r="EOX198" s="360"/>
      <c r="EOY198" s="360"/>
      <c r="EOZ198" s="360"/>
      <c r="EPA198" s="360"/>
      <c r="EPB198" s="360"/>
      <c r="EPC198" s="360"/>
      <c r="EPD198" s="360"/>
      <c r="EPE198" s="360"/>
      <c r="EPF198" s="360"/>
      <c r="EPG198" s="360"/>
      <c r="EPH198" s="360"/>
      <c r="EPI198" s="360"/>
      <c r="EPJ198" s="360"/>
      <c r="EPK198" s="360"/>
      <c r="EPL198" s="360"/>
      <c r="EPM198" s="360"/>
      <c r="EPN198" s="360"/>
      <c r="EPO198" s="360"/>
      <c r="EPP198" s="360"/>
      <c r="EPQ198" s="360"/>
      <c r="EPR198" s="360"/>
      <c r="EPS198" s="360"/>
      <c r="EPT198" s="360"/>
      <c r="EPU198" s="360"/>
      <c r="EPV198" s="360"/>
      <c r="EPW198" s="360"/>
      <c r="EPX198" s="360"/>
      <c r="EPY198" s="360"/>
      <c r="EPZ198" s="360"/>
      <c r="EQA198" s="360"/>
      <c r="EQB198" s="360"/>
      <c r="EQC198" s="360"/>
      <c r="EQD198" s="360"/>
      <c r="EQE198" s="360"/>
      <c r="EQF198" s="360"/>
      <c r="EQG198" s="360"/>
      <c r="EQH198" s="360"/>
      <c r="EQI198" s="360"/>
      <c r="EQJ198" s="360"/>
      <c r="EQK198" s="360"/>
      <c r="EQL198" s="360"/>
      <c r="EQM198" s="360"/>
      <c r="EQN198" s="360"/>
      <c r="EQO198" s="360"/>
      <c r="EQP198" s="360"/>
      <c r="EQQ198" s="360"/>
      <c r="EQR198" s="360"/>
      <c r="EQS198" s="360"/>
      <c r="EQT198" s="360"/>
      <c r="EQU198" s="360"/>
      <c r="EQV198" s="360"/>
      <c r="EQW198" s="360"/>
      <c r="EQX198" s="360"/>
      <c r="EQY198" s="360"/>
      <c r="EQZ198" s="360"/>
      <c r="ERA198" s="360"/>
      <c r="ERB198" s="360"/>
      <c r="ERC198" s="360"/>
      <c r="ERD198" s="360"/>
      <c r="ERE198" s="360"/>
      <c r="ERF198" s="360"/>
      <c r="ERG198" s="360"/>
      <c r="ERH198" s="360"/>
      <c r="ERI198" s="360"/>
      <c r="ERJ198" s="360"/>
      <c r="ERK198" s="360"/>
      <c r="ERL198" s="360"/>
      <c r="ERM198" s="360"/>
      <c r="ERN198" s="360"/>
      <c r="ERO198" s="360"/>
      <c r="ERP198" s="360"/>
      <c r="ERQ198" s="360"/>
      <c r="ERR198" s="360"/>
      <c r="ERS198" s="360"/>
      <c r="ERT198" s="360"/>
      <c r="ERU198" s="360"/>
      <c r="ERV198" s="360"/>
      <c r="ERW198" s="360"/>
      <c r="ERX198" s="360"/>
      <c r="ERY198" s="360"/>
      <c r="ERZ198" s="360"/>
      <c r="ESA198" s="360"/>
      <c r="ESB198" s="360"/>
      <c r="ESC198" s="360"/>
      <c r="ESD198" s="360"/>
      <c r="ESE198" s="360"/>
      <c r="ESF198" s="360"/>
      <c r="ESG198" s="360"/>
      <c r="ESH198" s="360"/>
      <c r="ESI198" s="360"/>
      <c r="ESJ198" s="360"/>
      <c r="ESK198" s="360"/>
      <c r="ESL198" s="360"/>
      <c r="ESM198" s="360"/>
      <c r="ESN198" s="360"/>
      <c r="ESO198" s="360"/>
      <c r="ESP198" s="360"/>
      <c r="ESQ198" s="360"/>
      <c r="ESR198" s="360"/>
      <c r="ESS198" s="360"/>
      <c r="EST198" s="360"/>
      <c r="ESU198" s="360"/>
      <c r="ESV198" s="360"/>
      <c r="ESW198" s="360"/>
      <c r="ESX198" s="360"/>
      <c r="ESY198" s="360"/>
      <c r="ESZ198" s="360"/>
      <c r="ETA198" s="360"/>
      <c r="ETB198" s="360"/>
      <c r="ETC198" s="360"/>
      <c r="ETD198" s="360"/>
      <c r="ETE198" s="360"/>
      <c r="ETF198" s="360"/>
      <c r="ETG198" s="360"/>
      <c r="ETH198" s="360"/>
      <c r="ETI198" s="360"/>
      <c r="ETJ198" s="360"/>
      <c r="ETK198" s="360"/>
      <c r="ETL198" s="360"/>
      <c r="ETM198" s="360"/>
      <c r="ETN198" s="360"/>
      <c r="ETO198" s="360"/>
      <c r="ETP198" s="360"/>
      <c r="ETQ198" s="360"/>
      <c r="ETR198" s="360"/>
      <c r="ETS198" s="360"/>
      <c r="ETT198" s="360"/>
      <c r="ETU198" s="360"/>
      <c r="ETV198" s="360"/>
      <c r="ETW198" s="360"/>
      <c r="ETX198" s="360"/>
      <c r="ETY198" s="360"/>
      <c r="ETZ198" s="360"/>
      <c r="EUA198" s="360"/>
      <c r="EUB198" s="360"/>
      <c r="EUC198" s="360"/>
      <c r="EUD198" s="360"/>
      <c r="EUE198" s="360"/>
      <c r="EUF198" s="360"/>
      <c r="EUG198" s="360"/>
      <c r="EUH198" s="360"/>
      <c r="EUI198" s="360"/>
      <c r="EUJ198" s="360"/>
      <c r="EUK198" s="360"/>
      <c r="EUL198" s="360"/>
      <c r="EUM198" s="360"/>
      <c r="EUN198" s="360"/>
      <c r="EUO198" s="360"/>
      <c r="EUP198" s="360"/>
      <c r="EUQ198" s="360"/>
      <c r="EUR198" s="360"/>
      <c r="EUS198" s="360"/>
      <c r="EUT198" s="360"/>
      <c r="EUU198" s="360"/>
      <c r="EUV198" s="360"/>
      <c r="EUW198" s="360"/>
      <c r="EUX198" s="360"/>
      <c r="EUY198" s="360"/>
      <c r="EUZ198" s="360"/>
      <c r="EVA198" s="360"/>
      <c r="EVB198" s="360"/>
      <c r="EVC198" s="360"/>
      <c r="EVD198" s="360"/>
      <c r="EVE198" s="360"/>
      <c r="EVF198" s="360"/>
      <c r="EVG198" s="360"/>
      <c r="EVH198" s="360"/>
      <c r="EVI198" s="360"/>
      <c r="EVJ198" s="360"/>
      <c r="EVK198" s="360"/>
      <c r="EVL198" s="360"/>
      <c r="EVM198" s="360"/>
      <c r="EVN198" s="360"/>
      <c r="EVO198" s="360"/>
      <c r="EVP198" s="360"/>
      <c r="EVQ198" s="360"/>
      <c r="EVR198" s="360"/>
      <c r="EVS198" s="360"/>
      <c r="EVT198" s="360"/>
      <c r="EVU198" s="360"/>
      <c r="EVV198" s="360"/>
      <c r="EVW198" s="360"/>
      <c r="EVX198" s="360"/>
      <c r="EVY198" s="360"/>
      <c r="EVZ198" s="360"/>
      <c r="EWA198" s="360"/>
      <c r="EWB198" s="360"/>
      <c r="EWC198" s="360"/>
      <c r="EWD198" s="360"/>
      <c r="EWE198" s="360"/>
      <c r="EWF198" s="360"/>
      <c r="EWG198" s="360"/>
      <c r="EWH198" s="360"/>
      <c r="EWI198" s="360"/>
      <c r="EWJ198" s="360"/>
      <c r="EWK198" s="360"/>
      <c r="EWL198" s="360"/>
      <c r="EWM198" s="360"/>
      <c r="EWN198" s="360"/>
      <c r="EWO198" s="360"/>
      <c r="EWP198" s="360"/>
      <c r="EWQ198" s="360"/>
      <c r="EWR198" s="360"/>
      <c r="EWS198" s="360"/>
      <c r="EWT198" s="360"/>
      <c r="EWU198" s="360"/>
      <c r="EWV198" s="360"/>
      <c r="EWW198" s="360"/>
      <c r="EWX198" s="360"/>
      <c r="EWY198" s="360"/>
      <c r="EWZ198" s="360"/>
      <c r="EXA198" s="360"/>
      <c r="EXB198" s="360"/>
      <c r="EXC198" s="360"/>
      <c r="EXD198" s="360"/>
      <c r="EXE198" s="360"/>
      <c r="EXF198" s="360"/>
      <c r="EXG198" s="360"/>
      <c r="EXH198" s="360"/>
      <c r="EXI198" s="360"/>
      <c r="EXJ198" s="360"/>
      <c r="EXK198" s="360"/>
      <c r="EXL198" s="360"/>
      <c r="EXM198" s="360"/>
      <c r="EXN198" s="360"/>
      <c r="EXO198" s="360"/>
      <c r="EXP198" s="360"/>
      <c r="EXQ198" s="360"/>
      <c r="EXR198" s="360"/>
      <c r="EXS198" s="360"/>
      <c r="EXT198" s="360"/>
      <c r="EXU198" s="360"/>
      <c r="EXV198" s="360"/>
      <c r="EXW198" s="360"/>
      <c r="EXX198" s="360"/>
      <c r="EXY198" s="360"/>
      <c r="EXZ198" s="360"/>
      <c r="EYA198" s="360"/>
      <c r="EYB198" s="360"/>
      <c r="EYC198" s="360"/>
      <c r="EYD198" s="360"/>
      <c r="EYE198" s="360"/>
      <c r="EYF198" s="360"/>
      <c r="EYG198" s="360"/>
      <c r="EYH198" s="360"/>
      <c r="EYI198" s="360"/>
      <c r="EYJ198" s="360"/>
      <c r="EYK198" s="360"/>
      <c r="EYL198" s="360"/>
      <c r="EYM198" s="360"/>
      <c r="EYN198" s="360"/>
      <c r="EYO198" s="360"/>
      <c r="EYP198" s="360"/>
      <c r="EYQ198" s="360"/>
      <c r="EYR198" s="360"/>
      <c r="EYS198" s="360"/>
      <c r="EYT198" s="360"/>
      <c r="EYU198" s="360"/>
      <c r="EYV198" s="360"/>
      <c r="EYW198" s="360"/>
      <c r="EYX198" s="360"/>
      <c r="EYY198" s="360"/>
      <c r="EYZ198" s="360"/>
      <c r="EZA198" s="360"/>
      <c r="EZB198" s="360"/>
      <c r="EZC198" s="360"/>
      <c r="EZD198" s="360"/>
      <c r="EZE198" s="360"/>
      <c r="EZF198" s="360"/>
      <c r="EZG198" s="360"/>
      <c r="EZH198" s="360"/>
      <c r="EZI198" s="360"/>
      <c r="EZJ198" s="360"/>
      <c r="EZK198" s="360"/>
      <c r="EZL198" s="360"/>
      <c r="EZM198" s="360"/>
      <c r="EZN198" s="360"/>
      <c r="EZO198" s="360"/>
      <c r="EZP198" s="360"/>
      <c r="EZQ198" s="360"/>
      <c r="EZR198" s="360"/>
      <c r="EZS198" s="360"/>
      <c r="EZT198" s="360"/>
      <c r="EZU198" s="360"/>
      <c r="EZV198" s="360"/>
      <c r="EZW198" s="360"/>
      <c r="EZX198" s="360"/>
      <c r="EZY198" s="360"/>
      <c r="EZZ198" s="360"/>
      <c r="FAA198" s="360"/>
      <c r="FAB198" s="360"/>
      <c r="FAC198" s="360"/>
      <c r="FAD198" s="360"/>
      <c r="FAE198" s="360"/>
      <c r="FAF198" s="360"/>
      <c r="FAG198" s="360"/>
      <c r="FAH198" s="360"/>
      <c r="FAI198" s="360"/>
      <c r="FAJ198" s="360"/>
      <c r="FAK198" s="360"/>
      <c r="FAL198" s="360"/>
      <c r="FAM198" s="360"/>
      <c r="FAN198" s="360"/>
      <c r="FAO198" s="360"/>
      <c r="FAP198" s="360"/>
      <c r="FAQ198" s="360"/>
      <c r="FAR198" s="360"/>
      <c r="FAS198" s="360"/>
      <c r="FAT198" s="360"/>
      <c r="FAU198" s="360"/>
      <c r="FAV198" s="360"/>
      <c r="FAW198" s="360"/>
      <c r="FAX198" s="360"/>
      <c r="FAY198" s="360"/>
      <c r="FAZ198" s="360"/>
      <c r="FBA198" s="360"/>
      <c r="FBB198" s="360"/>
      <c r="FBC198" s="360"/>
      <c r="FBD198" s="360"/>
      <c r="FBE198" s="360"/>
      <c r="FBF198" s="360"/>
      <c r="FBG198" s="360"/>
      <c r="FBH198" s="360"/>
      <c r="FBI198" s="360"/>
      <c r="FBJ198" s="360"/>
      <c r="FBK198" s="360"/>
      <c r="FBL198" s="360"/>
      <c r="FBM198" s="360"/>
      <c r="FBN198" s="360"/>
      <c r="FBO198" s="360"/>
      <c r="FBP198" s="360"/>
      <c r="FBQ198" s="360"/>
      <c r="FBR198" s="360"/>
      <c r="FBS198" s="360"/>
      <c r="FBT198" s="360"/>
      <c r="FBU198" s="360"/>
      <c r="FBV198" s="360"/>
      <c r="FBW198" s="360"/>
      <c r="FBX198" s="360"/>
      <c r="FBY198" s="360"/>
      <c r="FBZ198" s="360"/>
      <c r="FCA198" s="360"/>
      <c r="FCB198" s="360"/>
      <c r="FCC198" s="360"/>
      <c r="FCD198" s="360"/>
      <c r="FCE198" s="360"/>
      <c r="FCF198" s="360"/>
      <c r="FCG198" s="360"/>
      <c r="FCH198" s="360"/>
      <c r="FCI198" s="360"/>
      <c r="FCJ198" s="360"/>
      <c r="FCK198" s="360"/>
      <c r="FCL198" s="360"/>
      <c r="FCM198" s="360"/>
      <c r="FCN198" s="360"/>
      <c r="FCO198" s="360"/>
      <c r="FCP198" s="360"/>
      <c r="FCQ198" s="360"/>
      <c r="FCR198" s="360"/>
      <c r="FCS198" s="360"/>
      <c r="FCT198" s="360"/>
      <c r="FCU198" s="360"/>
      <c r="FCV198" s="360"/>
      <c r="FCW198" s="360"/>
      <c r="FCX198" s="360"/>
      <c r="FCY198" s="360"/>
      <c r="FCZ198" s="360"/>
      <c r="FDA198" s="360"/>
      <c r="FDB198" s="360"/>
      <c r="FDC198" s="360"/>
      <c r="FDD198" s="360"/>
      <c r="FDE198" s="360"/>
      <c r="FDF198" s="360"/>
      <c r="FDG198" s="360"/>
      <c r="FDH198" s="360"/>
      <c r="FDI198" s="360"/>
      <c r="FDJ198" s="360"/>
      <c r="FDK198" s="360"/>
      <c r="FDL198" s="360"/>
      <c r="FDM198" s="360"/>
      <c r="FDN198" s="360"/>
      <c r="FDO198" s="360"/>
      <c r="FDP198" s="360"/>
      <c r="FDQ198" s="360"/>
      <c r="FDR198" s="360"/>
      <c r="FDS198" s="360"/>
      <c r="FDT198" s="360"/>
      <c r="FDU198" s="360"/>
      <c r="FDV198" s="360"/>
      <c r="FDW198" s="360"/>
      <c r="FDX198" s="360"/>
      <c r="FDY198" s="360"/>
      <c r="FDZ198" s="360"/>
      <c r="FEA198" s="360"/>
      <c r="FEB198" s="360"/>
      <c r="FEC198" s="360"/>
      <c r="FED198" s="360"/>
      <c r="FEE198" s="360"/>
      <c r="FEF198" s="360"/>
      <c r="FEG198" s="360"/>
      <c r="FEH198" s="360"/>
      <c r="FEI198" s="360"/>
      <c r="FEJ198" s="360"/>
      <c r="FEK198" s="360"/>
      <c r="FEL198" s="360"/>
      <c r="FEM198" s="360"/>
      <c r="FEN198" s="360"/>
      <c r="FEO198" s="360"/>
      <c r="FEP198" s="360"/>
      <c r="FEQ198" s="360"/>
      <c r="FER198" s="360"/>
      <c r="FES198" s="360"/>
      <c r="FET198" s="360"/>
      <c r="FEU198" s="360"/>
      <c r="FEV198" s="360"/>
      <c r="FEW198" s="360"/>
      <c r="FEX198" s="360"/>
      <c r="FEY198" s="360"/>
      <c r="FEZ198" s="360"/>
      <c r="FFA198" s="360"/>
      <c r="FFB198" s="360"/>
      <c r="FFC198" s="360"/>
      <c r="FFD198" s="360"/>
      <c r="FFE198" s="360"/>
      <c r="FFF198" s="360"/>
      <c r="FFG198" s="360"/>
      <c r="FFH198" s="360"/>
      <c r="FFI198" s="360"/>
      <c r="FFJ198" s="360"/>
      <c r="FFK198" s="360"/>
      <c r="FFL198" s="360"/>
      <c r="FFM198" s="360"/>
      <c r="FFN198" s="360"/>
      <c r="FFO198" s="360"/>
      <c r="FFP198" s="360"/>
      <c r="FFQ198" s="360"/>
      <c r="FFR198" s="360"/>
      <c r="FFS198" s="360"/>
      <c r="FFT198" s="360"/>
      <c r="FFU198" s="360"/>
      <c r="FFV198" s="360"/>
      <c r="FFW198" s="360"/>
      <c r="FFX198" s="360"/>
      <c r="FFY198" s="360"/>
      <c r="FFZ198" s="360"/>
      <c r="FGA198" s="360"/>
      <c r="FGB198" s="360"/>
      <c r="FGC198" s="360"/>
      <c r="FGD198" s="360"/>
      <c r="FGE198" s="360"/>
      <c r="FGF198" s="360"/>
      <c r="FGG198" s="360"/>
      <c r="FGH198" s="360"/>
      <c r="FGI198" s="360"/>
      <c r="FGJ198" s="360"/>
      <c r="FGK198" s="360"/>
      <c r="FGL198" s="360"/>
      <c r="FGM198" s="360"/>
      <c r="FGN198" s="360"/>
      <c r="FGO198" s="360"/>
      <c r="FGP198" s="360"/>
      <c r="FGQ198" s="360"/>
      <c r="FGR198" s="360"/>
      <c r="FGS198" s="360"/>
      <c r="FGT198" s="360"/>
      <c r="FGU198" s="360"/>
      <c r="FGV198" s="360"/>
      <c r="FGW198" s="360"/>
      <c r="FGX198" s="360"/>
      <c r="FGY198" s="360"/>
      <c r="FGZ198" s="360"/>
      <c r="FHA198" s="360"/>
      <c r="FHB198" s="360"/>
      <c r="FHC198" s="360"/>
      <c r="FHD198" s="360"/>
      <c r="FHE198" s="360"/>
      <c r="FHF198" s="360"/>
      <c r="FHG198" s="360"/>
      <c r="FHH198" s="360"/>
      <c r="FHI198" s="360"/>
      <c r="FHJ198" s="360"/>
      <c r="FHK198" s="360"/>
      <c r="FHL198" s="360"/>
      <c r="FHM198" s="360"/>
      <c r="FHN198" s="360"/>
      <c r="FHO198" s="360"/>
      <c r="FHP198" s="360"/>
      <c r="FHQ198" s="360"/>
      <c r="FHR198" s="360"/>
      <c r="FHS198" s="360"/>
      <c r="FHT198" s="360"/>
      <c r="FHU198" s="360"/>
      <c r="FHV198" s="360"/>
      <c r="FHW198" s="360"/>
      <c r="FHX198" s="360"/>
      <c r="FHY198" s="360"/>
      <c r="FHZ198" s="360"/>
      <c r="FIA198" s="360"/>
      <c r="FIB198" s="360"/>
      <c r="FIC198" s="360"/>
      <c r="FID198" s="360"/>
      <c r="FIE198" s="360"/>
      <c r="FIF198" s="360"/>
      <c r="FIG198" s="360"/>
      <c r="FIH198" s="360"/>
      <c r="FII198" s="360"/>
      <c r="FIJ198" s="360"/>
      <c r="FIK198" s="360"/>
      <c r="FIL198" s="360"/>
      <c r="FIM198" s="360"/>
      <c r="FIN198" s="360"/>
      <c r="FIO198" s="360"/>
      <c r="FIP198" s="360"/>
      <c r="FIQ198" s="360"/>
      <c r="FIR198" s="360"/>
      <c r="FIS198" s="360"/>
      <c r="FIT198" s="360"/>
      <c r="FIU198" s="360"/>
      <c r="FIV198" s="360"/>
      <c r="FIW198" s="360"/>
      <c r="FIX198" s="360"/>
      <c r="FIY198" s="360"/>
      <c r="FIZ198" s="360"/>
      <c r="FJA198" s="360"/>
      <c r="FJB198" s="360"/>
      <c r="FJC198" s="360"/>
      <c r="FJD198" s="360"/>
      <c r="FJE198" s="360"/>
      <c r="FJF198" s="360"/>
      <c r="FJG198" s="360"/>
      <c r="FJH198" s="360"/>
      <c r="FJI198" s="360"/>
      <c r="FJJ198" s="360"/>
      <c r="FJK198" s="360"/>
      <c r="FJL198" s="360"/>
      <c r="FJM198" s="360"/>
      <c r="FJN198" s="360"/>
      <c r="FJO198" s="360"/>
      <c r="FJP198" s="360"/>
      <c r="FJQ198" s="360"/>
      <c r="FJR198" s="360"/>
      <c r="FJS198" s="360"/>
      <c r="FJT198" s="360"/>
      <c r="FJU198" s="360"/>
      <c r="FJV198" s="360"/>
      <c r="FJW198" s="360"/>
      <c r="FJX198" s="360"/>
      <c r="FJY198" s="360"/>
      <c r="FJZ198" s="360"/>
      <c r="FKA198" s="360"/>
      <c r="FKB198" s="360"/>
      <c r="FKC198" s="360"/>
      <c r="FKD198" s="360"/>
      <c r="FKE198" s="360"/>
      <c r="FKF198" s="360"/>
      <c r="FKG198" s="360"/>
      <c r="FKH198" s="360"/>
      <c r="FKI198" s="360"/>
      <c r="FKJ198" s="360"/>
      <c r="FKK198" s="360"/>
      <c r="FKL198" s="360"/>
      <c r="FKM198" s="360"/>
      <c r="FKN198" s="360"/>
      <c r="FKO198" s="360"/>
      <c r="FKP198" s="360"/>
      <c r="FKQ198" s="360"/>
      <c r="FKR198" s="360"/>
      <c r="FKS198" s="360"/>
      <c r="FKT198" s="360"/>
      <c r="FKU198" s="360"/>
      <c r="FKV198" s="360"/>
      <c r="FKW198" s="360"/>
      <c r="FKX198" s="360"/>
      <c r="FKY198" s="360"/>
      <c r="FKZ198" s="360"/>
      <c r="FLA198" s="360"/>
      <c r="FLB198" s="360"/>
      <c r="FLC198" s="360"/>
      <c r="FLD198" s="360"/>
      <c r="FLE198" s="360"/>
      <c r="FLF198" s="360"/>
      <c r="FLG198" s="360"/>
      <c r="FLH198" s="360"/>
      <c r="FLI198" s="360"/>
      <c r="FLJ198" s="360"/>
      <c r="FLK198" s="360"/>
      <c r="FLL198" s="360"/>
      <c r="FLM198" s="360"/>
      <c r="FLN198" s="360"/>
      <c r="FLO198" s="360"/>
      <c r="FLP198" s="360"/>
      <c r="FLQ198" s="360"/>
      <c r="FLR198" s="360"/>
      <c r="FLS198" s="360"/>
      <c r="FLT198" s="360"/>
      <c r="FLU198" s="360"/>
      <c r="FLV198" s="360"/>
      <c r="FLW198" s="360"/>
      <c r="FLX198" s="360"/>
      <c r="FLY198" s="360"/>
      <c r="FLZ198" s="360"/>
      <c r="FMA198" s="360"/>
      <c r="FMB198" s="360"/>
      <c r="FMC198" s="360"/>
      <c r="FMD198" s="360"/>
      <c r="FME198" s="360"/>
      <c r="FMF198" s="360"/>
      <c r="FMG198" s="360"/>
      <c r="FMH198" s="360"/>
      <c r="FMI198" s="360"/>
      <c r="FMJ198" s="360"/>
      <c r="FMK198" s="360"/>
      <c r="FML198" s="360"/>
      <c r="FMM198" s="360"/>
      <c r="FMN198" s="360"/>
      <c r="FMO198" s="360"/>
      <c r="FMP198" s="360"/>
      <c r="FMQ198" s="360"/>
      <c r="FMR198" s="360"/>
      <c r="FMS198" s="360"/>
      <c r="FMT198" s="360"/>
      <c r="FMU198" s="360"/>
      <c r="FMV198" s="360"/>
      <c r="FMW198" s="360"/>
      <c r="FMX198" s="360"/>
      <c r="FMY198" s="360"/>
      <c r="FMZ198" s="360"/>
      <c r="FNA198" s="360"/>
      <c r="FNB198" s="360"/>
      <c r="FNC198" s="360"/>
      <c r="FND198" s="360"/>
      <c r="FNE198" s="360"/>
      <c r="FNF198" s="360"/>
      <c r="FNG198" s="360"/>
      <c r="FNH198" s="360"/>
      <c r="FNI198" s="360"/>
      <c r="FNJ198" s="360"/>
      <c r="FNK198" s="360"/>
      <c r="FNL198" s="360"/>
      <c r="FNM198" s="360"/>
      <c r="FNN198" s="360"/>
      <c r="FNO198" s="360"/>
      <c r="FNP198" s="360"/>
      <c r="FNQ198" s="360"/>
      <c r="FNR198" s="360"/>
      <c r="FNS198" s="360"/>
      <c r="FNT198" s="360"/>
      <c r="FNU198" s="360"/>
      <c r="FNV198" s="360"/>
      <c r="FNW198" s="360"/>
      <c r="FNX198" s="360"/>
      <c r="FNY198" s="360"/>
      <c r="FNZ198" s="360"/>
      <c r="FOA198" s="360"/>
      <c r="FOB198" s="360"/>
      <c r="FOC198" s="360"/>
      <c r="FOD198" s="360"/>
      <c r="FOE198" s="360"/>
      <c r="FOF198" s="360"/>
      <c r="FOG198" s="360"/>
      <c r="FOH198" s="360"/>
      <c r="FOI198" s="360"/>
      <c r="FOJ198" s="360"/>
      <c r="FOK198" s="360"/>
      <c r="FOL198" s="360"/>
      <c r="FOM198" s="360"/>
      <c r="FON198" s="360"/>
      <c r="FOO198" s="360"/>
      <c r="FOP198" s="360"/>
      <c r="FOQ198" s="360"/>
      <c r="FOR198" s="360"/>
      <c r="FOS198" s="360"/>
      <c r="FOT198" s="360"/>
      <c r="FOU198" s="360"/>
      <c r="FOV198" s="360"/>
      <c r="FOW198" s="360"/>
      <c r="FOX198" s="360"/>
      <c r="FOY198" s="360"/>
      <c r="FOZ198" s="360"/>
      <c r="FPA198" s="360"/>
      <c r="FPB198" s="360"/>
      <c r="FPC198" s="360"/>
      <c r="FPD198" s="360"/>
      <c r="FPE198" s="360"/>
      <c r="FPF198" s="360"/>
      <c r="FPG198" s="360"/>
      <c r="FPH198" s="360"/>
      <c r="FPI198" s="360"/>
      <c r="FPJ198" s="360"/>
      <c r="FPK198" s="360"/>
      <c r="FPL198" s="360"/>
      <c r="FPM198" s="360"/>
      <c r="FPN198" s="360"/>
      <c r="FPO198" s="360"/>
      <c r="FPP198" s="360"/>
      <c r="FPQ198" s="360"/>
      <c r="FPR198" s="360"/>
      <c r="FPS198" s="360"/>
      <c r="FPT198" s="360"/>
      <c r="FPU198" s="360"/>
      <c r="FPV198" s="360"/>
      <c r="FPW198" s="360"/>
      <c r="FPX198" s="360"/>
      <c r="FPY198" s="360"/>
      <c r="FPZ198" s="360"/>
      <c r="FQA198" s="360"/>
      <c r="FQB198" s="360"/>
      <c r="FQC198" s="360"/>
      <c r="FQD198" s="360"/>
      <c r="FQE198" s="360"/>
      <c r="FQF198" s="360"/>
      <c r="FQG198" s="360"/>
      <c r="FQH198" s="360"/>
      <c r="FQI198" s="360"/>
      <c r="FQJ198" s="360"/>
      <c r="FQK198" s="360"/>
      <c r="FQL198" s="360"/>
      <c r="FQM198" s="360"/>
      <c r="FQN198" s="360"/>
      <c r="FQO198" s="360"/>
      <c r="FQP198" s="360"/>
      <c r="FQQ198" s="360"/>
      <c r="FQR198" s="360"/>
      <c r="FQS198" s="360"/>
      <c r="FQT198" s="360"/>
      <c r="FQU198" s="360"/>
      <c r="FQV198" s="360"/>
      <c r="FQW198" s="360"/>
      <c r="FQX198" s="360"/>
      <c r="FQY198" s="360"/>
      <c r="FQZ198" s="360"/>
      <c r="FRA198" s="360"/>
      <c r="FRB198" s="360"/>
      <c r="FRC198" s="360"/>
      <c r="FRD198" s="360"/>
      <c r="FRE198" s="360"/>
      <c r="FRF198" s="360"/>
      <c r="FRG198" s="360"/>
      <c r="FRH198" s="360"/>
      <c r="FRI198" s="360"/>
      <c r="FRJ198" s="360"/>
      <c r="FRK198" s="360"/>
      <c r="FRL198" s="360"/>
      <c r="FRM198" s="360"/>
      <c r="FRN198" s="360"/>
      <c r="FRO198" s="360"/>
      <c r="FRP198" s="360"/>
      <c r="FRQ198" s="360"/>
      <c r="FRR198" s="360"/>
      <c r="FRS198" s="360"/>
      <c r="FRT198" s="360"/>
      <c r="FRU198" s="360"/>
      <c r="FRV198" s="360"/>
      <c r="FRW198" s="360"/>
      <c r="FRX198" s="360"/>
      <c r="FRY198" s="360"/>
      <c r="FRZ198" s="360"/>
      <c r="FSA198" s="360"/>
      <c r="FSB198" s="360"/>
      <c r="FSC198" s="360"/>
      <c r="FSD198" s="360"/>
      <c r="FSE198" s="360"/>
      <c r="FSF198" s="360"/>
      <c r="FSG198" s="360"/>
      <c r="FSH198" s="360"/>
      <c r="FSI198" s="360"/>
      <c r="FSJ198" s="360"/>
      <c r="FSK198" s="360"/>
      <c r="FSL198" s="360"/>
      <c r="FSM198" s="360"/>
      <c r="FSN198" s="360"/>
      <c r="FSO198" s="360"/>
      <c r="FSP198" s="360"/>
      <c r="FSQ198" s="360"/>
      <c r="FSR198" s="360"/>
      <c r="FSS198" s="360"/>
      <c r="FST198" s="360"/>
      <c r="FSU198" s="360"/>
      <c r="FSV198" s="360"/>
      <c r="FSW198" s="360"/>
      <c r="FSX198" s="360"/>
      <c r="FSY198" s="360"/>
      <c r="FSZ198" s="360"/>
      <c r="FTA198" s="360"/>
      <c r="FTB198" s="360"/>
      <c r="FTC198" s="360"/>
      <c r="FTD198" s="360"/>
      <c r="FTE198" s="360"/>
      <c r="FTF198" s="360"/>
      <c r="FTG198" s="360"/>
      <c r="FTH198" s="360"/>
      <c r="FTI198" s="360"/>
      <c r="FTJ198" s="360"/>
      <c r="FTK198" s="360"/>
      <c r="FTL198" s="360"/>
      <c r="FTM198" s="360"/>
      <c r="FTN198" s="360"/>
      <c r="FTO198" s="360"/>
      <c r="FTP198" s="360"/>
      <c r="FTQ198" s="360"/>
      <c r="FTR198" s="360"/>
      <c r="FTS198" s="360"/>
      <c r="FTT198" s="360"/>
      <c r="FTU198" s="360"/>
      <c r="FTV198" s="360"/>
      <c r="FTW198" s="360"/>
      <c r="FTX198" s="360"/>
      <c r="FTY198" s="360"/>
      <c r="FTZ198" s="360"/>
      <c r="FUA198" s="360"/>
      <c r="FUB198" s="360"/>
      <c r="FUC198" s="360"/>
      <c r="FUD198" s="360"/>
      <c r="FUE198" s="360"/>
      <c r="FUF198" s="360"/>
      <c r="FUG198" s="360"/>
      <c r="FUH198" s="360"/>
      <c r="FUI198" s="360"/>
      <c r="FUJ198" s="360"/>
      <c r="FUK198" s="360"/>
      <c r="FUL198" s="360"/>
      <c r="FUM198" s="360"/>
      <c r="FUN198" s="360"/>
      <c r="FUO198" s="360"/>
      <c r="FUP198" s="360"/>
      <c r="FUQ198" s="360"/>
      <c r="FUR198" s="360"/>
      <c r="FUS198" s="360"/>
      <c r="FUT198" s="360"/>
      <c r="FUU198" s="360"/>
      <c r="FUV198" s="360"/>
      <c r="FUW198" s="360"/>
      <c r="FUX198" s="360"/>
      <c r="FUY198" s="360"/>
      <c r="FUZ198" s="360"/>
      <c r="FVA198" s="360"/>
      <c r="FVB198" s="360"/>
      <c r="FVC198" s="360"/>
      <c r="FVD198" s="360"/>
      <c r="FVE198" s="360"/>
      <c r="FVF198" s="360"/>
      <c r="FVG198" s="360"/>
      <c r="FVH198" s="360"/>
      <c r="FVI198" s="360"/>
      <c r="FVJ198" s="360"/>
      <c r="FVK198" s="360"/>
      <c r="FVL198" s="360"/>
      <c r="FVM198" s="360"/>
      <c r="FVN198" s="360"/>
      <c r="FVO198" s="360"/>
      <c r="FVP198" s="360"/>
      <c r="FVQ198" s="360"/>
      <c r="FVR198" s="360"/>
      <c r="FVS198" s="360"/>
      <c r="FVT198" s="360"/>
      <c r="FVU198" s="360"/>
      <c r="FVV198" s="360"/>
      <c r="FVW198" s="360"/>
      <c r="FVX198" s="360"/>
      <c r="FVY198" s="360"/>
      <c r="FVZ198" s="360"/>
      <c r="FWA198" s="360"/>
      <c r="FWB198" s="360"/>
      <c r="FWC198" s="360"/>
      <c r="FWD198" s="360"/>
      <c r="FWE198" s="360"/>
      <c r="FWF198" s="360"/>
      <c r="FWG198" s="360"/>
      <c r="FWH198" s="360"/>
      <c r="FWI198" s="360"/>
      <c r="FWJ198" s="360"/>
      <c r="FWK198" s="360"/>
      <c r="FWL198" s="360"/>
      <c r="FWM198" s="360"/>
      <c r="FWN198" s="360"/>
      <c r="FWO198" s="360"/>
      <c r="FWP198" s="360"/>
      <c r="FWQ198" s="360"/>
      <c r="FWR198" s="360"/>
      <c r="FWS198" s="360"/>
      <c r="FWT198" s="360"/>
      <c r="FWU198" s="360"/>
      <c r="FWV198" s="360"/>
      <c r="FWW198" s="360"/>
      <c r="FWX198" s="360"/>
      <c r="FWY198" s="360"/>
      <c r="FWZ198" s="360"/>
      <c r="FXA198" s="360"/>
      <c r="FXB198" s="360"/>
      <c r="FXC198" s="360"/>
      <c r="FXD198" s="360"/>
      <c r="FXE198" s="360"/>
      <c r="FXF198" s="360"/>
      <c r="FXG198" s="360"/>
      <c r="FXH198" s="360"/>
      <c r="FXI198" s="360"/>
      <c r="FXJ198" s="360"/>
      <c r="FXK198" s="360"/>
      <c r="FXL198" s="360"/>
      <c r="FXM198" s="360"/>
      <c r="FXN198" s="360"/>
      <c r="FXO198" s="360"/>
      <c r="FXP198" s="360"/>
      <c r="FXQ198" s="360"/>
      <c r="FXR198" s="360"/>
      <c r="FXS198" s="360"/>
      <c r="FXT198" s="360"/>
      <c r="FXU198" s="360"/>
      <c r="FXV198" s="360"/>
      <c r="FXW198" s="360"/>
      <c r="FXX198" s="360"/>
      <c r="FXY198" s="360"/>
      <c r="FXZ198" s="360"/>
      <c r="FYA198" s="360"/>
      <c r="FYB198" s="360"/>
      <c r="FYC198" s="360"/>
      <c r="FYD198" s="360"/>
      <c r="FYE198" s="360"/>
      <c r="FYF198" s="360"/>
      <c r="FYG198" s="360"/>
      <c r="FYH198" s="360"/>
      <c r="FYI198" s="360"/>
      <c r="FYJ198" s="360"/>
      <c r="FYK198" s="360"/>
      <c r="FYL198" s="360"/>
      <c r="FYM198" s="360"/>
      <c r="FYN198" s="360"/>
      <c r="FYO198" s="360"/>
      <c r="FYP198" s="360"/>
      <c r="FYQ198" s="360"/>
      <c r="FYR198" s="360"/>
      <c r="FYS198" s="360"/>
      <c r="FYT198" s="360"/>
      <c r="FYU198" s="360"/>
      <c r="FYV198" s="360"/>
      <c r="FYW198" s="360"/>
      <c r="FYX198" s="360"/>
      <c r="FYY198" s="360"/>
      <c r="FYZ198" s="360"/>
      <c r="FZA198" s="360"/>
      <c r="FZB198" s="360"/>
      <c r="FZC198" s="360"/>
      <c r="FZD198" s="360"/>
      <c r="FZE198" s="360"/>
      <c r="FZF198" s="360"/>
      <c r="FZG198" s="360"/>
      <c r="FZH198" s="360"/>
      <c r="FZI198" s="360"/>
      <c r="FZJ198" s="360"/>
      <c r="FZK198" s="360"/>
      <c r="FZL198" s="360"/>
      <c r="FZM198" s="360"/>
      <c r="FZN198" s="360"/>
      <c r="FZO198" s="360"/>
      <c r="FZP198" s="360"/>
      <c r="FZQ198" s="360"/>
      <c r="FZR198" s="360"/>
      <c r="FZS198" s="360"/>
      <c r="FZT198" s="360"/>
      <c r="FZU198" s="360"/>
      <c r="FZV198" s="360"/>
      <c r="FZW198" s="360"/>
      <c r="FZX198" s="360"/>
      <c r="FZY198" s="360"/>
      <c r="FZZ198" s="360"/>
      <c r="GAA198" s="360"/>
      <c r="GAB198" s="360"/>
      <c r="GAC198" s="360"/>
      <c r="GAD198" s="360"/>
      <c r="GAE198" s="360"/>
      <c r="GAF198" s="360"/>
      <c r="GAG198" s="360"/>
      <c r="GAH198" s="360"/>
      <c r="GAI198" s="360"/>
      <c r="GAJ198" s="360"/>
      <c r="GAK198" s="360"/>
      <c r="GAL198" s="360"/>
      <c r="GAM198" s="360"/>
      <c r="GAN198" s="360"/>
      <c r="GAO198" s="360"/>
      <c r="GAP198" s="360"/>
      <c r="GAQ198" s="360"/>
      <c r="GAR198" s="360"/>
      <c r="GAS198" s="360"/>
      <c r="GAT198" s="360"/>
      <c r="GAU198" s="360"/>
      <c r="GAV198" s="360"/>
      <c r="GAW198" s="360"/>
      <c r="GAX198" s="360"/>
      <c r="GAY198" s="360"/>
      <c r="GAZ198" s="360"/>
      <c r="GBA198" s="360"/>
      <c r="GBB198" s="360"/>
      <c r="GBC198" s="360"/>
      <c r="GBD198" s="360"/>
      <c r="GBE198" s="360"/>
      <c r="GBF198" s="360"/>
      <c r="GBG198" s="360"/>
      <c r="GBH198" s="360"/>
      <c r="GBI198" s="360"/>
      <c r="GBJ198" s="360"/>
      <c r="GBK198" s="360"/>
      <c r="GBL198" s="360"/>
      <c r="GBM198" s="360"/>
      <c r="GBN198" s="360"/>
      <c r="GBO198" s="360"/>
      <c r="GBP198" s="360"/>
      <c r="GBQ198" s="360"/>
      <c r="GBR198" s="360"/>
      <c r="GBS198" s="360"/>
      <c r="GBT198" s="360"/>
      <c r="GBU198" s="360"/>
      <c r="GBV198" s="360"/>
      <c r="GBW198" s="360"/>
      <c r="GBX198" s="360"/>
      <c r="GBY198" s="360"/>
      <c r="GBZ198" s="360"/>
      <c r="GCA198" s="360"/>
      <c r="GCB198" s="360"/>
      <c r="GCC198" s="360"/>
      <c r="GCD198" s="360"/>
      <c r="GCE198" s="360"/>
      <c r="GCF198" s="360"/>
      <c r="GCG198" s="360"/>
      <c r="GCH198" s="360"/>
      <c r="GCI198" s="360"/>
      <c r="GCJ198" s="360"/>
      <c r="GCK198" s="360"/>
      <c r="GCL198" s="360"/>
      <c r="GCM198" s="360"/>
      <c r="GCN198" s="360"/>
      <c r="GCO198" s="360"/>
      <c r="GCP198" s="360"/>
      <c r="GCQ198" s="360"/>
      <c r="GCR198" s="360"/>
      <c r="GCS198" s="360"/>
      <c r="GCT198" s="360"/>
      <c r="GCU198" s="360"/>
      <c r="GCV198" s="360"/>
      <c r="GCW198" s="360"/>
      <c r="GCX198" s="360"/>
      <c r="GCY198" s="360"/>
      <c r="GCZ198" s="360"/>
      <c r="GDA198" s="360"/>
      <c r="GDB198" s="360"/>
      <c r="GDC198" s="360"/>
      <c r="GDD198" s="360"/>
      <c r="GDE198" s="360"/>
      <c r="GDF198" s="360"/>
      <c r="GDG198" s="360"/>
      <c r="GDH198" s="360"/>
      <c r="GDI198" s="360"/>
      <c r="GDJ198" s="360"/>
      <c r="GDK198" s="360"/>
      <c r="GDL198" s="360"/>
      <c r="GDM198" s="360"/>
      <c r="GDN198" s="360"/>
      <c r="GDO198" s="360"/>
      <c r="GDP198" s="360"/>
      <c r="GDQ198" s="360"/>
      <c r="GDR198" s="360"/>
      <c r="GDS198" s="360"/>
      <c r="GDT198" s="360"/>
      <c r="GDU198" s="360"/>
      <c r="GDV198" s="360"/>
      <c r="GDW198" s="360"/>
      <c r="GDX198" s="360"/>
      <c r="GDY198" s="360"/>
      <c r="GDZ198" s="360"/>
      <c r="GEA198" s="360"/>
      <c r="GEB198" s="360"/>
      <c r="GEC198" s="360"/>
      <c r="GED198" s="360"/>
      <c r="GEE198" s="360"/>
      <c r="GEF198" s="360"/>
      <c r="GEG198" s="360"/>
      <c r="GEH198" s="360"/>
      <c r="GEI198" s="360"/>
      <c r="GEJ198" s="360"/>
      <c r="GEK198" s="360"/>
      <c r="GEL198" s="360"/>
      <c r="GEM198" s="360"/>
      <c r="GEN198" s="360"/>
      <c r="GEO198" s="360"/>
      <c r="GEP198" s="360"/>
      <c r="GEQ198" s="360"/>
      <c r="GER198" s="360"/>
      <c r="GES198" s="360"/>
      <c r="GET198" s="360"/>
      <c r="GEU198" s="360"/>
      <c r="GEV198" s="360"/>
      <c r="GEW198" s="360"/>
      <c r="GEX198" s="360"/>
      <c r="GEY198" s="360"/>
      <c r="GEZ198" s="360"/>
      <c r="GFA198" s="360"/>
      <c r="GFB198" s="360"/>
      <c r="GFC198" s="360"/>
      <c r="GFD198" s="360"/>
      <c r="GFE198" s="360"/>
      <c r="GFF198" s="360"/>
      <c r="GFG198" s="360"/>
      <c r="GFH198" s="360"/>
      <c r="GFI198" s="360"/>
      <c r="GFJ198" s="360"/>
      <c r="GFK198" s="360"/>
      <c r="GFL198" s="360"/>
      <c r="GFM198" s="360"/>
      <c r="GFN198" s="360"/>
      <c r="GFO198" s="360"/>
      <c r="GFP198" s="360"/>
      <c r="GFQ198" s="360"/>
      <c r="GFR198" s="360"/>
      <c r="GFS198" s="360"/>
      <c r="GFT198" s="360"/>
      <c r="GFU198" s="360"/>
      <c r="GFV198" s="360"/>
      <c r="GFW198" s="360"/>
      <c r="GFX198" s="360"/>
      <c r="GFY198" s="360"/>
      <c r="GFZ198" s="360"/>
      <c r="GGA198" s="360"/>
      <c r="GGB198" s="360"/>
      <c r="GGC198" s="360"/>
      <c r="GGD198" s="360"/>
      <c r="GGE198" s="360"/>
      <c r="GGF198" s="360"/>
      <c r="GGG198" s="360"/>
      <c r="GGH198" s="360"/>
      <c r="GGI198" s="360"/>
      <c r="GGJ198" s="360"/>
      <c r="GGK198" s="360"/>
      <c r="GGL198" s="360"/>
      <c r="GGM198" s="360"/>
      <c r="GGN198" s="360"/>
      <c r="GGO198" s="360"/>
      <c r="GGP198" s="360"/>
      <c r="GGQ198" s="360"/>
      <c r="GGR198" s="360"/>
      <c r="GGS198" s="360"/>
      <c r="GGT198" s="360"/>
      <c r="GGU198" s="360"/>
      <c r="GGV198" s="360"/>
      <c r="GGW198" s="360"/>
      <c r="GGX198" s="360"/>
      <c r="GGY198" s="360"/>
      <c r="GGZ198" s="360"/>
      <c r="GHA198" s="360"/>
      <c r="GHB198" s="360"/>
      <c r="GHC198" s="360"/>
      <c r="GHD198" s="360"/>
      <c r="GHE198" s="360"/>
      <c r="GHF198" s="360"/>
      <c r="GHG198" s="360"/>
      <c r="GHH198" s="360"/>
      <c r="GHI198" s="360"/>
      <c r="GHJ198" s="360"/>
      <c r="GHK198" s="360"/>
      <c r="GHL198" s="360"/>
      <c r="GHM198" s="360"/>
      <c r="GHN198" s="360"/>
      <c r="GHO198" s="360"/>
      <c r="GHP198" s="360"/>
      <c r="GHQ198" s="360"/>
      <c r="GHR198" s="360"/>
      <c r="GHS198" s="360"/>
      <c r="GHT198" s="360"/>
      <c r="GHU198" s="360"/>
      <c r="GHV198" s="360"/>
      <c r="GHW198" s="360"/>
      <c r="GHX198" s="360"/>
      <c r="GHY198" s="360"/>
      <c r="GHZ198" s="360"/>
      <c r="GIA198" s="360"/>
      <c r="GIB198" s="360"/>
      <c r="GIC198" s="360"/>
      <c r="GID198" s="360"/>
      <c r="GIE198" s="360"/>
      <c r="GIF198" s="360"/>
      <c r="GIG198" s="360"/>
      <c r="GIH198" s="360"/>
      <c r="GII198" s="360"/>
      <c r="GIJ198" s="360"/>
      <c r="GIK198" s="360"/>
      <c r="GIL198" s="360"/>
      <c r="GIM198" s="360"/>
      <c r="GIN198" s="360"/>
      <c r="GIO198" s="360"/>
      <c r="GIP198" s="360"/>
      <c r="GIQ198" s="360"/>
      <c r="GIR198" s="360"/>
      <c r="GIS198" s="360"/>
      <c r="GIT198" s="360"/>
      <c r="GIU198" s="360"/>
      <c r="GIV198" s="360"/>
      <c r="GIW198" s="360"/>
      <c r="GIX198" s="360"/>
      <c r="GIY198" s="360"/>
      <c r="GIZ198" s="360"/>
      <c r="GJA198" s="360"/>
      <c r="GJB198" s="360"/>
      <c r="GJC198" s="360"/>
      <c r="GJD198" s="360"/>
      <c r="GJE198" s="360"/>
      <c r="GJF198" s="360"/>
      <c r="GJG198" s="360"/>
      <c r="GJH198" s="360"/>
      <c r="GJI198" s="360"/>
      <c r="GJJ198" s="360"/>
      <c r="GJK198" s="360"/>
      <c r="GJL198" s="360"/>
      <c r="GJM198" s="360"/>
      <c r="GJN198" s="360"/>
      <c r="GJO198" s="360"/>
      <c r="GJP198" s="360"/>
      <c r="GJQ198" s="360"/>
      <c r="GJR198" s="360"/>
      <c r="GJS198" s="360"/>
      <c r="GJT198" s="360"/>
      <c r="GJU198" s="360"/>
      <c r="GJV198" s="360"/>
      <c r="GJW198" s="360"/>
      <c r="GJX198" s="360"/>
      <c r="GJY198" s="360"/>
      <c r="GJZ198" s="360"/>
      <c r="GKA198" s="360"/>
      <c r="GKB198" s="360"/>
      <c r="GKC198" s="360"/>
      <c r="GKD198" s="360"/>
      <c r="GKE198" s="360"/>
      <c r="GKF198" s="360"/>
      <c r="GKG198" s="360"/>
      <c r="GKH198" s="360"/>
      <c r="GKI198" s="360"/>
      <c r="GKJ198" s="360"/>
      <c r="GKK198" s="360"/>
      <c r="GKL198" s="360"/>
      <c r="GKM198" s="360"/>
      <c r="GKN198" s="360"/>
      <c r="GKO198" s="360"/>
      <c r="GKP198" s="360"/>
      <c r="GKQ198" s="360"/>
      <c r="GKR198" s="360"/>
      <c r="GKS198" s="360"/>
      <c r="GKT198" s="360"/>
      <c r="GKU198" s="360"/>
      <c r="GKV198" s="360"/>
      <c r="GKW198" s="360"/>
      <c r="GKX198" s="360"/>
      <c r="GKY198" s="360"/>
      <c r="GKZ198" s="360"/>
      <c r="GLA198" s="360"/>
      <c r="GLB198" s="360"/>
      <c r="GLC198" s="360"/>
      <c r="GLD198" s="360"/>
      <c r="GLE198" s="360"/>
      <c r="GLF198" s="360"/>
      <c r="GLG198" s="360"/>
      <c r="GLH198" s="360"/>
      <c r="GLI198" s="360"/>
      <c r="GLJ198" s="360"/>
      <c r="GLK198" s="360"/>
      <c r="GLL198" s="360"/>
      <c r="GLM198" s="360"/>
      <c r="GLN198" s="360"/>
      <c r="GLO198" s="360"/>
      <c r="GLP198" s="360"/>
      <c r="GLQ198" s="360"/>
      <c r="GLR198" s="360"/>
      <c r="GLS198" s="360"/>
      <c r="GLT198" s="360"/>
      <c r="GLU198" s="360"/>
      <c r="GLV198" s="360"/>
      <c r="GLW198" s="360"/>
      <c r="GLX198" s="360"/>
      <c r="GLY198" s="360"/>
      <c r="GLZ198" s="360"/>
      <c r="GMA198" s="360"/>
      <c r="GMB198" s="360"/>
      <c r="GMC198" s="360"/>
      <c r="GMD198" s="360"/>
      <c r="GME198" s="360"/>
      <c r="GMF198" s="360"/>
      <c r="GMG198" s="360"/>
      <c r="GMH198" s="360"/>
      <c r="GMI198" s="360"/>
      <c r="GMJ198" s="360"/>
      <c r="GMK198" s="360"/>
      <c r="GML198" s="360"/>
      <c r="GMM198" s="360"/>
      <c r="GMN198" s="360"/>
      <c r="GMO198" s="360"/>
      <c r="GMP198" s="360"/>
      <c r="GMQ198" s="360"/>
      <c r="GMR198" s="360"/>
      <c r="GMS198" s="360"/>
      <c r="GMT198" s="360"/>
      <c r="GMU198" s="360"/>
      <c r="GMV198" s="360"/>
      <c r="GMW198" s="360"/>
      <c r="GMX198" s="360"/>
      <c r="GMY198" s="360"/>
      <c r="GMZ198" s="360"/>
      <c r="GNA198" s="360"/>
      <c r="GNB198" s="360"/>
      <c r="GNC198" s="360"/>
      <c r="GND198" s="360"/>
      <c r="GNE198" s="360"/>
      <c r="GNF198" s="360"/>
      <c r="GNG198" s="360"/>
      <c r="GNH198" s="360"/>
      <c r="GNI198" s="360"/>
      <c r="GNJ198" s="360"/>
      <c r="GNK198" s="360"/>
      <c r="GNL198" s="360"/>
      <c r="GNM198" s="360"/>
      <c r="GNN198" s="360"/>
      <c r="GNO198" s="360"/>
      <c r="GNP198" s="360"/>
      <c r="GNQ198" s="360"/>
      <c r="GNR198" s="360"/>
      <c r="GNS198" s="360"/>
      <c r="GNT198" s="360"/>
      <c r="GNU198" s="360"/>
      <c r="GNV198" s="360"/>
      <c r="GNW198" s="360"/>
      <c r="GNX198" s="360"/>
      <c r="GNY198" s="360"/>
      <c r="GNZ198" s="360"/>
      <c r="GOA198" s="360"/>
      <c r="GOB198" s="360"/>
      <c r="GOC198" s="360"/>
      <c r="GOD198" s="360"/>
      <c r="GOE198" s="360"/>
      <c r="GOF198" s="360"/>
      <c r="GOG198" s="360"/>
      <c r="GOH198" s="360"/>
      <c r="GOI198" s="360"/>
      <c r="GOJ198" s="360"/>
      <c r="GOK198" s="360"/>
      <c r="GOL198" s="360"/>
      <c r="GOM198" s="360"/>
      <c r="GON198" s="360"/>
      <c r="GOO198" s="360"/>
      <c r="GOP198" s="360"/>
      <c r="GOQ198" s="360"/>
      <c r="GOR198" s="360"/>
      <c r="GOS198" s="360"/>
      <c r="GOT198" s="360"/>
      <c r="GOU198" s="360"/>
      <c r="GOV198" s="360"/>
      <c r="GOW198" s="360"/>
      <c r="GOX198" s="360"/>
      <c r="GOY198" s="360"/>
      <c r="GOZ198" s="360"/>
      <c r="GPA198" s="360"/>
      <c r="GPB198" s="360"/>
      <c r="GPC198" s="360"/>
      <c r="GPD198" s="360"/>
      <c r="GPE198" s="360"/>
      <c r="GPF198" s="360"/>
      <c r="GPG198" s="360"/>
      <c r="GPH198" s="360"/>
      <c r="GPI198" s="360"/>
      <c r="GPJ198" s="360"/>
      <c r="GPK198" s="360"/>
      <c r="GPL198" s="360"/>
      <c r="GPM198" s="360"/>
      <c r="GPN198" s="360"/>
      <c r="GPO198" s="360"/>
      <c r="GPP198" s="360"/>
      <c r="GPQ198" s="360"/>
      <c r="GPR198" s="360"/>
      <c r="GPS198" s="360"/>
      <c r="GPT198" s="360"/>
      <c r="GPU198" s="360"/>
      <c r="GPV198" s="360"/>
      <c r="GPW198" s="360"/>
      <c r="GPX198" s="360"/>
      <c r="GPY198" s="360"/>
      <c r="GPZ198" s="360"/>
      <c r="GQA198" s="360"/>
      <c r="GQB198" s="360"/>
      <c r="GQC198" s="360"/>
      <c r="GQD198" s="360"/>
      <c r="GQE198" s="360"/>
      <c r="GQF198" s="360"/>
      <c r="GQG198" s="360"/>
      <c r="GQH198" s="360"/>
      <c r="GQI198" s="360"/>
      <c r="GQJ198" s="360"/>
      <c r="GQK198" s="360"/>
      <c r="GQL198" s="360"/>
      <c r="GQM198" s="360"/>
      <c r="GQN198" s="360"/>
      <c r="GQO198" s="360"/>
      <c r="GQP198" s="360"/>
      <c r="GQQ198" s="360"/>
      <c r="GQR198" s="360"/>
      <c r="GQS198" s="360"/>
      <c r="GQT198" s="360"/>
      <c r="GQU198" s="360"/>
      <c r="GQV198" s="360"/>
      <c r="GQW198" s="360"/>
      <c r="GQX198" s="360"/>
      <c r="GQY198" s="360"/>
      <c r="GQZ198" s="360"/>
      <c r="GRA198" s="360"/>
      <c r="GRB198" s="360"/>
      <c r="GRC198" s="360"/>
      <c r="GRD198" s="360"/>
      <c r="GRE198" s="360"/>
      <c r="GRF198" s="360"/>
      <c r="GRG198" s="360"/>
      <c r="GRH198" s="360"/>
      <c r="GRI198" s="360"/>
      <c r="GRJ198" s="360"/>
      <c r="GRK198" s="360"/>
      <c r="GRL198" s="360"/>
      <c r="GRM198" s="360"/>
      <c r="GRN198" s="360"/>
      <c r="GRO198" s="360"/>
      <c r="GRP198" s="360"/>
      <c r="GRQ198" s="360"/>
      <c r="GRR198" s="360"/>
      <c r="GRS198" s="360"/>
      <c r="GRT198" s="360"/>
      <c r="GRU198" s="360"/>
      <c r="GRV198" s="360"/>
      <c r="GRW198" s="360"/>
      <c r="GRX198" s="360"/>
      <c r="GRY198" s="360"/>
      <c r="GRZ198" s="360"/>
      <c r="GSA198" s="360"/>
      <c r="GSB198" s="360"/>
      <c r="GSC198" s="360"/>
      <c r="GSD198" s="360"/>
      <c r="GSE198" s="360"/>
      <c r="GSF198" s="360"/>
      <c r="GSG198" s="360"/>
      <c r="GSH198" s="360"/>
      <c r="GSI198" s="360"/>
      <c r="GSJ198" s="360"/>
      <c r="GSK198" s="360"/>
      <c r="GSL198" s="360"/>
      <c r="GSM198" s="360"/>
      <c r="GSN198" s="360"/>
      <c r="GSO198" s="360"/>
      <c r="GSP198" s="360"/>
      <c r="GSQ198" s="360"/>
      <c r="GSR198" s="360"/>
      <c r="GSS198" s="360"/>
      <c r="GST198" s="360"/>
      <c r="GSU198" s="360"/>
      <c r="GSV198" s="360"/>
      <c r="GSW198" s="360"/>
      <c r="GSX198" s="360"/>
      <c r="GSY198" s="360"/>
      <c r="GSZ198" s="360"/>
      <c r="GTA198" s="360"/>
      <c r="GTB198" s="360"/>
      <c r="GTC198" s="360"/>
      <c r="GTD198" s="360"/>
      <c r="GTE198" s="360"/>
      <c r="GTF198" s="360"/>
      <c r="GTG198" s="360"/>
      <c r="GTH198" s="360"/>
      <c r="GTI198" s="360"/>
      <c r="GTJ198" s="360"/>
      <c r="GTK198" s="360"/>
      <c r="GTL198" s="360"/>
      <c r="GTM198" s="360"/>
      <c r="GTN198" s="360"/>
      <c r="GTO198" s="360"/>
      <c r="GTP198" s="360"/>
      <c r="GTQ198" s="360"/>
      <c r="GTR198" s="360"/>
      <c r="GTS198" s="360"/>
      <c r="GTT198" s="360"/>
      <c r="GTU198" s="360"/>
      <c r="GTV198" s="360"/>
      <c r="GTW198" s="360"/>
      <c r="GTX198" s="360"/>
      <c r="GTY198" s="360"/>
      <c r="GTZ198" s="360"/>
      <c r="GUA198" s="360"/>
      <c r="GUB198" s="360"/>
      <c r="GUC198" s="360"/>
      <c r="GUD198" s="360"/>
      <c r="GUE198" s="360"/>
      <c r="GUF198" s="360"/>
      <c r="GUG198" s="360"/>
      <c r="GUH198" s="360"/>
      <c r="GUI198" s="360"/>
      <c r="GUJ198" s="360"/>
      <c r="GUK198" s="360"/>
      <c r="GUL198" s="360"/>
      <c r="GUM198" s="360"/>
      <c r="GUN198" s="360"/>
      <c r="GUO198" s="360"/>
      <c r="GUP198" s="360"/>
      <c r="GUQ198" s="360"/>
      <c r="GUR198" s="360"/>
      <c r="GUS198" s="360"/>
      <c r="GUT198" s="360"/>
      <c r="GUU198" s="360"/>
      <c r="GUV198" s="360"/>
      <c r="GUW198" s="360"/>
      <c r="GUX198" s="360"/>
      <c r="GUY198" s="360"/>
      <c r="GUZ198" s="360"/>
      <c r="GVA198" s="360"/>
      <c r="GVB198" s="360"/>
      <c r="GVC198" s="360"/>
      <c r="GVD198" s="360"/>
      <c r="GVE198" s="360"/>
      <c r="GVF198" s="360"/>
      <c r="GVG198" s="360"/>
      <c r="GVH198" s="360"/>
      <c r="GVI198" s="360"/>
      <c r="GVJ198" s="360"/>
      <c r="GVK198" s="360"/>
      <c r="GVL198" s="360"/>
      <c r="GVM198" s="360"/>
      <c r="GVN198" s="360"/>
      <c r="GVO198" s="360"/>
      <c r="GVP198" s="360"/>
      <c r="GVQ198" s="360"/>
      <c r="GVR198" s="360"/>
      <c r="GVS198" s="360"/>
      <c r="GVT198" s="360"/>
      <c r="GVU198" s="360"/>
      <c r="GVV198" s="360"/>
      <c r="GVW198" s="360"/>
      <c r="GVX198" s="360"/>
      <c r="GVY198" s="360"/>
      <c r="GVZ198" s="360"/>
      <c r="GWA198" s="360"/>
      <c r="GWB198" s="360"/>
      <c r="GWC198" s="360"/>
      <c r="GWD198" s="360"/>
      <c r="GWE198" s="360"/>
      <c r="GWF198" s="360"/>
      <c r="GWG198" s="360"/>
      <c r="GWH198" s="360"/>
      <c r="GWI198" s="360"/>
      <c r="GWJ198" s="360"/>
      <c r="GWK198" s="360"/>
      <c r="GWL198" s="360"/>
      <c r="GWM198" s="360"/>
      <c r="GWN198" s="360"/>
      <c r="GWO198" s="360"/>
      <c r="GWP198" s="360"/>
      <c r="GWQ198" s="360"/>
      <c r="GWR198" s="360"/>
      <c r="GWS198" s="360"/>
      <c r="GWT198" s="360"/>
      <c r="GWU198" s="360"/>
      <c r="GWV198" s="360"/>
      <c r="GWW198" s="360"/>
      <c r="GWX198" s="360"/>
      <c r="GWY198" s="360"/>
      <c r="GWZ198" s="360"/>
      <c r="GXA198" s="360"/>
      <c r="GXB198" s="360"/>
      <c r="GXC198" s="360"/>
      <c r="GXD198" s="360"/>
      <c r="GXE198" s="360"/>
      <c r="GXF198" s="360"/>
      <c r="GXG198" s="360"/>
      <c r="GXH198" s="360"/>
      <c r="GXI198" s="360"/>
      <c r="GXJ198" s="360"/>
      <c r="GXK198" s="360"/>
      <c r="GXL198" s="360"/>
      <c r="GXM198" s="360"/>
      <c r="GXN198" s="360"/>
      <c r="GXO198" s="360"/>
      <c r="GXP198" s="360"/>
      <c r="GXQ198" s="360"/>
      <c r="GXR198" s="360"/>
      <c r="GXS198" s="360"/>
      <c r="GXT198" s="360"/>
      <c r="GXU198" s="360"/>
      <c r="GXV198" s="360"/>
      <c r="GXW198" s="360"/>
      <c r="GXX198" s="360"/>
      <c r="GXY198" s="360"/>
      <c r="GXZ198" s="360"/>
      <c r="GYA198" s="360"/>
      <c r="GYB198" s="360"/>
      <c r="GYC198" s="360"/>
      <c r="GYD198" s="360"/>
      <c r="GYE198" s="360"/>
      <c r="GYF198" s="360"/>
      <c r="GYG198" s="360"/>
      <c r="GYH198" s="360"/>
      <c r="GYI198" s="360"/>
      <c r="GYJ198" s="360"/>
      <c r="GYK198" s="360"/>
      <c r="GYL198" s="360"/>
      <c r="GYM198" s="360"/>
      <c r="GYN198" s="360"/>
      <c r="GYO198" s="360"/>
      <c r="GYP198" s="360"/>
      <c r="GYQ198" s="360"/>
      <c r="GYR198" s="360"/>
      <c r="GYS198" s="360"/>
      <c r="GYT198" s="360"/>
      <c r="GYU198" s="360"/>
      <c r="GYV198" s="360"/>
      <c r="GYW198" s="360"/>
      <c r="GYX198" s="360"/>
      <c r="GYY198" s="360"/>
      <c r="GYZ198" s="360"/>
      <c r="GZA198" s="360"/>
      <c r="GZB198" s="360"/>
      <c r="GZC198" s="360"/>
      <c r="GZD198" s="360"/>
      <c r="GZE198" s="360"/>
      <c r="GZF198" s="360"/>
      <c r="GZG198" s="360"/>
      <c r="GZH198" s="360"/>
      <c r="GZI198" s="360"/>
      <c r="GZJ198" s="360"/>
      <c r="GZK198" s="360"/>
      <c r="GZL198" s="360"/>
      <c r="GZM198" s="360"/>
      <c r="GZN198" s="360"/>
      <c r="GZO198" s="360"/>
      <c r="GZP198" s="360"/>
      <c r="GZQ198" s="360"/>
      <c r="GZR198" s="360"/>
      <c r="GZS198" s="360"/>
      <c r="GZT198" s="360"/>
      <c r="GZU198" s="360"/>
      <c r="GZV198" s="360"/>
      <c r="GZW198" s="360"/>
      <c r="GZX198" s="360"/>
      <c r="GZY198" s="360"/>
      <c r="GZZ198" s="360"/>
      <c r="HAA198" s="360"/>
      <c r="HAB198" s="360"/>
      <c r="HAC198" s="360"/>
      <c r="HAD198" s="360"/>
      <c r="HAE198" s="360"/>
      <c r="HAF198" s="360"/>
      <c r="HAG198" s="360"/>
      <c r="HAH198" s="360"/>
      <c r="HAI198" s="360"/>
      <c r="HAJ198" s="360"/>
      <c r="HAK198" s="360"/>
      <c r="HAL198" s="360"/>
      <c r="HAM198" s="360"/>
      <c r="HAN198" s="360"/>
      <c r="HAO198" s="360"/>
      <c r="HAP198" s="360"/>
      <c r="HAQ198" s="360"/>
      <c r="HAR198" s="360"/>
      <c r="HAS198" s="360"/>
      <c r="HAT198" s="360"/>
      <c r="HAU198" s="360"/>
      <c r="HAV198" s="360"/>
      <c r="HAW198" s="360"/>
      <c r="HAX198" s="360"/>
      <c r="HAY198" s="360"/>
      <c r="HAZ198" s="360"/>
      <c r="HBA198" s="360"/>
      <c r="HBB198" s="360"/>
      <c r="HBC198" s="360"/>
      <c r="HBD198" s="360"/>
      <c r="HBE198" s="360"/>
      <c r="HBF198" s="360"/>
      <c r="HBG198" s="360"/>
      <c r="HBH198" s="360"/>
      <c r="HBI198" s="360"/>
      <c r="HBJ198" s="360"/>
      <c r="HBK198" s="360"/>
      <c r="HBL198" s="360"/>
      <c r="HBM198" s="360"/>
      <c r="HBN198" s="360"/>
      <c r="HBO198" s="360"/>
      <c r="HBP198" s="360"/>
      <c r="HBQ198" s="360"/>
      <c r="HBR198" s="360"/>
      <c r="HBS198" s="360"/>
      <c r="HBT198" s="360"/>
      <c r="HBU198" s="360"/>
      <c r="HBV198" s="360"/>
      <c r="HBW198" s="360"/>
      <c r="HBX198" s="360"/>
      <c r="HBY198" s="360"/>
      <c r="HBZ198" s="360"/>
      <c r="HCA198" s="360"/>
      <c r="HCB198" s="360"/>
      <c r="HCC198" s="360"/>
      <c r="HCD198" s="360"/>
      <c r="HCE198" s="360"/>
      <c r="HCF198" s="360"/>
      <c r="HCG198" s="360"/>
      <c r="HCH198" s="360"/>
      <c r="HCI198" s="360"/>
      <c r="HCJ198" s="360"/>
      <c r="HCK198" s="360"/>
      <c r="HCL198" s="360"/>
      <c r="HCM198" s="360"/>
      <c r="HCN198" s="360"/>
      <c r="HCO198" s="360"/>
      <c r="HCP198" s="360"/>
      <c r="HCQ198" s="360"/>
      <c r="HCR198" s="360"/>
      <c r="HCS198" s="360"/>
      <c r="HCT198" s="360"/>
      <c r="HCU198" s="360"/>
      <c r="HCV198" s="360"/>
      <c r="HCW198" s="360"/>
      <c r="HCX198" s="360"/>
      <c r="HCY198" s="360"/>
      <c r="HCZ198" s="360"/>
      <c r="HDA198" s="360"/>
      <c r="HDB198" s="360"/>
      <c r="HDC198" s="360"/>
      <c r="HDD198" s="360"/>
      <c r="HDE198" s="360"/>
      <c r="HDF198" s="360"/>
      <c r="HDG198" s="360"/>
      <c r="HDH198" s="360"/>
      <c r="HDI198" s="360"/>
      <c r="HDJ198" s="360"/>
      <c r="HDK198" s="360"/>
      <c r="HDL198" s="360"/>
      <c r="HDM198" s="360"/>
      <c r="HDN198" s="360"/>
      <c r="HDO198" s="360"/>
      <c r="HDP198" s="360"/>
      <c r="HDQ198" s="360"/>
      <c r="HDR198" s="360"/>
      <c r="HDS198" s="360"/>
      <c r="HDT198" s="360"/>
      <c r="HDU198" s="360"/>
      <c r="HDV198" s="360"/>
      <c r="HDW198" s="360"/>
      <c r="HDX198" s="360"/>
      <c r="HDY198" s="360"/>
      <c r="HDZ198" s="360"/>
      <c r="HEA198" s="360"/>
      <c r="HEB198" s="360"/>
      <c r="HEC198" s="360"/>
      <c r="HED198" s="360"/>
      <c r="HEE198" s="360"/>
      <c r="HEF198" s="360"/>
      <c r="HEG198" s="360"/>
      <c r="HEH198" s="360"/>
      <c r="HEI198" s="360"/>
      <c r="HEJ198" s="360"/>
      <c r="HEK198" s="360"/>
      <c r="HEL198" s="360"/>
      <c r="HEM198" s="360"/>
      <c r="HEN198" s="360"/>
      <c r="HEO198" s="360"/>
      <c r="HEP198" s="360"/>
      <c r="HEQ198" s="360"/>
      <c r="HER198" s="360"/>
      <c r="HES198" s="360"/>
      <c r="HET198" s="360"/>
      <c r="HEU198" s="360"/>
      <c r="HEV198" s="360"/>
      <c r="HEW198" s="360"/>
      <c r="HEX198" s="360"/>
      <c r="HEY198" s="360"/>
      <c r="HEZ198" s="360"/>
      <c r="HFA198" s="360"/>
      <c r="HFB198" s="360"/>
      <c r="HFC198" s="360"/>
      <c r="HFD198" s="360"/>
      <c r="HFE198" s="360"/>
      <c r="HFF198" s="360"/>
      <c r="HFG198" s="360"/>
      <c r="HFH198" s="360"/>
      <c r="HFI198" s="360"/>
      <c r="HFJ198" s="360"/>
      <c r="HFK198" s="360"/>
      <c r="HFL198" s="360"/>
      <c r="HFM198" s="360"/>
      <c r="HFN198" s="360"/>
      <c r="HFO198" s="360"/>
      <c r="HFP198" s="360"/>
      <c r="HFQ198" s="360"/>
      <c r="HFR198" s="360"/>
      <c r="HFS198" s="360"/>
      <c r="HFT198" s="360"/>
      <c r="HFU198" s="360"/>
      <c r="HFV198" s="360"/>
      <c r="HFW198" s="360"/>
      <c r="HFX198" s="360"/>
      <c r="HFY198" s="360"/>
      <c r="HFZ198" s="360"/>
      <c r="HGA198" s="360"/>
      <c r="HGB198" s="360"/>
      <c r="HGC198" s="360"/>
      <c r="HGD198" s="360"/>
      <c r="HGE198" s="360"/>
      <c r="HGF198" s="360"/>
      <c r="HGG198" s="360"/>
      <c r="HGH198" s="360"/>
      <c r="HGI198" s="360"/>
      <c r="HGJ198" s="360"/>
      <c r="HGK198" s="360"/>
      <c r="HGL198" s="360"/>
      <c r="HGM198" s="360"/>
      <c r="HGN198" s="360"/>
      <c r="HGO198" s="360"/>
      <c r="HGP198" s="360"/>
      <c r="HGQ198" s="360"/>
      <c r="HGR198" s="360"/>
      <c r="HGS198" s="360"/>
      <c r="HGT198" s="360"/>
      <c r="HGU198" s="360"/>
      <c r="HGV198" s="360"/>
      <c r="HGW198" s="360"/>
      <c r="HGX198" s="360"/>
      <c r="HGY198" s="360"/>
      <c r="HGZ198" s="360"/>
      <c r="HHA198" s="360"/>
      <c r="HHB198" s="360"/>
      <c r="HHC198" s="360"/>
      <c r="HHD198" s="360"/>
      <c r="HHE198" s="360"/>
      <c r="HHF198" s="360"/>
      <c r="HHG198" s="360"/>
      <c r="HHH198" s="360"/>
      <c r="HHI198" s="360"/>
      <c r="HHJ198" s="360"/>
      <c r="HHK198" s="360"/>
      <c r="HHL198" s="360"/>
      <c r="HHM198" s="360"/>
      <c r="HHN198" s="360"/>
      <c r="HHO198" s="360"/>
      <c r="HHP198" s="360"/>
      <c r="HHQ198" s="360"/>
      <c r="HHR198" s="360"/>
      <c r="HHS198" s="360"/>
      <c r="HHT198" s="360"/>
      <c r="HHU198" s="360"/>
      <c r="HHV198" s="360"/>
      <c r="HHW198" s="360"/>
      <c r="HHX198" s="360"/>
      <c r="HHY198" s="360"/>
      <c r="HHZ198" s="360"/>
      <c r="HIA198" s="360"/>
      <c r="HIB198" s="360"/>
      <c r="HIC198" s="360"/>
      <c r="HID198" s="360"/>
      <c r="HIE198" s="360"/>
      <c r="HIF198" s="360"/>
      <c r="HIG198" s="360"/>
      <c r="HIH198" s="360"/>
      <c r="HII198" s="360"/>
      <c r="HIJ198" s="360"/>
      <c r="HIK198" s="360"/>
      <c r="HIL198" s="360"/>
      <c r="HIM198" s="360"/>
      <c r="HIN198" s="360"/>
      <c r="HIO198" s="360"/>
      <c r="HIP198" s="360"/>
      <c r="HIQ198" s="360"/>
      <c r="HIR198" s="360"/>
      <c r="HIS198" s="360"/>
      <c r="HIT198" s="360"/>
      <c r="HIU198" s="360"/>
      <c r="HIV198" s="360"/>
      <c r="HIW198" s="360"/>
      <c r="HIX198" s="360"/>
      <c r="HIY198" s="360"/>
      <c r="HIZ198" s="360"/>
      <c r="HJA198" s="360"/>
      <c r="HJB198" s="360"/>
      <c r="HJC198" s="360"/>
      <c r="HJD198" s="360"/>
      <c r="HJE198" s="360"/>
      <c r="HJF198" s="360"/>
      <c r="HJG198" s="360"/>
      <c r="HJH198" s="360"/>
      <c r="HJI198" s="360"/>
      <c r="HJJ198" s="360"/>
      <c r="HJK198" s="360"/>
      <c r="HJL198" s="360"/>
      <c r="HJM198" s="360"/>
      <c r="HJN198" s="360"/>
      <c r="HJO198" s="360"/>
      <c r="HJP198" s="360"/>
      <c r="HJQ198" s="360"/>
      <c r="HJR198" s="360"/>
      <c r="HJS198" s="360"/>
      <c r="HJT198" s="360"/>
      <c r="HJU198" s="360"/>
      <c r="HJV198" s="360"/>
      <c r="HJW198" s="360"/>
      <c r="HJX198" s="360"/>
      <c r="HJY198" s="360"/>
      <c r="HJZ198" s="360"/>
      <c r="HKA198" s="360"/>
      <c r="HKB198" s="360"/>
      <c r="HKC198" s="360"/>
      <c r="HKD198" s="360"/>
      <c r="HKE198" s="360"/>
      <c r="HKF198" s="360"/>
      <c r="HKG198" s="360"/>
      <c r="HKH198" s="360"/>
      <c r="HKI198" s="360"/>
      <c r="HKJ198" s="360"/>
      <c r="HKK198" s="360"/>
      <c r="HKL198" s="360"/>
      <c r="HKM198" s="360"/>
      <c r="HKN198" s="360"/>
      <c r="HKO198" s="360"/>
      <c r="HKP198" s="360"/>
      <c r="HKQ198" s="360"/>
      <c r="HKR198" s="360"/>
      <c r="HKS198" s="360"/>
      <c r="HKT198" s="360"/>
      <c r="HKU198" s="360"/>
      <c r="HKV198" s="360"/>
      <c r="HKW198" s="360"/>
      <c r="HKX198" s="360"/>
      <c r="HKY198" s="360"/>
      <c r="HKZ198" s="360"/>
      <c r="HLA198" s="360"/>
      <c r="HLB198" s="360"/>
      <c r="HLC198" s="360"/>
      <c r="HLD198" s="360"/>
      <c r="HLE198" s="360"/>
      <c r="HLF198" s="360"/>
      <c r="HLG198" s="360"/>
      <c r="HLH198" s="360"/>
      <c r="HLI198" s="360"/>
      <c r="HLJ198" s="360"/>
      <c r="HLK198" s="360"/>
      <c r="HLL198" s="360"/>
      <c r="HLM198" s="360"/>
      <c r="HLN198" s="360"/>
      <c r="HLO198" s="360"/>
      <c r="HLP198" s="360"/>
      <c r="HLQ198" s="360"/>
      <c r="HLR198" s="360"/>
      <c r="HLS198" s="360"/>
      <c r="HLT198" s="360"/>
      <c r="HLU198" s="360"/>
      <c r="HLV198" s="360"/>
      <c r="HLW198" s="360"/>
      <c r="HLX198" s="360"/>
      <c r="HLY198" s="360"/>
      <c r="HLZ198" s="360"/>
      <c r="HMA198" s="360"/>
      <c r="HMB198" s="360"/>
      <c r="HMC198" s="360"/>
      <c r="HMD198" s="360"/>
      <c r="HME198" s="360"/>
      <c r="HMF198" s="360"/>
      <c r="HMG198" s="360"/>
      <c r="HMH198" s="360"/>
      <c r="HMI198" s="360"/>
      <c r="HMJ198" s="360"/>
      <c r="HMK198" s="360"/>
      <c r="HML198" s="360"/>
      <c r="HMM198" s="360"/>
      <c r="HMN198" s="360"/>
      <c r="HMO198" s="360"/>
      <c r="HMP198" s="360"/>
      <c r="HMQ198" s="360"/>
      <c r="HMR198" s="360"/>
      <c r="HMS198" s="360"/>
      <c r="HMT198" s="360"/>
      <c r="HMU198" s="360"/>
      <c r="HMV198" s="360"/>
      <c r="HMW198" s="360"/>
      <c r="HMX198" s="360"/>
      <c r="HMY198" s="360"/>
      <c r="HMZ198" s="360"/>
      <c r="HNA198" s="360"/>
      <c r="HNB198" s="360"/>
      <c r="HNC198" s="360"/>
      <c r="HND198" s="360"/>
      <c r="HNE198" s="360"/>
      <c r="HNF198" s="360"/>
      <c r="HNG198" s="360"/>
      <c r="HNH198" s="360"/>
      <c r="HNI198" s="360"/>
      <c r="HNJ198" s="360"/>
      <c r="HNK198" s="360"/>
      <c r="HNL198" s="360"/>
      <c r="HNM198" s="360"/>
      <c r="HNN198" s="360"/>
      <c r="HNO198" s="360"/>
      <c r="HNP198" s="360"/>
      <c r="HNQ198" s="360"/>
      <c r="HNR198" s="360"/>
      <c r="HNS198" s="360"/>
      <c r="HNT198" s="360"/>
      <c r="HNU198" s="360"/>
      <c r="HNV198" s="360"/>
      <c r="HNW198" s="360"/>
      <c r="HNX198" s="360"/>
      <c r="HNY198" s="360"/>
      <c r="HNZ198" s="360"/>
      <c r="HOA198" s="360"/>
      <c r="HOB198" s="360"/>
      <c r="HOC198" s="360"/>
      <c r="HOD198" s="360"/>
      <c r="HOE198" s="360"/>
      <c r="HOF198" s="360"/>
      <c r="HOG198" s="360"/>
      <c r="HOH198" s="360"/>
      <c r="HOI198" s="360"/>
      <c r="HOJ198" s="360"/>
      <c r="HOK198" s="360"/>
      <c r="HOL198" s="360"/>
      <c r="HOM198" s="360"/>
      <c r="HON198" s="360"/>
      <c r="HOO198" s="360"/>
      <c r="HOP198" s="360"/>
      <c r="HOQ198" s="360"/>
      <c r="HOR198" s="360"/>
      <c r="HOS198" s="360"/>
      <c r="HOT198" s="360"/>
      <c r="HOU198" s="360"/>
      <c r="HOV198" s="360"/>
      <c r="HOW198" s="360"/>
      <c r="HOX198" s="360"/>
      <c r="HOY198" s="360"/>
      <c r="HOZ198" s="360"/>
      <c r="HPA198" s="360"/>
      <c r="HPB198" s="360"/>
      <c r="HPC198" s="360"/>
      <c r="HPD198" s="360"/>
      <c r="HPE198" s="360"/>
      <c r="HPF198" s="360"/>
      <c r="HPG198" s="360"/>
      <c r="HPH198" s="360"/>
      <c r="HPI198" s="360"/>
      <c r="HPJ198" s="360"/>
      <c r="HPK198" s="360"/>
      <c r="HPL198" s="360"/>
      <c r="HPM198" s="360"/>
      <c r="HPN198" s="360"/>
      <c r="HPO198" s="360"/>
      <c r="HPP198" s="360"/>
      <c r="HPQ198" s="360"/>
      <c r="HPR198" s="360"/>
      <c r="HPS198" s="360"/>
      <c r="HPT198" s="360"/>
      <c r="HPU198" s="360"/>
      <c r="HPV198" s="360"/>
      <c r="HPW198" s="360"/>
      <c r="HPX198" s="360"/>
      <c r="HPY198" s="360"/>
      <c r="HPZ198" s="360"/>
      <c r="HQA198" s="360"/>
      <c r="HQB198" s="360"/>
      <c r="HQC198" s="360"/>
      <c r="HQD198" s="360"/>
      <c r="HQE198" s="360"/>
      <c r="HQF198" s="360"/>
      <c r="HQG198" s="360"/>
      <c r="HQH198" s="360"/>
      <c r="HQI198" s="360"/>
      <c r="HQJ198" s="360"/>
      <c r="HQK198" s="360"/>
      <c r="HQL198" s="360"/>
      <c r="HQM198" s="360"/>
      <c r="HQN198" s="360"/>
      <c r="HQO198" s="360"/>
      <c r="HQP198" s="360"/>
      <c r="HQQ198" s="360"/>
      <c r="HQR198" s="360"/>
      <c r="HQS198" s="360"/>
      <c r="HQT198" s="360"/>
      <c r="HQU198" s="360"/>
      <c r="HQV198" s="360"/>
      <c r="HQW198" s="360"/>
      <c r="HQX198" s="360"/>
      <c r="HQY198" s="360"/>
      <c r="HQZ198" s="360"/>
      <c r="HRA198" s="360"/>
      <c r="HRB198" s="360"/>
      <c r="HRC198" s="360"/>
      <c r="HRD198" s="360"/>
      <c r="HRE198" s="360"/>
      <c r="HRF198" s="360"/>
      <c r="HRG198" s="360"/>
      <c r="HRH198" s="360"/>
      <c r="HRI198" s="360"/>
      <c r="HRJ198" s="360"/>
      <c r="HRK198" s="360"/>
      <c r="HRL198" s="360"/>
      <c r="HRM198" s="360"/>
      <c r="HRN198" s="360"/>
      <c r="HRO198" s="360"/>
      <c r="HRP198" s="360"/>
      <c r="HRQ198" s="360"/>
      <c r="HRR198" s="360"/>
      <c r="HRS198" s="360"/>
      <c r="HRT198" s="360"/>
      <c r="HRU198" s="360"/>
      <c r="HRV198" s="360"/>
      <c r="HRW198" s="360"/>
      <c r="HRX198" s="360"/>
      <c r="HRY198" s="360"/>
      <c r="HRZ198" s="360"/>
      <c r="HSA198" s="360"/>
      <c r="HSB198" s="360"/>
      <c r="HSC198" s="360"/>
      <c r="HSD198" s="360"/>
      <c r="HSE198" s="360"/>
      <c r="HSF198" s="360"/>
      <c r="HSG198" s="360"/>
      <c r="HSH198" s="360"/>
      <c r="HSI198" s="360"/>
      <c r="HSJ198" s="360"/>
      <c r="HSK198" s="360"/>
      <c r="HSL198" s="360"/>
      <c r="HSM198" s="360"/>
      <c r="HSN198" s="360"/>
      <c r="HSO198" s="360"/>
      <c r="HSP198" s="360"/>
      <c r="HSQ198" s="360"/>
      <c r="HSR198" s="360"/>
      <c r="HSS198" s="360"/>
      <c r="HST198" s="360"/>
      <c r="HSU198" s="360"/>
      <c r="HSV198" s="360"/>
      <c r="HSW198" s="360"/>
      <c r="HSX198" s="360"/>
      <c r="HSY198" s="360"/>
      <c r="HSZ198" s="360"/>
      <c r="HTA198" s="360"/>
      <c r="HTB198" s="360"/>
      <c r="HTC198" s="360"/>
      <c r="HTD198" s="360"/>
      <c r="HTE198" s="360"/>
      <c r="HTF198" s="360"/>
      <c r="HTG198" s="360"/>
      <c r="HTH198" s="360"/>
      <c r="HTI198" s="360"/>
      <c r="HTJ198" s="360"/>
      <c r="HTK198" s="360"/>
      <c r="HTL198" s="360"/>
      <c r="HTM198" s="360"/>
      <c r="HTN198" s="360"/>
      <c r="HTO198" s="360"/>
      <c r="HTP198" s="360"/>
      <c r="HTQ198" s="360"/>
      <c r="HTR198" s="360"/>
      <c r="HTS198" s="360"/>
      <c r="HTT198" s="360"/>
      <c r="HTU198" s="360"/>
      <c r="HTV198" s="360"/>
      <c r="HTW198" s="360"/>
      <c r="HTX198" s="360"/>
      <c r="HTY198" s="360"/>
      <c r="HTZ198" s="360"/>
      <c r="HUA198" s="360"/>
      <c r="HUB198" s="360"/>
      <c r="HUC198" s="360"/>
      <c r="HUD198" s="360"/>
      <c r="HUE198" s="360"/>
      <c r="HUF198" s="360"/>
      <c r="HUG198" s="360"/>
      <c r="HUH198" s="360"/>
      <c r="HUI198" s="360"/>
      <c r="HUJ198" s="360"/>
      <c r="HUK198" s="360"/>
      <c r="HUL198" s="360"/>
      <c r="HUM198" s="360"/>
      <c r="HUN198" s="360"/>
      <c r="HUO198" s="360"/>
      <c r="HUP198" s="360"/>
      <c r="HUQ198" s="360"/>
      <c r="HUR198" s="360"/>
      <c r="HUS198" s="360"/>
      <c r="HUT198" s="360"/>
      <c r="HUU198" s="360"/>
      <c r="HUV198" s="360"/>
      <c r="HUW198" s="360"/>
      <c r="HUX198" s="360"/>
      <c r="HUY198" s="360"/>
      <c r="HUZ198" s="360"/>
      <c r="HVA198" s="360"/>
      <c r="HVB198" s="360"/>
      <c r="HVC198" s="360"/>
      <c r="HVD198" s="360"/>
      <c r="HVE198" s="360"/>
      <c r="HVF198" s="360"/>
      <c r="HVG198" s="360"/>
      <c r="HVH198" s="360"/>
      <c r="HVI198" s="360"/>
      <c r="HVJ198" s="360"/>
      <c r="HVK198" s="360"/>
      <c r="HVL198" s="360"/>
      <c r="HVM198" s="360"/>
      <c r="HVN198" s="360"/>
      <c r="HVO198" s="360"/>
      <c r="HVP198" s="360"/>
      <c r="HVQ198" s="360"/>
      <c r="HVR198" s="360"/>
      <c r="HVS198" s="360"/>
      <c r="HVT198" s="360"/>
      <c r="HVU198" s="360"/>
      <c r="HVV198" s="360"/>
      <c r="HVW198" s="360"/>
      <c r="HVX198" s="360"/>
      <c r="HVY198" s="360"/>
      <c r="HVZ198" s="360"/>
      <c r="HWA198" s="360"/>
      <c r="HWB198" s="360"/>
      <c r="HWC198" s="360"/>
      <c r="HWD198" s="360"/>
      <c r="HWE198" s="360"/>
      <c r="HWF198" s="360"/>
      <c r="HWG198" s="360"/>
      <c r="HWH198" s="360"/>
      <c r="HWI198" s="360"/>
      <c r="HWJ198" s="360"/>
      <c r="HWK198" s="360"/>
      <c r="HWL198" s="360"/>
      <c r="HWM198" s="360"/>
      <c r="HWN198" s="360"/>
      <c r="HWO198" s="360"/>
      <c r="HWP198" s="360"/>
      <c r="HWQ198" s="360"/>
      <c r="HWR198" s="360"/>
      <c r="HWS198" s="360"/>
      <c r="HWT198" s="360"/>
      <c r="HWU198" s="360"/>
      <c r="HWV198" s="360"/>
      <c r="HWW198" s="360"/>
      <c r="HWX198" s="360"/>
      <c r="HWY198" s="360"/>
      <c r="HWZ198" s="360"/>
      <c r="HXA198" s="360"/>
      <c r="HXB198" s="360"/>
      <c r="HXC198" s="360"/>
      <c r="HXD198" s="360"/>
      <c r="HXE198" s="360"/>
      <c r="HXF198" s="360"/>
      <c r="HXG198" s="360"/>
      <c r="HXH198" s="360"/>
      <c r="HXI198" s="360"/>
      <c r="HXJ198" s="360"/>
      <c r="HXK198" s="360"/>
      <c r="HXL198" s="360"/>
      <c r="HXM198" s="360"/>
      <c r="HXN198" s="360"/>
      <c r="HXO198" s="360"/>
      <c r="HXP198" s="360"/>
      <c r="HXQ198" s="360"/>
      <c r="HXR198" s="360"/>
      <c r="HXS198" s="360"/>
      <c r="HXT198" s="360"/>
      <c r="HXU198" s="360"/>
      <c r="HXV198" s="360"/>
      <c r="HXW198" s="360"/>
      <c r="HXX198" s="360"/>
      <c r="HXY198" s="360"/>
      <c r="HXZ198" s="360"/>
      <c r="HYA198" s="360"/>
      <c r="HYB198" s="360"/>
      <c r="HYC198" s="360"/>
      <c r="HYD198" s="360"/>
      <c r="HYE198" s="360"/>
      <c r="HYF198" s="360"/>
      <c r="HYG198" s="360"/>
      <c r="HYH198" s="360"/>
      <c r="HYI198" s="360"/>
      <c r="HYJ198" s="360"/>
      <c r="HYK198" s="360"/>
      <c r="HYL198" s="360"/>
      <c r="HYM198" s="360"/>
      <c r="HYN198" s="360"/>
      <c r="HYO198" s="360"/>
      <c r="HYP198" s="360"/>
      <c r="HYQ198" s="360"/>
      <c r="HYR198" s="360"/>
      <c r="HYS198" s="360"/>
      <c r="HYT198" s="360"/>
      <c r="HYU198" s="360"/>
      <c r="HYV198" s="360"/>
      <c r="HYW198" s="360"/>
      <c r="HYX198" s="360"/>
      <c r="HYY198" s="360"/>
      <c r="HYZ198" s="360"/>
      <c r="HZA198" s="360"/>
      <c r="HZB198" s="360"/>
      <c r="HZC198" s="360"/>
      <c r="HZD198" s="360"/>
      <c r="HZE198" s="360"/>
      <c r="HZF198" s="360"/>
      <c r="HZG198" s="360"/>
      <c r="HZH198" s="360"/>
      <c r="HZI198" s="360"/>
      <c r="HZJ198" s="360"/>
      <c r="HZK198" s="360"/>
      <c r="HZL198" s="360"/>
      <c r="HZM198" s="360"/>
      <c r="HZN198" s="360"/>
      <c r="HZO198" s="360"/>
      <c r="HZP198" s="360"/>
      <c r="HZQ198" s="360"/>
      <c r="HZR198" s="360"/>
      <c r="HZS198" s="360"/>
      <c r="HZT198" s="360"/>
      <c r="HZU198" s="360"/>
      <c r="HZV198" s="360"/>
      <c r="HZW198" s="360"/>
      <c r="HZX198" s="360"/>
      <c r="HZY198" s="360"/>
      <c r="HZZ198" s="360"/>
      <c r="IAA198" s="360"/>
      <c r="IAB198" s="360"/>
      <c r="IAC198" s="360"/>
      <c r="IAD198" s="360"/>
      <c r="IAE198" s="360"/>
      <c r="IAF198" s="360"/>
      <c r="IAG198" s="360"/>
      <c r="IAH198" s="360"/>
      <c r="IAI198" s="360"/>
      <c r="IAJ198" s="360"/>
      <c r="IAK198" s="360"/>
      <c r="IAL198" s="360"/>
      <c r="IAM198" s="360"/>
      <c r="IAN198" s="360"/>
      <c r="IAO198" s="360"/>
      <c r="IAP198" s="360"/>
      <c r="IAQ198" s="360"/>
      <c r="IAR198" s="360"/>
      <c r="IAS198" s="360"/>
      <c r="IAT198" s="360"/>
      <c r="IAU198" s="360"/>
      <c r="IAV198" s="360"/>
      <c r="IAW198" s="360"/>
      <c r="IAX198" s="360"/>
      <c r="IAY198" s="360"/>
      <c r="IAZ198" s="360"/>
      <c r="IBA198" s="360"/>
      <c r="IBB198" s="360"/>
      <c r="IBC198" s="360"/>
      <c r="IBD198" s="360"/>
      <c r="IBE198" s="360"/>
      <c r="IBF198" s="360"/>
      <c r="IBG198" s="360"/>
      <c r="IBH198" s="360"/>
      <c r="IBI198" s="360"/>
      <c r="IBJ198" s="360"/>
      <c r="IBK198" s="360"/>
      <c r="IBL198" s="360"/>
      <c r="IBM198" s="360"/>
      <c r="IBN198" s="360"/>
      <c r="IBO198" s="360"/>
      <c r="IBP198" s="360"/>
      <c r="IBQ198" s="360"/>
      <c r="IBR198" s="360"/>
      <c r="IBS198" s="360"/>
      <c r="IBT198" s="360"/>
      <c r="IBU198" s="360"/>
      <c r="IBV198" s="360"/>
      <c r="IBW198" s="360"/>
      <c r="IBX198" s="360"/>
      <c r="IBY198" s="360"/>
      <c r="IBZ198" s="360"/>
      <c r="ICA198" s="360"/>
      <c r="ICB198" s="360"/>
      <c r="ICC198" s="360"/>
      <c r="ICD198" s="360"/>
      <c r="ICE198" s="360"/>
      <c r="ICF198" s="360"/>
      <c r="ICG198" s="360"/>
      <c r="ICH198" s="360"/>
      <c r="ICI198" s="360"/>
      <c r="ICJ198" s="360"/>
      <c r="ICK198" s="360"/>
      <c r="ICL198" s="360"/>
      <c r="ICM198" s="360"/>
      <c r="ICN198" s="360"/>
      <c r="ICO198" s="360"/>
      <c r="ICP198" s="360"/>
      <c r="ICQ198" s="360"/>
      <c r="ICR198" s="360"/>
      <c r="ICS198" s="360"/>
      <c r="ICT198" s="360"/>
      <c r="ICU198" s="360"/>
      <c r="ICV198" s="360"/>
      <c r="ICW198" s="360"/>
      <c r="ICX198" s="360"/>
      <c r="ICY198" s="360"/>
      <c r="ICZ198" s="360"/>
      <c r="IDA198" s="360"/>
      <c r="IDB198" s="360"/>
      <c r="IDC198" s="360"/>
      <c r="IDD198" s="360"/>
      <c r="IDE198" s="360"/>
      <c r="IDF198" s="360"/>
      <c r="IDG198" s="360"/>
      <c r="IDH198" s="360"/>
      <c r="IDI198" s="360"/>
      <c r="IDJ198" s="360"/>
      <c r="IDK198" s="360"/>
      <c r="IDL198" s="360"/>
      <c r="IDM198" s="360"/>
      <c r="IDN198" s="360"/>
      <c r="IDO198" s="360"/>
      <c r="IDP198" s="360"/>
      <c r="IDQ198" s="360"/>
      <c r="IDR198" s="360"/>
      <c r="IDS198" s="360"/>
      <c r="IDT198" s="360"/>
      <c r="IDU198" s="360"/>
      <c r="IDV198" s="360"/>
      <c r="IDW198" s="360"/>
      <c r="IDX198" s="360"/>
      <c r="IDY198" s="360"/>
      <c r="IDZ198" s="360"/>
      <c r="IEA198" s="360"/>
      <c r="IEB198" s="360"/>
      <c r="IEC198" s="360"/>
      <c r="IED198" s="360"/>
      <c r="IEE198" s="360"/>
      <c r="IEF198" s="360"/>
      <c r="IEG198" s="360"/>
      <c r="IEH198" s="360"/>
      <c r="IEI198" s="360"/>
      <c r="IEJ198" s="360"/>
      <c r="IEK198" s="360"/>
      <c r="IEL198" s="360"/>
      <c r="IEM198" s="360"/>
      <c r="IEN198" s="360"/>
      <c r="IEO198" s="360"/>
      <c r="IEP198" s="360"/>
      <c r="IEQ198" s="360"/>
      <c r="IER198" s="360"/>
      <c r="IES198" s="360"/>
      <c r="IET198" s="360"/>
      <c r="IEU198" s="360"/>
      <c r="IEV198" s="360"/>
      <c r="IEW198" s="360"/>
      <c r="IEX198" s="360"/>
      <c r="IEY198" s="360"/>
      <c r="IEZ198" s="360"/>
      <c r="IFA198" s="360"/>
      <c r="IFB198" s="360"/>
      <c r="IFC198" s="360"/>
      <c r="IFD198" s="360"/>
      <c r="IFE198" s="360"/>
      <c r="IFF198" s="360"/>
      <c r="IFG198" s="360"/>
      <c r="IFH198" s="360"/>
      <c r="IFI198" s="360"/>
      <c r="IFJ198" s="360"/>
      <c r="IFK198" s="360"/>
      <c r="IFL198" s="360"/>
      <c r="IFM198" s="360"/>
      <c r="IFN198" s="360"/>
      <c r="IFO198" s="360"/>
      <c r="IFP198" s="360"/>
      <c r="IFQ198" s="360"/>
      <c r="IFR198" s="360"/>
      <c r="IFS198" s="360"/>
      <c r="IFT198" s="360"/>
      <c r="IFU198" s="360"/>
      <c r="IFV198" s="360"/>
      <c r="IFW198" s="360"/>
      <c r="IFX198" s="360"/>
      <c r="IFY198" s="360"/>
      <c r="IFZ198" s="360"/>
      <c r="IGA198" s="360"/>
      <c r="IGB198" s="360"/>
      <c r="IGC198" s="360"/>
      <c r="IGD198" s="360"/>
      <c r="IGE198" s="360"/>
      <c r="IGF198" s="360"/>
      <c r="IGG198" s="360"/>
      <c r="IGH198" s="360"/>
      <c r="IGI198" s="360"/>
      <c r="IGJ198" s="360"/>
      <c r="IGK198" s="360"/>
      <c r="IGL198" s="360"/>
      <c r="IGM198" s="360"/>
      <c r="IGN198" s="360"/>
      <c r="IGO198" s="360"/>
      <c r="IGP198" s="360"/>
      <c r="IGQ198" s="360"/>
      <c r="IGR198" s="360"/>
      <c r="IGS198" s="360"/>
      <c r="IGT198" s="360"/>
      <c r="IGU198" s="360"/>
      <c r="IGV198" s="360"/>
      <c r="IGW198" s="360"/>
      <c r="IGX198" s="360"/>
      <c r="IGY198" s="360"/>
      <c r="IGZ198" s="360"/>
      <c r="IHA198" s="360"/>
      <c r="IHB198" s="360"/>
      <c r="IHC198" s="360"/>
      <c r="IHD198" s="360"/>
      <c r="IHE198" s="360"/>
      <c r="IHF198" s="360"/>
      <c r="IHG198" s="360"/>
      <c r="IHH198" s="360"/>
      <c r="IHI198" s="360"/>
      <c r="IHJ198" s="360"/>
      <c r="IHK198" s="360"/>
      <c r="IHL198" s="360"/>
      <c r="IHM198" s="360"/>
      <c r="IHN198" s="360"/>
      <c r="IHO198" s="360"/>
      <c r="IHP198" s="360"/>
      <c r="IHQ198" s="360"/>
      <c r="IHR198" s="360"/>
      <c r="IHS198" s="360"/>
      <c r="IHT198" s="360"/>
      <c r="IHU198" s="360"/>
      <c r="IHV198" s="360"/>
      <c r="IHW198" s="360"/>
      <c r="IHX198" s="360"/>
      <c r="IHY198" s="360"/>
      <c r="IHZ198" s="360"/>
      <c r="IIA198" s="360"/>
      <c r="IIB198" s="360"/>
      <c r="IIC198" s="360"/>
      <c r="IID198" s="360"/>
      <c r="IIE198" s="360"/>
      <c r="IIF198" s="360"/>
      <c r="IIG198" s="360"/>
      <c r="IIH198" s="360"/>
      <c r="III198" s="360"/>
      <c r="IIJ198" s="360"/>
      <c r="IIK198" s="360"/>
      <c r="IIL198" s="360"/>
      <c r="IIM198" s="360"/>
      <c r="IIN198" s="360"/>
      <c r="IIO198" s="360"/>
      <c r="IIP198" s="360"/>
      <c r="IIQ198" s="360"/>
      <c r="IIR198" s="360"/>
      <c r="IIS198" s="360"/>
      <c r="IIT198" s="360"/>
      <c r="IIU198" s="360"/>
      <c r="IIV198" s="360"/>
      <c r="IIW198" s="360"/>
      <c r="IIX198" s="360"/>
      <c r="IIY198" s="360"/>
      <c r="IIZ198" s="360"/>
      <c r="IJA198" s="360"/>
      <c r="IJB198" s="360"/>
      <c r="IJC198" s="360"/>
      <c r="IJD198" s="360"/>
      <c r="IJE198" s="360"/>
      <c r="IJF198" s="360"/>
      <c r="IJG198" s="360"/>
      <c r="IJH198" s="360"/>
      <c r="IJI198" s="360"/>
      <c r="IJJ198" s="360"/>
      <c r="IJK198" s="360"/>
      <c r="IJL198" s="360"/>
      <c r="IJM198" s="360"/>
      <c r="IJN198" s="360"/>
      <c r="IJO198" s="360"/>
      <c r="IJP198" s="360"/>
      <c r="IJQ198" s="360"/>
      <c r="IJR198" s="360"/>
      <c r="IJS198" s="360"/>
      <c r="IJT198" s="360"/>
      <c r="IJU198" s="360"/>
      <c r="IJV198" s="360"/>
      <c r="IJW198" s="360"/>
      <c r="IJX198" s="360"/>
      <c r="IJY198" s="360"/>
      <c r="IJZ198" s="360"/>
      <c r="IKA198" s="360"/>
      <c r="IKB198" s="360"/>
      <c r="IKC198" s="360"/>
      <c r="IKD198" s="360"/>
      <c r="IKE198" s="360"/>
      <c r="IKF198" s="360"/>
      <c r="IKG198" s="360"/>
      <c r="IKH198" s="360"/>
      <c r="IKI198" s="360"/>
      <c r="IKJ198" s="360"/>
      <c r="IKK198" s="360"/>
      <c r="IKL198" s="360"/>
      <c r="IKM198" s="360"/>
      <c r="IKN198" s="360"/>
      <c r="IKO198" s="360"/>
      <c r="IKP198" s="360"/>
      <c r="IKQ198" s="360"/>
      <c r="IKR198" s="360"/>
      <c r="IKS198" s="360"/>
      <c r="IKT198" s="360"/>
      <c r="IKU198" s="360"/>
      <c r="IKV198" s="360"/>
      <c r="IKW198" s="360"/>
      <c r="IKX198" s="360"/>
      <c r="IKY198" s="360"/>
      <c r="IKZ198" s="360"/>
      <c r="ILA198" s="360"/>
      <c r="ILB198" s="360"/>
      <c r="ILC198" s="360"/>
      <c r="ILD198" s="360"/>
      <c r="ILE198" s="360"/>
      <c r="ILF198" s="360"/>
      <c r="ILG198" s="360"/>
      <c r="ILH198" s="360"/>
      <c r="ILI198" s="360"/>
      <c r="ILJ198" s="360"/>
      <c r="ILK198" s="360"/>
      <c r="ILL198" s="360"/>
      <c r="ILM198" s="360"/>
      <c r="ILN198" s="360"/>
      <c r="ILO198" s="360"/>
      <c r="ILP198" s="360"/>
      <c r="ILQ198" s="360"/>
      <c r="ILR198" s="360"/>
      <c r="ILS198" s="360"/>
      <c r="ILT198" s="360"/>
      <c r="ILU198" s="360"/>
      <c r="ILV198" s="360"/>
      <c r="ILW198" s="360"/>
      <c r="ILX198" s="360"/>
      <c r="ILY198" s="360"/>
      <c r="ILZ198" s="360"/>
      <c r="IMA198" s="360"/>
      <c r="IMB198" s="360"/>
      <c r="IMC198" s="360"/>
      <c r="IMD198" s="360"/>
      <c r="IME198" s="360"/>
      <c r="IMF198" s="360"/>
      <c r="IMG198" s="360"/>
      <c r="IMH198" s="360"/>
      <c r="IMI198" s="360"/>
      <c r="IMJ198" s="360"/>
      <c r="IMK198" s="360"/>
      <c r="IML198" s="360"/>
      <c r="IMM198" s="360"/>
      <c r="IMN198" s="360"/>
      <c r="IMO198" s="360"/>
      <c r="IMP198" s="360"/>
      <c r="IMQ198" s="360"/>
      <c r="IMR198" s="360"/>
      <c r="IMS198" s="360"/>
      <c r="IMT198" s="360"/>
      <c r="IMU198" s="360"/>
      <c r="IMV198" s="360"/>
      <c r="IMW198" s="360"/>
      <c r="IMX198" s="360"/>
      <c r="IMY198" s="360"/>
      <c r="IMZ198" s="360"/>
      <c r="INA198" s="360"/>
      <c r="INB198" s="360"/>
      <c r="INC198" s="360"/>
      <c r="IND198" s="360"/>
      <c r="INE198" s="360"/>
      <c r="INF198" s="360"/>
      <c r="ING198" s="360"/>
      <c r="INH198" s="360"/>
      <c r="INI198" s="360"/>
      <c r="INJ198" s="360"/>
      <c r="INK198" s="360"/>
      <c r="INL198" s="360"/>
      <c r="INM198" s="360"/>
      <c r="INN198" s="360"/>
      <c r="INO198" s="360"/>
      <c r="INP198" s="360"/>
      <c r="INQ198" s="360"/>
      <c r="INR198" s="360"/>
      <c r="INS198" s="360"/>
      <c r="INT198" s="360"/>
      <c r="INU198" s="360"/>
      <c r="INV198" s="360"/>
      <c r="INW198" s="360"/>
      <c r="INX198" s="360"/>
      <c r="INY198" s="360"/>
      <c r="INZ198" s="360"/>
      <c r="IOA198" s="360"/>
      <c r="IOB198" s="360"/>
      <c r="IOC198" s="360"/>
      <c r="IOD198" s="360"/>
      <c r="IOE198" s="360"/>
      <c r="IOF198" s="360"/>
      <c r="IOG198" s="360"/>
      <c r="IOH198" s="360"/>
      <c r="IOI198" s="360"/>
      <c r="IOJ198" s="360"/>
      <c r="IOK198" s="360"/>
      <c r="IOL198" s="360"/>
      <c r="IOM198" s="360"/>
      <c r="ION198" s="360"/>
      <c r="IOO198" s="360"/>
      <c r="IOP198" s="360"/>
      <c r="IOQ198" s="360"/>
      <c r="IOR198" s="360"/>
      <c r="IOS198" s="360"/>
      <c r="IOT198" s="360"/>
      <c r="IOU198" s="360"/>
      <c r="IOV198" s="360"/>
      <c r="IOW198" s="360"/>
      <c r="IOX198" s="360"/>
      <c r="IOY198" s="360"/>
      <c r="IOZ198" s="360"/>
      <c r="IPA198" s="360"/>
      <c r="IPB198" s="360"/>
      <c r="IPC198" s="360"/>
      <c r="IPD198" s="360"/>
      <c r="IPE198" s="360"/>
      <c r="IPF198" s="360"/>
      <c r="IPG198" s="360"/>
      <c r="IPH198" s="360"/>
      <c r="IPI198" s="360"/>
      <c r="IPJ198" s="360"/>
      <c r="IPK198" s="360"/>
      <c r="IPL198" s="360"/>
      <c r="IPM198" s="360"/>
      <c r="IPN198" s="360"/>
      <c r="IPO198" s="360"/>
      <c r="IPP198" s="360"/>
      <c r="IPQ198" s="360"/>
      <c r="IPR198" s="360"/>
      <c r="IPS198" s="360"/>
      <c r="IPT198" s="360"/>
      <c r="IPU198" s="360"/>
      <c r="IPV198" s="360"/>
      <c r="IPW198" s="360"/>
      <c r="IPX198" s="360"/>
      <c r="IPY198" s="360"/>
      <c r="IPZ198" s="360"/>
      <c r="IQA198" s="360"/>
      <c r="IQB198" s="360"/>
      <c r="IQC198" s="360"/>
      <c r="IQD198" s="360"/>
      <c r="IQE198" s="360"/>
      <c r="IQF198" s="360"/>
      <c r="IQG198" s="360"/>
      <c r="IQH198" s="360"/>
      <c r="IQI198" s="360"/>
      <c r="IQJ198" s="360"/>
      <c r="IQK198" s="360"/>
      <c r="IQL198" s="360"/>
      <c r="IQM198" s="360"/>
      <c r="IQN198" s="360"/>
      <c r="IQO198" s="360"/>
      <c r="IQP198" s="360"/>
      <c r="IQQ198" s="360"/>
      <c r="IQR198" s="360"/>
      <c r="IQS198" s="360"/>
      <c r="IQT198" s="360"/>
      <c r="IQU198" s="360"/>
      <c r="IQV198" s="360"/>
      <c r="IQW198" s="360"/>
      <c r="IQX198" s="360"/>
      <c r="IQY198" s="360"/>
      <c r="IQZ198" s="360"/>
      <c r="IRA198" s="360"/>
      <c r="IRB198" s="360"/>
      <c r="IRC198" s="360"/>
      <c r="IRD198" s="360"/>
      <c r="IRE198" s="360"/>
      <c r="IRF198" s="360"/>
      <c r="IRG198" s="360"/>
      <c r="IRH198" s="360"/>
      <c r="IRI198" s="360"/>
      <c r="IRJ198" s="360"/>
      <c r="IRK198" s="360"/>
      <c r="IRL198" s="360"/>
      <c r="IRM198" s="360"/>
      <c r="IRN198" s="360"/>
      <c r="IRO198" s="360"/>
      <c r="IRP198" s="360"/>
      <c r="IRQ198" s="360"/>
      <c r="IRR198" s="360"/>
      <c r="IRS198" s="360"/>
      <c r="IRT198" s="360"/>
      <c r="IRU198" s="360"/>
      <c r="IRV198" s="360"/>
      <c r="IRW198" s="360"/>
      <c r="IRX198" s="360"/>
      <c r="IRY198" s="360"/>
      <c r="IRZ198" s="360"/>
      <c r="ISA198" s="360"/>
      <c r="ISB198" s="360"/>
      <c r="ISC198" s="360"/>
      <c r="ISD198" s="360"/>
      <c r="ISE198" s="360"/>
      <c r="ISF198" s="360"/>
      <c r="ISG198" s="360"/>
      <c r="ISH198" s="360"/>
      <c r="ISI198" s="360"/>
      <c r="ISJ198" s="360"/>
      <c r="ISK198" s="360"/>
      <c r="ISL198" s="360"/>
      <c r="ISM198" s="360"/>
      <c r="ISN198" s="360"/>
      <c r="ISO198" s="360"/>
      <c r="ISP198" s="360"/>
      <c r="ISQ198" s="360"/>
      <c r="ISR198" s="360"/>
      <c r="ISS198" s="360"/>
      <c r="IST198" s="360"/>
      <c r="ISU198" s="360"/>
      <c r="ISV198" s="360"/>
      <c r="ISW198" s="360"/>
      <c r="ISX198" s="360"/>
      <c r="ISY198" s="360"/>
      <c r="ISZ198" s="360"/>
      <c r="ITA198" s="360"/>
      <c r="ITB198" s="360"/>
      <c r="ITC198" s="360"/>
      <c r="ITD198" s="360"/>
      <c r="ITE198" s="360"/>
      <c r="ITF198" s="360"/>
      <c r="ITG198" s="360"/>
      <c r="ITH198" s="360"/>
      <c r="ITI198" s="360"/>
      <c r="ITJ198" s="360"/>
      <c r="ITK198" s="360"/>
      <c r="ITL198" s="360"/>
      <c r="ITM198" s="360"/>
      <c r="ITN198" s="360"/>
      <c r="ITO198" s="360"/>
      <c r="ITP198" s="360"/>
      <c r="ITQ198" s="360"/>
      <c r="ITR198" s="360"/>
      <c r="ITS198" s="360"/>
      <c r="ITT198" s="360"/>
      <c r="ITU198" s="360"/>
      <c r="ITV198" s="360"/>
      <c r="ITW198" s="360"/>
      <c r="ITX198" s="360"/>
      <c r="ITY198" s="360"/>
      <c r="ITZ198" s="360"/>
      <c r="IUA198" s="360"/>
      <c r="IUB198" s="360"/>
      <c r="IUC198" s="360"/>
      <c r="IUD198" s="360"/>
      <c r="IUE198" s="360"/>
      <c r="IUF198" s="360"/>
      <c r="IUG198" s="360"/>
      <c r="IUH198" s="360"/>
      <c r="IUI198" s="360"/>
      <c r="IUJ198" s="360"/>
      <c r="IUK198" s="360"/>
      <c r="IUL198" s="360"/>
      <c r="IUM198" s="360"/>
      <c r="IUN198" s="360"/>
      <c r="IUO198" s="360"/>
      <c r="IUP198" s="360"/>
      <c r="IUQ198" s="360"/>
      <c r="IUR198" s="360"/>
      <c r="IUS198" s="360"/>
      <c r="IUT198" s="360"/>
      <c r="IUU198" s="360"/>
      <c r="IUV198" s="360"/>
      <c r="IUW198" s="360"/>
      <c r="IUX198" s="360"/>
      <c r="IUY198" s="360"/>
      <c r="IUZ198" s="360"/>
      <c r="IVA198" s="360"/>
      <c r="IVB198" s="360"/>
      <c r="IVC198" s="360"/>
      <c r="IVD198" s="360"/>
      <c r="IVE198" s="360"/>
      <c r="IVF198" s="360"/>
      <c r="IVG198" s="360"/>
      <c r="IVH198" s="360"/>
      <c r="IVI198" s="360"/>
      <c r="IVJ198" s="360"/>
      <c r="IVK198" s="360"/>
      <c r="IVL198" s="360"/>
      <c r="IVM198" s="360"/>
      <c r="IVN198" s="360"/>
      <c r="IVO198" s="360"/>
      <c r="IVP198" s="360"/>
      <c r="IVQ198" s="360"/>
      <c r="IVR198" s="360"/>
      <c r="IVS198" s="360"/>
      <c r="IVT198" s="360"/>
      <c r="IVU198" s="360"/>
      <c r="IVV198" s="360"/>
      <c r="IVW198" s="360"/>
      <c r="IVX198" s="360"/>
      <c r="IVY198" s="360"/>
      <c r="IVZ198" s="360"/>
      <c r="IWA198" s="360"/>
      <c r="IWB198" s="360"/>
      <c r="IWC198" s="360"/>
      <c r="IWD198" s="360"/>
      <c r="IWE198" s="360"/>
      <c r="IWF198" s="360"/>
      <c r="IWG198" s="360"/>
      <c r="IWH198" s="360"/>
      <c r="IWI198" s="360"/>
      <c r="IWJ198" s="360"/>
      <c r="IWK198" s="360"/>
      <c r="IWL198" s="360"/>
      <c r="IWM198" s="360"/>
      <c r="IWN198" s="360"/>
      <c r="IWO198" s="360"/>
      <c r="IWP198" s="360"/>
      <c r="IWQ198" s="360"/>
      <c r="IWR198" s="360"/>
      <c r="IWS198" s="360"/>
      <c r="IWT198" s="360"/>
      <c r="IWU198" s="360"/>
      <c r="IWV198" s="360"/>
      <c r="IWW198" s="360"/>
      <c r="IWX198" s="360"/>
      <c r="IWY198" s="360"/>
      <c r="IWZ198" s="360"/>
      <c r="IXA198" s="360"/>
      <c r="IXB198" s="360"/>
      <c r="IXC198" s="360"/>
      <c r="IXD198" s="360"/>
      <c r="IXE198" s="360"/>
      <c r="IXF198" s="360"/>
      <c r="IXG198" s="360"/>
      <c r="IXH198" s="360"/>
      <c r="IXI198" s="360"/>
      <c r="IXJ198" s="360"/>
      <c r="IXK198" s="360"/>
      <c r="IXL198" s="360"/>
      <c r="IXM198" s="360"/>
      <c r="IXN198" s="360"/>
      <c r="IXO198" s="360"/>
      <c r="IXP198" s="360"/>
      <c r="IXQ198" s="360"/>
      <c r="IXR198" s="360"/>
      <c r="IXS198" s="360"/>
      <c r="IXT198" s="360"/>
      <c r="IXU198" s="360"/>
      <c r="IXV198" s="360"/>
      <c r="IXW198" s="360"/>
      <c r="IXX198" s="360"/>
      <c r="IXY198" s="360"/>
      <c r="IXZ198" s="360"/>
      <c r="IYA198" s="360"/>
      <c r="IYB198" s="360"/>
      <c r="IYC198" s="360"/>
      <c r="IYD198" s="360"/>
      <c r="IYE198" s="360"/>
      <c r="IYF198" s="360"/>
      <c r="IYG198" s="360"/>
      <c r="IYH198" s="360"/>
      <c r="IYI198" s="360"/>
      <c r="IYJ198" s="360"/>
      <c r="IYK198" s="360"/>
      <c r="IYL198" s="360"/>
      <c r="IYM198" s="360"/>
      <c r="IYN198" s="360"/>
      <c r="IYO198" s="360"/>
      <c r="IYP198" s="360"/>
      <c r="IYQ198" s="360"/>
      <c r="IYR198" s="360"/>
      <c r="IYS198" s="360"/>
      <c r="IYT198" s="360"/>
      <c r="IYU198" s="360"/>
      <c r="IYV198" s="360"/>
      <c r="IYW198" s="360"/>
      <c r="IYX198" s="360"/>
      <c r="IYY198" s="360"/>
      <c r="IYZ198" s="360"/>
      <c r="IZA198" s="360"/>
      <c r="IZB198" s="360"/>
      <c r="IZC198" s="360"/>
      <c r="IZD198" s="360"/>
      <c r="IZE198" s="360"/>
      <c r="IZF198" s="360"/>
      <c r="IZG198" s="360"/>
      <c r="IZH198" s="360"/>
      <c r="IZI198" s="360"/>
      <c r="IZJ198" s="360"/>
      <c r="IZK198" s="360"/>
      <c r="IZL198" s="360"/>
      <c r="IZM198" s="360"/>
      <c r="IZN198" s="360"/>
      <c r="IZO198" s="360"/>
      <c r="IZP198" s="360"/>
      <c r="IZQ198" s="360"/>
      <c r="IZR198" s="360"/>
      <c r="IZS198" s="360"/>
      <c r="IZT198" s="360"/>
      <c r="IZU198" s="360"/>
      <c r="IZV198" s="360"/>
      <c r="IZW198" s="360"/>
      <c r="IZX198" s="360"/>
      <c r="IZY198" s="360"/>
      <c r="IZZ198" s="360"/>
      <c r="JAA198" s="360"/>
      <c r="JAB198" s="360"/>
      <c r="JAC198" s="360"/>
      <c r="JAD198" s="360"/>
      <c r="JAE198" s="360"/>
      <c r="JAF198" s="360"/>
      <c r="JAG198" s="360"/>
      <c r="JAH198" s="360"/>
      <c r="JAI198" s="360"/>
      <c r="JAJ198" s="360"/>
      <c r="JAK198" s="360"/>
      <c r="JAL198" s="360"/>
      <c r="JAM198" s="360"/>
      <c r="JAN198" s="360"/>
      <c r="JAO198" s="360"/>
      <c r="JAP198" s="360"/>
      <c r="JAQ198" s="360"/>
      <c r="JAR198" s="360"/>
      <c r="JAS198" s="360"/>
      <c r="JAT198" s="360"/>
      <c r="JAU198" s="360"/>
      <c r="JAV198" s="360"/>
      <c r="JAW198" s="360"/>
      <c r="JAX198" s="360"/>
      <c r="JAY198" s="360"/>
      <c r="JAZ198" s="360"/>
      <c r="JBA198" s="360"/>
      <c r="JBB198" s="360"/>
      <c r="JBC198" s="360"/>
      <c r="JBD198" s="360"/>
      <c r="JBE198" s="360"/>
      <c r="JBF198" s="360"/>
      <c r="JBG198" s="360"/>
      <c r="JBH198" s="360"/>
      <c r="JBI198" s="360"/>
      <c r="JBJ198" s="360"/>
      <c r="JBK198" s="360"/>
      <c r="JBL198" s="360"/>
      <c r="JBM198" s="360"/>
      <c r="JBN198" s="360"/>
      <c r="JBO198" s="360"/>
      <c r="JBP198" s="360"/>
      <c r="JBQ198" s="360"/>
      <c r="JBR198" s="360"/>
      <c r="JBS198" s="360"/>
      <c r="JBT198" s="360"/>
      <c r="JBU198" s="360"/>
      <c r="JBV198" s="360"/>
      <c r="JBW198" s="360"/>
      <c r="JBX198" s="360"/>
      <c r="JBY198" s="360"/>
      <c r="JBZ198" s="360"/>
      <c r="JCA198" s="360"/>
      <c r="JCB198" s="360"/>
      <c r="JCC198" s="360"/>
      <c r="JCD198" s="360"/>
      <c r="JCE198" s="360"/>
      <c r="JCF198" s="360"/>
      <c r="JCG198" s="360"/>
      <c r="JCH198" s="360"/>
      <c r="JCI198" s="360"/>
      <c r="JCJ198" s="360"/>
      <c r="JCK198" s="360"/>
      <c r="JCL198" s="360"/>
      <c r="JCM198" s="360"/>
      <c r="JCN198" s="360"/>
      <c r="JCO198" s="360"/>
      <c r="JCP198" s="360"/>
      <c r="JCQ198" s="360"/>
      <c r="JCR198" s="360"/>
      <c r="JCS198" s="360"/>
      <c r="JCT198" s="360"/>
      <c r="JCU198" s="360"/>
      <c r="JCV198" s="360"/>
      <c r="JCW198" s="360"/>
      <c r="JCX198" s="360"/>
      <c r="JCY198" s="360"/>
      <c r="JCZ198" s="360"/>
      <c r="JDA198" s="360"/>
      <c r="JDB198" s="360"/>
      <c r="JDC198" s="360"/>
      <c r="JDD198" s="360"/>
      <c r="JDE198" s="360"/>
      <c r="JDF198" s="360"/>
      <c r="JDG198" s="360"/>
      <c r="JDH198" s="360"/>
      <c r="JDI198" s="360"/>
      <c r="JDJ198" s="360"/>
      <c r="JDK198" s="360"/>
      <c r="JDL198" s="360"/>
      <c r="JDM198" s="360"/>
      <c r="JDN198" s="360"/>
      <c r="JDO198" s="360"/>
      <c r="JDP198" s="360"/>
      <c r="JDQ198" s="360"/>
      <c r="JDR198" s="360"/>
      <c r="JDS198" s="360"/>
      <c r="JDT198" s="360"/>
      <c r="JDU198" s="360"/>
      <c r="JDV198" s="360"/>
      <c r="JDW198" s="360"/>
      <c r="JDX198" s="360"/>
      <c r="JDY198" s="360"/>
      <c r="JDZ198" s="360"/>
      <c r="JEA198" s="360"/>
      <c r="JEB198" s="360"/>
      <c r="JEC198" s="360"/>
      <c r="JED198" s="360"/>
      <c r="JEE198" s="360"/>
      <c r="JEF198" s="360"/>
      <c r="JEG198" s="360"/>
      <c r="JEH198" s="360"/>
      <c r="JEI198" s="360"/>
      <c r="JEJ198" s="360"/>
      <c r="JEK198" s="360"/>
      <c r="JEL198" s="360"/>
      <c r="JEM198" s="360"/>
      <c r="JEN198" s="360"/>
      <c r="JEO198" s="360"/>
      <c r="JEP198" s="360"/>
      <c r="JEQ198" s="360"/>
      <c r="JER198" s="360"/>
      <c r="JES198" s="360"/>
      <c r="JET198" s="360"/>
      <c r="JEU198" s="360"/>
      <c r="JEV198" s="360"/>
      <c r="JEW198" s="360"/>
      <c r="JEX198" s="360"/>
      <c r="JEY198" s="360"/>
      <c r="JEZ198" s="360"/>
      <c r="JFA198" s="360"/>
      <c r="JFB198" s="360"/>
      <c r="JFC198" s="360"/>
      <c r="JFD198" s="360"/>
      <c r="JFE198" s="360"/>
      <c r="JFF198" s="360"/>
      <c r="JFG198" s="360"/>
      <c r="JFH198" s="360"/>
      <c r="JFI198" s="360"/>
      <c r="JFJ198" s="360"/>
      <c r="JFK198" s="360"/>
      <c r="JFL198" s="360"/>
      <c r="JFM198" s="360"/>
      <c r="JFN198" s="360"/>
      <c r="JFO198" s="360"/>
      <c r="JFP198" s="360"/>
      <c r="JFQ198" s="360"/>
      <c r="JFR198" s="360"/>
      <c r="JFS198" s="360"/>
      <c r="JFT198" s="360"/>
      <c r="JFU198" s="360"/>
      <c r="JFV198" s="360"/>
      <c r="JFW198" s="360"/>
      <c r="JFX198" s="360"/>
      <c r="JFY198" s="360"/>
      <c r="JFZ198" s="360"/>
      <c r="JGA198" s="360"/>
      <c r="JGB198" s="360"/>
      <c r="JGC198" s="360"/>
      <c r="JGD198" s="360"/>
      <c r="JGE198" s="360"/>
      <c r="JGF198" s="360"/>
      <c r="JGG198" s="360"/>
      <c r="JGH198" s="360"/>
      <c r="JGI198" s="360"/>
      <c r="JGJ198" s="360"/>
      <c r="JGK198" s="360"/>
      <c r="JGL198" s="360"/>
      <c r="JGM198" s="360"/>
      <c r="JGN198" s="360"/>
      <c r="JGO198" s="360"/>
      <c r="JGP198" s="360"/>
      <c r="JGQ198" s="360"/>
      <c r="JGR198" s="360"/>
      <c r="JGS198" s="360"/>
      <c r="JGT198" s="360"/>
      <c r="JGU198" s="360"/>
      <c r="JGV198" s="360"/>
      <c r="JGW198" s="360"/>
      <c r="JGX198" s="360"/>
      <c r="JGY198" s="360"/>
      <c r="JGZ198" s="360"/>
      <c r="JHA198" s="360"/>
      <c r="JHB198" s="360"/>
      <c r="JHC198" s="360"/>
      <c r="JHD198" s="360"/>
      <c r="JHE198" s="360"/>
      <c r="JHF198" s="360"/>
      <c r="JHG198" s="360"/>
      <c r="JHH198" s="360"/>
      <c r="JHI198" s="360"/>
      <c r="JHJ198" s="360"/>
      <c r="JHK198" s="360"/>
      <c r="JHL198" s="360"/>
      <c r="JHM198" s="360"/>
      <c r="JHN198" s="360"/>
      <c r="JHO198" s="360"/>
      <c r="JHP198" s="360"/>
      <c r="JHQ198" s="360"/>
      <c r="JHR198" s="360"/>
      <c r="JHS198" s="360"/>
      <c r="JHT198" s="360"/>
      <c r="JHU198" s="360"/>
      <c r="JHV198" s="360"/>
      <c r="JHW198" s="360"/>
      <c r="JHX198" s="360"/>
      <c r="JHY198" s="360"/>
      <c r="JHZ198" s="360"/>
      <c r="JIA198" s="360"/>
      <c r="JIB198" s="360"/>
      <c r="JIC198" s="360"/>
      <c r="JID198" s="360"/>
      <c r="JIE198" s="360"/>
      <c r="JIF198" s="360"/>
      <c r="JIG198" s="360"/>
      <c r="JIH198" s="360"/>
      <c r="JII198" s="360"/>
      <c r="JIJ198" s="360"/>
      <c r="JIK198" s="360"/>
      <c r="JIL198" s="360"/>
      <c r="JIM198" s="360"/>
      <c r="JIN198" s="360"/>
      <c r="JIO198" s="360"/>
      <c r="JIP198" s="360"/>
      <c r="JIQ198" s="360"/>
      <c r="JIR198" s="360"/>
      <c r="JIS198" s="360"/>
      <c r="JIT198" s="360"/>
      <c r="JIU198" s="360"/>
      <c r="JIV198" s="360"/>
      <c r="JIW198" s="360"/>
      <c r="JIX198" s="360"/>
      <c r="JIY198" s="360"/>
      <c r="JIZ198" s="360"/>
      <c r="JJA198" s="360"/>
      <c r="JJB198" s="360"/>
      <c r="JJC198" s="360"/>
      <c r="JJD198" s="360"/>
      <c r="JJE198" s="360"/>
      <c r="JJF198" s="360"/>
      <c r="JJG198" s="360"/>
      <c r="JJH198" s="360"/>
      <c r="JJI198" s="360"/>
      <c r="JJJ198" s="360"/>
      <c r="JJK198" s="360"/>
      <c r="JJL198" s="360"/>
      <c r="JJM198" s="360"/>
      <c r="JJN198" s="360"/>
      <c r="JJO198" s="360"/>
      <c r="JJP198" s="360"/>
      <c r="JJQ198" s="360"/>
      <c r="JJR198" s="360"/>
      <c r="JJS198" s="360"/>
      <c r="JJT198" s="360"/>
      <c r="JJU198" s="360"/>
      <c r="JJV198" s="360"/>
      <c r="JJW198" s="360"/>
      <c r="JJX198" s="360"/>
      <c r="JJY198" s="360"/>
      <c r="JJZ198" s="360"/>
      <c r="JKA198" s="360"/>
      <c r="JKB198" s="360"/>
      <c r="JKC198" s="360"/>
      <c r="JKD198" s="360"/>
      <c r="JKE198" s="360"/>
      <c r="JKF198" s="360"/>
      <c r="JKG198" s="360"/>
      <c r="JKH198" s="360"/>
      <c r="JKI198" s="360"/>
      <c r="JKJ198" s="360"/>
      <c r="JKK198" s="360"/>
      <c r="JKL198" s="360"/>
      <c r="JKM198" s="360"/>
      <c r="JKN198" s="360"/>
      <c r="JKO198" s="360"/>
      <c r="JKP198" s="360"/>
      <c r="JKQ198" s="360"/>
      <c r="JKR198" s="360"/>
      <c r="JKS198" s="360"/>
      <c r="JKT198" s="360"/>
      <c r="JKU198" s="360"/>
      <c r="JKV198" s="360"/>
      <c r="JKW198" s="360"/>
      <c r="JKX198" s="360"/>
      <c r="JKY198" s="360"/>
      <c r="JKZ198" s="360"/>
      <c r="JLA198" s="360"/>
      <c r="JLB198" s="360"/>
      <c r="JLC198" s="360"/>
      <c r="JLD198" s="360"/>
      <c r="JLE198" s="360"/>
      <c r="JLF198" s="360"/>
      <c r="JLG198" s="360"/>
      <c r="JLH198" s="360"/>
      <c r="JLI198" s="360"/>
      <c r="JLJ198" s="360"/>
      <c r="JLK198" s="360"/>
      <c r="JLL198" s="360"/>
      <c r="JLM198" s="360"/>
      <c r="JLN198" s="360"/>
      <c r="JLO198" s="360"/>
      <c r="JLP198" s="360"/>
      <c r="JLQ198" s="360"/>
      <c r="JLR198" s="360"/>
      <c r="JLS198" s="360"/>
      <c r="JLT198" s="360"/>
      <c r="JLU198" s="360"/>
      <c r="JLV198" s="360"/>
      <c r="JLW198" s="360"/>
      <c r="JLX198" s="360"/>
      <c r="JLY198" s="360"/>
      <c r="JLZ198" s="360"/>
      <c r="JMA198" s="360"/>
      <c r="JMB198" s="360"/>
      <c r="JMC198" s="360"/>
      <c r="JMD198" s="360"/>
      <c r="JME198" s="360"/>
      <c r="JMF198" s="360"/>
      <c r="JMG198" s="360"/>
      <c r="JMH198" s="360"/>
      <c r="JMI198" s="360"/>
      <c r="JMJ198" s="360"/>
      <c r="JMK198" s="360"/>
      <c r="JML198" s="360"/>
      <c r="JMM198" s="360"/>
      <c r="JMN198" s="360"/>
      <c r="JMO198" s="360"/>
      <c r="JMP198" s="360"/>
      <c r="JMQ198" s="360"/>
      <c r="JMR198" s="360"/>
      <c r="JMS198" s="360"/>
      <c r="JMT198" s="360"/>
      <c r="JMU198" s="360"/>
      <c r="JMV198" s="360"/>
      <c r="JMW198" s="360"/>
      <c r="JMX198" s="360"/>
      <c r="JMY198" s="360"/>
      <c r="JMZ198" s="360"/>
      <c r="JNA198" s="360"/>
      <c r="JNB198" s="360"/>
      <c r="JNC198" s="360"/>
      <c r="JND198" s="360"/>
      <c r="JNE198" s="360"/>
      <c r="JNF198" s="360"/>
      <c r="JNG198" s="360"/>
      <c r="JNH198" s="360"/>
      <c r="JNI198" s="360"/>
      <c r="JNJ198" s="360"/>
      <c r="JNK198" s="360"/>
      <c r="JNL198" s="360"/>
      <c r="JNM198" s="360"/>
      <c r="JNN198" s="360"/>
      <c r="JNO198" s="360"/>
      <c r="JNP198" s="360"/>
      <c r="JNQ198" s="360"/>
      <c r="JNR198" s="360"/>
      <c r="JNS198" s="360"/>
      <c r="JNT198" s="360"/>
      <c r="JNU198" s="360"/>
      <c r="JNV198" s="360"/>
      <c r="JNW198" s="360"/>
      <c r="JNX198" s="360"/>
      <c r="JNY198" s="360"/>
      <c r="JNZ198" s="360"/>
      <c r="JOA198" s="360"/>
      <c r="JOB198" s="360"/>
      <c r="JOC198" s="360"/>
      <c r="JOD198" s="360"/>
      <c r="JOE198" s="360"/>
      <c r="JOF198" s="360"/>
      <c r="JOG198" s="360"/>
      <c r="JOH198" s="360"/>
      <c r="JOI198" s="360"/>
      <c r="JOJ198" s="360"/>
      <c r="JOK198" s="360"/>
      <c r="JOL198" s="360"/>
      <c r="JOM198" s="360"/>
      <c r="JON198" s="360"/>
      <c r="JOO198" s="360"/>
      <c r="JOP198" s="360"/>
      <c r="JOQ198" s="360"/>
      <c r="JOR198" s="360"/>
      <c r="JOS198" s="360"/>
      <c r="JOT198" s="360"/>
      <c r="JOU198" s="360"/>
      <c r="JOV198" s="360"/>
      <c r="JOW198" s="360"/>
      <c r="JOX198" s="360"/>
      <c r="JOY198" s="360"/>
      <c r="JOZ198" s="360"/>
      <c r="JPA198" s="360"/>
      <c r="JPB198" s="360"/>
      <c r="JPC198" s="360"/>
      <c r="JPD198" s="360"/>
      <c r="JPE198" s="360"/>
      <c r="JPF198" s="360"/>
      <c r="JPG198" s="360"/>
      <c r="JPH198" s="360"/>
      <c r="JPI198" s="360"/>
      <c r="JPJ198" s="360"/>
      <c r="JPK198" s="360"/>
      <c r="JPL198" s="360"/>
      <c r="JPM198" s="360"/>
      <c r="JPN198" s="360"/>
      <c r="JPO198" s="360"/>
      <c r="JPP198" s="360"/>
      <c r="JPQ198" s="360"/>
      <c r="JPR198" s="360"/>
      <c r="JPS198" s="360"/>
      <c r="JPT198" s="360"/>
      <c r="JPU198" s="360"/>
      <c r="JPV198" s="360"/>
      <c r="JPW198" s="360"/>
      <c r="JPX198" s="360"/>
      <c r="JPY198" s="360"/>
      <c r="JPZ198" s="360"/>
      <c r="JQA198" s="360"/>
      <c r="JQB198" s="360"/>
      <c r="JQC198" s="360"/>
      <c r="JQD198" s="360"/>
      <c r="JQE198" s="360"/>
      <c r="JQF198" s="360"/>
      <c r="JQG198" s="360"/>
      <c r="JQH198" s="360"/>
      <c r="JQI198" s="360"/>
      <c r="JQJ198" s="360"/>
      <c r="JQK198" s="360"/>
      <c r="JQL198" s="360"/>
      <c r="JQM198" s="360"/>
      <c r="JQN198" s="360"/>
      <c r="JQO198" s="360"/>
      <c r="JQP198" s="360"/>
      <c r="JQQ198" s="360"/>
      <c r="JQR198" s="360"/>
      <c r="JQS198" s="360"/>
      <c r="JQT198" s="360"/>
      <c r="JQU198" s="360"/>
      <c r="JQV198" s="360"/>
      <c r="JQW198" s="360"/>
      <c r="JQX198" s="360"/>
      <c r="JQY198" s="360"/>
      <c r="JQZ198" s="360"/>
      <c r="JRA198" s="360"/>
      <c r="JRB198" s="360"/>
      <c r="JRC198" s="360"/>
      <c r="JRD198" s="360"/>
      <c r="JRE198" s="360"/>
      <c r="JRF198" s="360"/>
      <c r="JRG198" s="360"/>
      <c r="JRH198" s="360"/>
      <c r="JRI198" s="360"/>
      <c r="JRJ198" s="360"/>
      <c r="JRK198" s="360"/>
      <c r="JRL198" s="360"/>
      <c r="JRM198" s="360"/>
      <c r="JRN198" s="360"/>
      <c r="JRO198" s="360"/>
      <c r="JRP198" s="360"/>
      <c r="JRQ198" s="360"/>
      <c r="JRR198" s="360"/>
      <c r="JRS198" s="360"/>
      <c r="JRT198" s="360"/>
      <c r="JRU198" s="360"/>
      <c r="JRV198" s="360"/>
      <c r="JRW198" s="360"/>
      <c r="JRX198" s="360"/>
      <c r="JRY198" s="360"/>
      <c r="JRZ198" s="360"/>
      <c r="JSA198" s="360"/>
      <c r="JSB198" s="360"/>
      <c r="JSC198" s="360"/>
      <c r="JSD198" s="360"/>
      <c r="JSE198" s="360"/>
      <c r="JSF198" s="360"/>
      <c r="JSG198" s="360"/>
      <c r="JSH198" s="360"/>
      <c r="JSI198" s="360"/>
      <c r="JSJ198" s="360"/>
      <c r="JSK198" s="360"/>
      <c r="JSL198" s="360"/>
      <c r="JSM198" s="360"/>
      <c r="JSN198" s="360"/>
      <c r="JSO198" s="360"/>
      <c r="JSP198" s="360"/>
      <c r="JSQ198" s="360"/>
      <c r="JSR198" s="360"/>
      <c r="JSS198" s="360"/>
      <c r="JST198" s="360"/>
      <c r="JSU198" s="360"/>
      <c r="JSV198" s="360"/>
      <c r="JSW198" s="360"/>
      <c r="JSX198" s="360"/>
      <c r="JSY198" s="360"/>
      <c r="JSZ198" s="360"/>
      <c r="JTA198" s="360"/>
      <c r="JTB198" s="360"/>
      <c r="JTC198" s="360"/>
      <c r="JTD198" s="360"/>
      <c r="JTE198" s="360"/>
      <c r="JTF198" s="360"/>
      <c r="JTG198" s="360"/>
      <c r="JTH198" s="360"/>
      <c r="JTI198" s="360"/>
      <c r="JTJ198" s="360"/>
      <c r="JTK198" s="360"/>
      <c r="JTL198" s="360"/>
      <c r="JTM198" s="360"/>
      <c r="JTN198" s="360"/>
      <c r="JTO198" s="360"/>
      <c r="JTP198" s="360"/>
      <c r="JTQ198" s="360"/>
      <c r="JTR198" s="360"/>
      <c r="JTS198" s="360"/>
      <c r="JTT198" s="360"/>
      <c r="JTU198" s="360"/>
      <c r="JTV198" s="360"/>
      <c r="JTW198" s="360"/>
      <c r="JTX198" s="360"/>
      <c r="JTY198" s="360"/>
      <c r="JTZ198" s="360"/>
      <c r="JUA198" s="360"/>
      <c r="JUB198" s="360"/>
      <c r="JUC198" s="360"/>
      <c r="JUD198" s="360"/>
      <c r="JUE198" s="360"/>
      <c r="JUF198" s="360"/>
      <c r="JUG198" s="360"/>
      <c r="JUH198" s="360"/>
      <c r="JUI198" s="360"/>
      <c r="JUJ198" s="360"/>
      <c r="JUK198" s="360"/>
      <c r="JUL198" s="360"/>
      <c r="JUM198" s="360"/>
      <c r="JUN198" s="360"/>
      <c r="JUO198" s="360"/>
      <c r="JUP198" s="360"/>
      <c r="JUQ198" s="360"/>
      <c r="JUR198" s="360"/>
      <c r="JUS198" s="360"/>
      <c r="JUT198" s="360"/>
      <c r="JUU198" s="360"/>
      <c r="JUV198" s="360"/>
      <c r="JUW198" s="360"/>
      <c r="JUX198" s="360"/>
      <c r="JUY198" s="360"/>
      <c r="JUZ198" s="360"/>
      <c r="JVA198" s="360"/>
      <c r="JVB198" s="360"/>
      <c r="JVC198" s="360"/>
      <c r="JVD198" s="360"/>
      <c r="JVE198" s="360"/>
      <c r="JVF198" s="360"/>
      <c r="JVG198" s="360"/>
      <c r="JVH198" s="360"/>
      <c r="JVI198" s="360"/>
      <c r="JVJ198" s="360"/>
      <c r="JVK198" s="360"/>
      <c r="JVL198" s="360"/>
      <c r="JVM198" s="360"/>
      <c r="JVN198" s="360"/>
      <c r="JVO198" s="360"/>
      <c r="JVP198" s="360"/>
      <c r="JVQ198" s="360"/>
      <c r="JVR198" s="360"/>
      <c r="JVS198" s="360"/>
      <c r="JVT198" s="360"/>
      <c r="JVU198" s="360"/>
      <c r="JVV198" s="360"/>
      <c r="JVW198" s="360"/>
      <c r="JVX198" s="360"/>
      <c r="JVY198" s="360"/>
      <c r="JVZ198" s="360"/>
      <c r="JWA198" s="360"/>
      <c r="JWB198" s="360"/>
      <c r="JWC198" s="360"/>
      <c r="JWD198" s="360"/>
      <c r="JWE198" s="360"/>
      <c r="JWF198" s="360"/>
      <c r="JWG198" s="360"/>
      <c r="JWH198" s="360"/>
      <c r="JWI198" s="360"/>
      <c r="JWJ198" s="360"/>
      <c r="JWK198" s="360"/>
      <c r="JWL198" s="360"/>
      <c r="JWM198" s="360"/>
      <c r="JWN198" s="360"/>
      <c r="JWO198" s="360"/>
      <c r="JWP198" s="360"/>
      <c r="JWQ198" s="360"/>
      <c r="JWR198" s="360"/>
      <c r="JWS198" s="360"/>
      <c r="JWT198" s="360"/>
      <c r="JWU198" s="360"/>
      <c r="JWV198" s="360"/>
      <c r="JWW198" s="360"/>
      <c r="JWX198" s="360"/>
      <c r="JWY198" s="360"/>
      <c r="JWZ198" s="360"/>
      <c r="JXA198" s="360"/>
      <c r="JXB198" s="360"/>
      <c r="JXC198" s="360"/>
      <c r="JXD198" s="360"/>
      <c r="JXE198" s="360"/>
      <c r="JXF198" s="360"/>
      <c r="JXG198" s="360"/>
      <c r="JXH198" s="360"/>
      <c r="JXI198" s="360"/>
      <c r="JXJ198" s="360"/>
      <c r="JXK198" s="360"/>
      <c r="JXL198" s="360"/>
      <c r="JXM198" s="360"/>
      <c r="JXN198" s="360"/>
      <c r="JXO198" s="360"/>
      <c r="JXP198" s="360"/>
      <c r="JXQ198" s="360"/>
      <c r="JXR198" s="360"/>
      <c r="JXS198" s="360"/>
      <c r="JXT198" s="360"/>
      <c r="JXU198" s="360"/>
      <c r="JXV198" s="360"/>
      <c r="JXW198" s="360"/>
      <c r="JXX198" s="360"/>
      <c r="JXY198" s="360"/>
      <c r="JXZ198" s="360"/>
      <c r="JYA198" s="360"/>
      <c r="JYB198" s="360"/>
      <c r="JYC198" s="360"/>
      <c r="JYD198" s="360"/>
      <c r="JYE198" s="360"/>
      <c r="JYF198" s="360"/>
      <c r="JYG198" s="360"/>
      <c r="JYH198" s="360"/>
      <c r="JYI198" s="360"/>
      <c r="JYJ198" s="360"/>
      <c r="JYK198" s="360"/>
      <c r="JYL198" s="360"/>
      <c r="JYM198" s="360"/>
      <c r="JYN198" s="360"/>
      <c r="JYO198" s="360"/>
      <c r="JYP198" s="360"/>
      <c r="JYQ198" s="360"/>
      <c r="JYR198" s="360"/>
      <c r="JYS198" s="360"/>
      <c r="JYT198" s="360"/>
      <c r="JYU198" s="360"/>
      <c r="JYV198" s="360"/>
      <c r="JYW198" s="360"/>
      <c r="JYX198" s="360"/>
      <c r="JYY198" s="360"/>
      <c r="JYZ198" s="360"/>
      <c r="JZA198" s="360"/>
      <c r="JZB198" s="360"/>
      <c r="JZC198" s="360"/>
      <c r="JZD198" s="360"/>
      <c r="JZE198" s="360"/>
      <c r="JZF198" s="360"/>
      <c r="JZG198" s="360"/>
      <c r="JZH198" s="360"/>
      <c r="JZI198" s="360"/>
      <c r="JZJ198" s="360"/>
      <c r="JZK198" s="360"/>
      <c r="JZL198" s="360"/>
      <c r="JZM198" s="360"/>
      <c r="JZN198" s="360"/>
      <c r="JZO198" s="360"/>
      <c r="JZP198" s="360"/>
      <c r="JZQ198" s="360"/>
      <c r="JZR198" s="360"/>
      <c r="JZS198" s="360"/>
      <c r="JZT198" s="360"/>
      <c r="JZU198" s="360"/>
      <c r="JZV198" s="360"/>
      <c r="JZW198" s="360"/>
      <c r="JZX198" s="360"/>
      <c r="JZY198" s="360"/>
      <c r="JZZ198" s="360"/>
      <c r="KAA198" s="360"/>
      <c r="KAB198" s="360"/>
      <c r="KAC198" s="360"/>
      <c r="KAD198" s="360"/>
      <c r="KAE198" s="360"/>
      <c r="KAF198" s="360"/>
      <c r="KAG198" s="360"/>
      <c r="KAH198" s="360"/>
      <c r="KAI198" s="360"/>
      <c r="KAJ198" s="360"/>
      <c r="KAK198" s="360"/>
      <c r="KAL198" s="360"/>
      <c r="KAM198" s="360"/>
      <c r="KAN198" s="360"/>
      <c r="KAO198" s="360"/>
      <c r="KAP198" s="360"/>
      <c r="KAQ198" s="360"/>
      <c r="KAR198" s="360"/>
      <c r="KAS198" s="360"/>
      <c r="KAT198" s="360"/>
      <c r="KAU198" s="360"/>
      <c r="KAV198" s="360"/>
      <c r="KAW198" s="360"/>
      <c r="KAX198" s="360"/>
      <c r="KAY198" s="360"/>
      <c r="KAZ198" s="360"/>
      <c r="KBA198" s="360"/>
      <c r="KBB198" s="360"/>
      <c r="KBC198" s="360"/>
      <c r="KBD198" s="360"/>
      <c r="KBE198" s="360"/>
      <c r="KBF198" s="360"/>
      <c r="KBG198" s="360"/>
      <c r="KBH198" s="360"/>
      <c r="KBI198" s="360"/>
      <c r="KBJ198" s="360"/>
      <c r="KBK198" s="360"/>
      <c r="KBL198" s="360"/>
      <c r="KBM198" s="360"/>
      <c r="KBN198" s="360"/>
      <c r="KBO198" s="360"/>
      <c r="KBP198" s="360"/>
      <c r="KBQ198" s="360"/>
      <c r="KBR198" s="360"/>
      <c r="KBS198" s="360"/>
      <c r="KBT198" s="360"/>
      <c r="KBU198" s="360"/>
      <c r="KBV198" s="360"/>
      <c r="KBW198" s="360"/>
      <c r="KBX198" s="360"/>
      <c r="KBY198" s="360"/>
      <c r="KBZ198" s="360"/>
      <c r="KCA198" s="360"/>
      <c r="KCB198" s="360"/>
      <c r="KCC198" s="360"/>
      <c r="KCD198" s="360"/>
      <c r="KCE198" s="360"/>
      <c r="KCF198" s="360"/>
      <c r="KCG198" s="360"/>
      <c r="KCH198" s="360"/>
      <c r="KCI198" s="360"/>
      <c r="KCJ198" s="360"/>
      <c r="KCK198" s="360"/>
      <c r="KCL198" s="360"/>
      <c r="KCM198" s="360"/>
      <c r="KCN198" s="360"/>
      <c r="KCO198" s="360"/>
      <c r="KCP198" s="360"/>
      <c r="KCQ198" s="360"/>
      <c r="KCR198" s="360"/>
      <c r="KCS198" s="360"/>
      <c r="KCT198" s="360"/>
      <c r="KCU198" s="360"/>
      <c r="KCV198" s="360"/>
      <c r="KCW198" s="360"/>
      <c r="KCX198" s="360"/>
      <c r="KCY198" s="360"/>
      <c r="KCZ198" s="360"/>
      <c r="KDA198" s="360"/>
      <c r="KDB198" s="360"/>
      <c r="KDC198" s="360"/>
      <c r="KDD198" s="360"/>
      <c r="KDE198" s="360"/>
      <c r="KDF198" s="360"/>
      <c r="KDG198" s="360"/>
      <c r="KDH198" s="360"/>
      <c r="KDI198" s="360"/>
      <c r="KDJ198" s="360"/>
      <c r="KDK198" s="360"/>
      <c r="KDL198" s="360"/>
      <c r="KDM198" s="360"/>
      <c r="KDN198" s="360"/>
      <c r="KDO198" s="360"/>
      <c r="KDP198" s="360"/>
      <c r="KDQ198" s="360"/>
      <c r="KDR198" s="360"/>
      <c r="KDS198" s="360"/>
      <c r="KDT198" s="360"/>
      <c r="KDU198" s="360"/>
      <c r="KDV198" s="360"/>
      <c r="KDW198" s="360"/>
      <c r="KDX198" s="360"/>
      <c r="KDY198" s="360"/>
      <c r="KDZ198" s="360"/>
      <c r="KEA198" s="360"/>
      <c r="KEB198" s="360"/>
      <c r="KEC198" s="360"/>
      <c r="KED198" s="360"/>
      <c r="KEE198" s="360"/>
      <c r="KEF198" s="360"/>
      <c r="KEG198" s="360"/>
      <c r="KEH198" s="360"/>
      <c r="KEI198" s="360"/>
      <c r="KEJ198" s="360"/>
      <c r="KEK198" s="360"/>
      <c r="KEL198" s="360"/>
      <c r="KEM198" s="360"/>
      <c r="KEN198" s="360"/>
      <c r="KEO198" s="360"/>
      <c r="KEP198" s="360"/>
      <c r="KEQ198" s="360"/>
      <c r="KER198" s="360"/>
      <c r="KES198" s="360"/>
      <c r="KET198" s="360"/>
      <c r="KEU198" s="360"/>
      <c r="KEV198" s="360"/>
      <c r="KEW198" s="360"/>
      <c r="KEX198" s="360"/>
      <c r="KEY198" s="360"/>
      <c r="KEZ198" s="360"/>
      <c r="KFA198" s="360"/>
      <c r="KFB198" s="360"/>
      <c r="KFC198" s="360"/>
      <c r="KFD198" s="360"/>
      <c r="KFE198" s="360"/>
      <c r="KFF198" s="360"/>
      <c r="KFG198" s="360"/>
      <c r="KFH198" s="360"/>
      <c r="KFI198" s="360"/>
      <c r="KFJ198" s="360"/>
      <c r="KFK198" s="360"/>
      <c r="KFL198" s="360"/>
      <c r="KFM198" s="360"/>
      <c r="KFN198" s="360"/>
      <c r="KFO198" s="360"/>
      <c r="KFP198" s="360"/>
      <c r="KFQ198" s="360"/>
      <c r="KFR198" s="360"/>
      <c r="KFS198" s="360"/>
      <c r="KFT198" s="360"/>
      <c r="KFU198" s="360"/>
      <c r="KFV198" s="360"/>
      <c r="KFW198" s="360"/>
      <c r="KFX198" s="360"/>
      <c r="KFY198" s="360"/>
      <c r="KFZ198" s="360"/>
      <c r="KGA198" s="360"/>
      <c r="KGB198" s="360"/>
      <c r="KGC198" s="360"/>
      <c r="KGD198" s="360"/>
      <c r="KGE198" s="360"/>
      <c r="KGF198" s="360"/>
      <c r="KGG198" s="360"/>
      <c r="KGH198" s="360"/>
      <c r="KGI198" s="360"/>
      <c r="KGJ198" s="360"/>
      <c r="KGK198" s="360"/>
      <c r="KGL198" s="360"/>
      <c r="KGM198" s="360"/>
      <c r="KGN198" s="360"/>
      <c r="KGO198" s="360"/>
      <c r="KGP198" s="360"/>
      <c r="KGQ198" s="360"/>
      <c r="KGR198" s="360"/>
      <c r="KGS198" s="360"/>
      <c r="KGT198" s="360"/>
      <c r="KGU198" s="360"/>
      <c r="KGV198" s="360"/>
      <c r="KGW198" s="360"/>
      <c r="KGX198" s="360"/>
      <c r="KGY198" s="360"/>
      <c r="KGZ198" s="360"/>
      <c r="KHA198" s="360"/>
      <c r="KHB198" s="360"/>
      <c r="KHC198" s="360"/>
      <c r="KHD198" s="360"/>
      <c r="KHE198" s="360"/>
      <c r="KHF198" s="360"/>
      <c r="KHG198" s="360"/>
      <c r="KHH198" s="360"/>
      <c r="KHI198" s="360"/>
      <c r="KHJ198" s="360"/>
      <c r="KHK198" s="360"/>
      <c r="KHL198" s="360"/>
      <c r="KHM198" s="360"/>
      <c r="KHN198" s="360"/>
      <c r="KHO198" s="360"/>
      <c r="KHP198" s="360"/>
      <c r="KHQ198" s="360"/>
      <c r="KHR198" s="360"/>
      <c r="KHS198" s="360"/>
      <c r="KHT198" s="360"/>
      <c r="KHU198" s="360"/>
      <c r="KHV198" s="360"/>
      <c r="KHW198" s="360"/>
      <c r="KHX198" s="360"/>
      <c r="KHY198" s="360"/>
      <c r="KHZ198" s="360"/>
      <c r="KIA198" s="360"/>
      <c r="KIB198" s="360"/>
      <c r="KIC198" s="360"/>
      <c r="KID198" s="360"/>
      <c r="KIE198" s="360"/>
      <c r="KIF198" s="360"/>
      <c r="KIG198" s="360"/>
      <c r="KIH198" s="360"/>
      <c r="KII198" s="360"/>
      <c r="KIJ198" s="360"/>
      <c r="KIK198" s="360"/>
      <c r="KIL198" s="360"/>
      <c r="KIM198" s="360"/>
      <c r="KIN198" s="360"/>
      <c r="KIO198" s="360"/>
      <c r="KIP198" s="360"/>
      <c r="KIQ198" s="360"/>
      <c r="KIR198" s="360"/>
      <c r="KIS198" s="360"/>
      <c r="KIT198" s="360"/>
      <c r="KIU198" s="360"/>
      <c r="KIV198" s="360"/>
      <c r="KIW198" s="360"/>
      <c r="KIX198" s="360"/>
      <c r="KIY198" s="360"/>
      <c r="KIZ198" s="360"/>
      <c r="KJA198" s="360"/>
      <c r="KJB198" s="360"/>
      <c r="KJC198" s="360"/>
      <c r="KJD198" s="360"/>
      <c r="KJE198" s="360"/>
      <c r="KJF198" s="360"/>
      <c r="KJG198" s="360"/>
      <c r="KJH198" s="360"/>
      <c r="KJI198" s="360"/>
      <c r="KJJ198" s="360"/>
      <c r="KJK198" s="360"/>
      <c r="KJL198" s="360"/>
      <c r="KJM198" s="360"/>
      <c r="KJN198" s="360"/>
      <c r="KJO198" s="360"/>
      <c r="KJP198" s="360"/>
      <c r="KJQ198" s="360"/>
      <c r="KJR198" s="360"/>
      <c r="KJS198" s="360"/>
      <c r="KJT198" s="360"/>
      <c r="KJU198" s="360"/>
      <c r="KJV198" s="360"/>
      <c r="KJW198" s="360"/>
      <c r="KJX198" s="360"/>
      <c r="KJY198" s="360"/>
      <c r="KJZ198" s="360"/>
      <c r="KKA198" s="360"/>
      <c r="KKB198" s="360"/>
      <c r="KKC198" s="360"/>
      <c r="KKD198" s="360"/>
      <c r="KKE198" s="360"/>
      <c r="KKF198" s="360"/>
      <c r="KKG198" s="360"/>
      <c r="KKH198" s="360"/>
      <c r="KKI198" s="360"/>
      <c r="KKJ198" s="360"/>
      <c r="KKK198" s="360"/>
      <c r="KKL198" s="360"/>
      <c r="KKM198" s="360"/>
      <c r="KKN198" s="360"/>
      <c r="KKO198" s="360"/>
      <c r="KKP198" s="360"/>
      <c r="KKQ198" s="360"/>
      <c r="KKR198" s="360"/>
      <c r="KKS198" s="360"/>
      <c r="KKT198" s="360"/>
      <c r="KKU198" s="360"/>
      <c r="KKV198" s="360"/>
      <c r="KKW198" s="360"/>
      <c r="KKX198" s="360"/>
      <c r="KKY198" s="360"/>
      <c r="KKZ198" s="360"/>
      <c r="KLA198" s="360"/>
      <c r="KLB198" s="360"/>
      <c r="KLC198" s="360"/>
      <c r="KLD198" s="360"/>
      <c r="KLE198" s="360"/>
      <c r="KLF198" s="360"/>
      <c r="KLG198" s="360"/>
      <c r="KLH198" s="360"/>
      <c r="KLI198" s="360"/>
      <c r="KLJ198" s="360"/>
      <c r="KLK198" s="360"/>
      <c r="KLL198" s="360"/>
      <c r="KLM198" s="360"/>
      <c r="KLN198" s="360"/>
      <c r="KLO198" s="360"/>
      <c r="KLP198" s="360"/>
      <c r="KLQ198" s="360"/>
      <c r="KLR198" s="360"/>
      <c r="KLS198" s="360"/>
      <c r="KLT198" s="360"/>
      <c r="KLU198" s="360"/>
      <c r="KLV198" s="360"/>
      <c r="KLW198" s="360"/>
      <c r="KLX198" s="360"/>
      <c r="KLY198" s="360"/>
      <c r="KLZ198" s="360"/>
      <c r="KMA198" s="360"/>
      <c r="KMB198" s="360"/>
      <c r="KMC198" s="360"/>
      <c r="KMD198" s="360"/>
      <c r="KME198" s="360"/>
      <c r="KMF198" s="360"/>
      <c r="KMG198" s="360"/>
      <c r="KMH198" s="360"/>
      <c r="KMI198" s="360"/>
      <c r="KMJ198" s="360"/>
      <c r="KMK198" s="360"/>
      <c r="KML198" s="360"/>
      <c r="KMM198" s="360"/>
      <c r="KMN198" s="360"/>
      <c r="KMO198" s="360"/>
      <c r="KMP198" s="360"/>
      <c r="KMQ198" s="360"/>
      <c r="KMR198" s="360"/>
      <c r="KMS198" s="360"/>
      <c r="KMT198" s="360"/>
      <c r="KMU198" s="360"/>
      <c r="KMV198" s="360"/>
      <c r="KMW198" s="360"/>
      <c r="KMX198" s="360"/>
      <c r="KMY198" s="360"/>
      <c r="KMZ198" s="360"/>
      <c r="KNA198" s="360"/>
      <c r="KNB198" s="360"/>
      <c r="KNC198" s="360"/>
      <c r="KND198" s="360"/>
      <c r="KNE198" s="360"/>
      <c r="KNF198" s="360"/>
      <c r="KNG198" s="360"/>
      <c r="KNH198" s="360"/>
      <c r="KNI198" s="360"/>
      <c r="KNJ198" s="360"/>
      <c r="KNK198" s="360"/>
      <c r="KNL198" s="360"/>
      <c r="KNM198" s="360"/>
      <c r="KNN198" s="360"/>
      <c r="KNO198" s="360"/>
      <c r="KNP198" s="360"/>
      <c r="KNQ198" s="360"/>
      <c r="KNR198" s="360"/>
      <c r="KNS198" s="360"/>
      <c r="KNT198" s="360"/>
      <c r="KNU198" s="360"/>
      <c r="KNV198" s="360"/>
      <c r="KNW198" s="360"/>
      <c r="KNX198" s="360"/>
      <c r="KNY198" s="360"/>
      <c r="KNZ198" s="360"/>
      <c r="KOA198" s="360"/>
      <c r="KOB198" s="360"/>
      <c r="KOC198" s="360"/>
      <c r="KOD198" s="360"/>
      <c r="KOE198" s="360"/>
      <c r="KOF198" s="360"/>
      <c r="KOG198" s="360"/>
      <c r="KOH198" s="360"/>
      <c r="KOI198" s="360"/>
      <c r="KOJ198" s="360"/>
      <c r="KOK198" s="360"/>
      <c r="KOL198" s="360"/>
      <c r="KOM198" s="360"/>
      <c r="KON198" s="360"/>
      <c r="KOO198" s="360"/>
      <c r="KOP198" s="360"/>
      <c r="KOQ198" s="360"/>
      <c r="KOR198" s="360"/>
      <c r="KOS198" s="360"/>
      <c r="KOT198" s="360"/>
      <c r="KOU198" s="360"/>
      <c r="KOV198" s="360"/>
      <c r="KOW198" s="360"/>
      <c r="KOX198" s="360"/>
      <c r="KOY198" s="360"/>
      <c r="KOZ198" s="360"/>
      <c r="KPA198" s="360"/>
      <c r="KPB198" s="360"/>
      <c r="KPC198" s="360"/>
      <c r="KPD198" s="360"/>
      <c r="KPE198" s="360"/>
      <c r="KPF198" s="360"/>
      <c r="KPG198" s="360"/>
      <c r="KPH198" s="360"/>
      <c r="KPI198" s="360"/>
      <c r="KPJ198" s="360"/>
      <c r="KPK198" s="360"/>
      <c r="KPL198" s="360"/>
      <c r="KPM198" s="360"/>
      <c r="KPN198" s="360"/>
      <c r="KPO198" s="360"/>
      <c r="KPP198" s="360"/>
      <c r="KPQ198" s="360"/>
      <c r="KPR198" s="360"/>
      <c r="KPS198" s="360"/>
      <c r="KPT198" s="360"/>
      <c r="KPU198" s="360"/>
      <c r="KPV198" s="360"/>
      <c r="KPW198" s="360"/>
      <c r="KPX198" s="360"/>
      <c r="KPY198" s="360"/>
      <c r="KPZ198" s="360"/>
      <c r="KQA198" s="360"/>
      <c r="KQB198" s="360"/>
      <c r="KQC198" s="360"/>
      <c r="KQD198" s="360"/>
      <c r="KQE198" s="360"/>
      <c r="KQF198" s="360"/>
      <c r="KQG198" s="360"/>
      <c r="KQH198" s="360"/>
      <c r="KQI198" s="360"/>
      <c r="KQJ198" s="360"/>
      <c r="KQK198" s="360"/>
      <c r="KQL198" s="360"/>
      <c r="KQM198" s="360"/>
      <c r="KQN198" s="360"/>
      <c r="KQO198" s="360"/>
      <c r="KQP198" s="360"/>
      <c r="KQQ198" s="360"/>
      <c r="KQR198" s="360"/>
      <c r="KQS198" s="360"/>
      <c r="KQT198" s="360"/>
      <c r="KQU198" s="360"/>
      <c r="KQV198" s="360"/>
      <c r="KQW198" s="360"/>
      <c r="KQX198" s="360"/>
      <c r="KQY198" s="360"/>
      <c r="KQZ198" s="360"/>
      <c r="KRA198" s="360"/>
      <c r="KRB198" s="360"/>
      <c r="KRC198" s="360"/>
      <c r="KRD198" s="360"/>
      <c r="KRE198" s="360"/>
      <c r="KRF198" s="360"/>
      <c r="KRG198" s="360"/>
      <c r="KRH198" s="360"/>
      <c r="KRI198" s="360"/>
      <c r="KRJ198" s="360"/>
      <c r="KRK198" s="360"/>
      <c r="KRL198" s="360"/>
      <c r="KRM198" s="360"/>
      <c r="KRN198" s="360"/>
      <c r="KRO198" s="360"/>
      <c r="KRP198" s="360"/>
      <c r="KRQ198" s="360"/>
      <c r="KRR198" s="360"/>
      <c r="KRS198" s="360"/>
      <c r="KRT198" s="360"/>
      <c r="KRU198" s="360"/>
      <c r="KRV198" s="360"/>
      <c r="KRW198" s="360"/>
      <c r="KRX198" s="360"/>
      <c r="KRY198" s="360"/>
      <c r="KRZ198" s="360"/>
      <c r="KSA198" s="360"/>
      <c r="KSB198" s="360"/>
      <c r="KSC198" s="360"/>
      <c r="KSD198" s="360"/>
      <c r="KSE198" s="360"/>
      <c r="KSF198" s="360"/>
      <c r="KSG198" s="360"/>
      <c r="KSH198" s="360"/>
      <c r="KSI198" s="360"/>
      <c r="KSJ198" s="360"/>
      <c r="KSK198" s="360"/>
      <c r="KSL198" s="360"/>
      <c r="KSM198" s="360"/>
      <c r="KSN198" s="360"/>
      <c r="KSO198" s="360"/>
      <c r="KSP198" s="360"/>
      <c r="KSQ198" s="360"/>
      <c r="KSR198" s="360"/>
      <c r="KSS198" s="360"/>
      <c r="KST198" s="360"/>
      <c r="KSU198" s="360"/>
      <c r="KSV198" s="360"/>
      <c r="KSW198" s="360"/>
      <c r="KSX198" s="360"/>
      <c r="KSY198" s="360"/>
      <c r="KSZ198" s="360"/>
      <c r="KTA198" s="360"/>
      <c r="KTB198" s="360"/>
      <c r="KTC198" s="360"/>
      <c r="KTD198" s="360"/>
      <c r="KTE198" s="360"/>
      <c r="KTF198" s="360"/>
      <c r="KTG198" s="360"/>
      <c r="KTH198" s="360"/>
      <c r="KTI198" s="360"/>
      <c r="KTJ198" s="360"/>
      <c r="KTK198" s="360"/>
      <c r="KTL198" s="360"/>
      <c r="KTM198" s="360"/>
      <c r="KTN198" s="360"/>
      <c r="KTO198" s="360"/>
      <c r="KTP198" s="360"/>
      <c r="KTQ198" s="360"/>
      <c r="KTR198" s="360"/>
      <c r="KTS198" s="360"/>
      <c r="KTT198" s="360"/>
      <c r="KTU198" s="360"/>
      <c r="KTV198" s="360"/>
      <c r="KTW198" s="360"/>
      <c r="KTX198" s="360"/>
      <c r="KTY198" s="360"/>
      <c r="KTZ198" s="360"/>
      <c r="KUA198" s="360"/>
      <c r="KUB198" s="360"/>
      <c r="KUC198" s="360"/>
      <c r="KUD198" s="360"/>
      <c r="KUE198" s="360"/>
      <c r="KUF198" s="360"/>
      <c r="KUG198" s="360"/>
      <c r="KUH198" s="360"/>
      <c r="KUI198" s="360"/>
      <c r="KUJ198" s="360"/>
      <c r="KUK198" s="360"/>
      <c r="KUL198" s="360"/>
      <c r="KUM198" s="360"/>
      <c r="KUN198" s="360"/>
      <c r="KUO198" s="360"/>
      <c r="KUP198" s="360"/>
      <c r="KUQ198" s="360"/>
      <c r="KUR198" s="360"/>
      <c r="KUS198" s="360"/>
      <c r="KUT198" s="360"/>
      <c r="KUU198" s="360"/>
      <c r="KUV198" s="360"/>
      <c r="KUW198" s="360"/>
      <c r="KUX198" s="360"/>
      <c r="KUY198" s="360"/>
      <c r="KUZ198" s="360"/>
      <c r="KVA198" s="360"/>
      <c r="KVB198" s="360"/>
      <c r="KVC198" s="360"/>
      <c r="KVD198" s="360"/>
      <c r="KVE198" s="360"/>
      <c r="KVF198" s="360"/>
      <c r="KVG198" s="360"/>
      <c r="KVH198" s="360"/>
      <c r="KVI198" s="360"/>
      <c r="KVJ198" s="360"/>
      <c r="KVK198" s="360"/>
      <c r="KVL198" s="360"/>
      <c r="KVM198" s="360"/>
      <c r="KVN198" s="360"/>
      <c r="KVO198" s="360"/>
      <c r="KVP198" s="360"/>
      <c r="KVQ198" s="360"/>
      <c r="KVR198" s="360"/>
      <c r="KVS198" s="360"/>
      <c r="KVT198" s="360"/>
      <c r="KVU198" s="360"/>
      <c r="KVV198" s="360"/>
      <c r="KVW198" s="360"/>
      <c r="KVX198" s="360"/>
      <c r="KVY198" s="360"/>
      <c r="KVZ198" s="360"/>
      <c r="KWA198" s="360"/>
      <c r="KWB198" s="360"/>
      <c r="KWC198" s="360"/>
      <c r="KWD198" s="360"/>
      <c r="KWE198" s="360"/>
      <c r="KWF198" s="360"/>
      <c r="KWG198" s="360"/>
      <c r="KWH198" s="360"/>
      <c r="KWI198" s="360"/>
      <c r="KWJ198" s="360"/>
      <c r="KWK198" s="360"/>
      <c r="KWL198" s="360"/>
      <c r="KWM198" s="360"/>
      <c r="KWN198" s="360"/>
      <c r="KWO198" s="360"/>
      <c r="KWP198" s="360"/>
      <c r="KWQ198" s="360"/>
      <c r="KWR198" s="360"/>
      <c r="KWS198" s="360"/>
      <c r="KWT198" s="360"/>
      <c r="KWU198" s="360"/>
      <c r="KWV198" s="360"/>
      <c r="KWW198" s="360"/>
      <c r="KWX198" s="360"/>
      <c r="KWY198" s="360"/>
      <c r="KWZ198" s="360"/>
      <c r="KXA198" s="360"/>
      <c r="KXB198" s="360"/>
      <c r="KXC198" s="360"/>
      <c r="KXD198" s="360"/>
      <c r="KXE198" s="360"/>
      <c r="KXF198" s="360"/>
      <c r="KXG198" s="360"/>
      <c r="KXH198" s="360"/>
      <c r="KXI198" s="360"/>
      <c r="KXJ198" s="360"/>
      <c r="KXK198" s="360"/>
      <c r="KXL198" s="360"/>
      <c r="KXM198" s="360"/>
      <c r="KXN198" s="360"/>
      <c r="KXO198" s="360"/>
      <c r="KXP198" s="360"/>
      <c r="KXQ198" s="360"/>
      <c r="KXR198" s="360"/>
      <c r="KXS198" s="360"/>
      <c r="KXT198" s="360"/>
      <c r="KXU198" s="360"/>
      <c r="KXV198" s="360"/>
      <c r="KXW198" s="360"/>
      <c r="KXX198" s="360"/>
      <c r="KXY198" s="360"/>
      <c r="KXZ198" s="360"/>
      <c r="KYA198" s="360"/>
      <c r="KYB198" s="360"/>
      <c r="KYC198" s="360"/>
      <c r="KYD198" s="360"/>
      <c r="KYE198" s="360"/>
      <c r="KYF198" s="360"/>
      <c r="KYG198" s="360"/>
      <c r="KYH198" s="360"/>
      <c r="KYI198" s="360"/>
      <c r="KYJ198" s="360"/>
      <c r="KYK198" s="360"/>
      <c r="KYL198" s="360"/>
      <c r="KYM198" s="360"/>
      <c r="KYN198" s="360"/>
      <c r="KYO198" s="360"/>
      <c r="KYP198" s="360"/>
      <c r="KYQ198" s="360"/>
      <c r="KYR198" s="360"/>
      <c r="KYS198" s="360"/>
      <c r="KYT198" s="360"/>
      <c r="KYU198" s="360"/>
      <c r="KYV198" s="360"/>
      <c r="KYW198" s="360"/>
      <c r="KYX198" s="360"/>
      <c r="KYY198" s="360"/>
      <c r="KYZ198" s="360"/>
      <c r="KZA198" s="360"/>
      <c r="KZB198" s="360"/>
      <c r="KZC198" s="360"/>
      <c r="KZD198" s="360"/>
      <c r="KZE198" s="360"/>
      <c r="KZF198" s="360"/>
      <c r="KZG198" s="360"/>
      <c r="KZH198" s="360"/>
      <c r="KZI198" s="360"/>
      <c r="KZJ198" s="360"/>
      <c r="KZK198" s="360"/>
      <c r="KZL198" s="360"/>
      <c r="KZM198" s="360"/>
      <c r="KZN198" s="360"/>
      <c r="KZO198" s="360"/>
      <c r="KZP198" s="360"/>
      <c r="KZQ198" s="360"/>
      <c r="KZR198" s="360"/>
      <c r="KZS198" s="360"/>
      <c r="KZT198" s="360"/>
      <c r="KZU198" s="360"/>
      <c r="KZV198" s="360"/>
      <c r="KZW198" s="360"/>
      <c r="KZX198" s="360"/>
      <c r="KZY198" s="360"/>
      <c r="KZZ198" s="360"/>
      <c r="LAA198" s="360"/>
      <c r="LAB198" s="360"/>
      <c r="LAC198" s="360"/>
      <c r="LAD198" s="360"/>
      <c r="LAE198" s="360"/>
      <c r="LAF198" s="360"/>
      <c r="LAG198" s="360"/>
      <c r="LAH198" s="360"/>
      <c r="LAI198" s="360"/>
      <c r="LAJ198" s="360"/>
      <c r="LAK198" s="360"/>
      <c r="LAL198" s="360"/>
      <c r="LAM198" s="360"/>
      <c r="LAN198" s="360"/>
      <c r="LAO198" s="360"/>
      <c r="LAP198" s="360"/>
      <c r="LAQ198" s="360"/>
      <c r="LAR198" s="360"/>
      <c r="LAS198" s="360"/>
      <c r="LAT198" s="360"/>
      <c r="LAU198" s="360"/>
      <c r="LAV198" s="360"/>
      <c r="LAW198" s="360"/>
      <c r="LAX198" s="360"/>
      <c r="LAY198" s="360"/>
      <c r="LAZ198" s="360"/>
      <c r="LBA198" s="360"/>
      <c r="LBB198" s="360"/>
      <c r="LBC198" s="360"/>
      <c r="LBD198" s="360"/>
      <c r="LBE198" s="360"/>
      <c r="LBF198" s="360"/>
      <c r="LBG198" s="360"/>
      <c r="LBH198" s="360"/>
      <c r="LBI198" s="360"/>
      <c r="LBJ198" s="360"/>
      <c r="LBK198" s="360"/>
      <c r="LBL198" s="360"/>
      <c r="LBM198" s="360"/>
      <c r="LBN198" s="360"/>
      <c r="LBO198" s="360"/>
      <c r="LBP198" s="360"/>
      <c r="LBQ198" s="360"/>
      <c r="LBR198" s="360"/>
      <c r="LBS198" s="360"/>
      <c r="LBT198" s="360"/>
      <c r="LBU198" s="360"/>
      <c r="LBV198" s="360"/>
      <c r="LBW198" s="360"/>
      <c r="LBX198" s="360"/>
      <c r="LBY198" s="360"/>
      <c r="LBZ198" s="360"/>
      <c r="LCA198" s="360"/>
      <c r="LCB198" s="360"/>
      <c r="LCC198" s="360"/>
      <c r="LCD198" s="360"/>
      <c r="LCE198" s="360"/>
      <c r="LCF198" s="360"/>
      <c r="LCG198" s="360"/>
      <c r="LCH198" s="360"/>
      <c r="LCI198" s="360"/>
      <c r="LCJ198" s="360"/>
      <c r="LCK198" s="360"/>
      <c r="LCL198" s="360"/>
      <c r="LCM198" s="360"/>
      <c r="LCN198" s="360"/>
      <c r="LCO198" s="360"/>
      <c r="LCP198" s="360"/>
      <c r="LCQ198" s="360"/>
      <c r="LCR198" s="360"/>
      <c r="LCS198" s="360"/>
      <c r="LCT198" s="360"/>
      <c r="LCU198" s="360"/>
      <c r="LCV198" s="360"/>
      <c r="LCW198" s="360"/>
      <c r="LCX198" s="360"/>
      <c r="LCY198" s="360"/>
      <c r="LCZ198" s="360"/>
      <c r="LDA198" s="360"/>
      <c r="LDB198" s="360"/>
      <c r="LDC198" s="360"/>
      <c r="LDD198" s="360"/>
      <c r="LDE198" s="360"/>
      <c r="LDF198" s="360"/>
      <c r="LDG198" s="360"/>
      <c r="LDH198" s="360"/>
      <c r="LDI198" s="360"/>
      <c r="LDJ198" s="360"/>
      <c r="LDK198" s="360"/>
      <c r="LDL198" s="360"/>
      <c r="LDM198" s="360"/>
      <c r="LDN198" s="360"/>
      <c r="LDO198" s="360"/>
      <c r="LDP198" s="360"/>
      <c r="LDQ198" s="360"/>
      <c r="LDR198" s="360"/>
      <c r="LDS198" s="360"/>
      <c r="LDT198" s="360"/>
      <c r="LDU198" s="360"/>
      <c r="LDV198" s="360"/>
      <c r="LDW198" s="360"/>
      <c r="LDX198" s="360"/>
      <c r="LDY198" s="360"/>
      <c r="LDZ198" s="360"/>
      <c r="LEA198" s="360"/>
      <c r="LEB198" s="360"/>
      <c r="LEC198" s="360"/>
      <c r="LED198" s="360"/>
      <c r="LEE198" s="360"/>
      <c r="LEF198" s="360"/>
      <c r="LEG198" s="360"/>
      <c r="LEH198" s="360"/>
      <c r="LEI198" s="360"/>
      <c r="LEJ198" s="360"/>
      <c r="LEK198" s="360"/>
      <c r="LEL198" s="360"/>
      <c r="LEM198" s="360"/>
      <c r="LEN198" s="360"/>
      <c r="LEO198" s="360"/>
      <c r="LEP198" s="360"/>
      <c r="LEQ198" s="360"/>
      <c r="LER198" s="360"/>
      <c r="LES198" s="360"/>
      <c r="LET198" s="360"/>
      <c r="LEU198" s="360"/>
      <c r="LEV198" s="360"/>
      <c r="LEW198" s="360"/>
      <c r="LEX198" s="360"/>
      <c r="LEY198" s="360"/>
      <c r="LEZ198" s="360"/>
      <c r="LFA198" s="360"/>
      <c r="LFB198" s="360"/>
      <c r="LFC198" s="360"/>
      <c r="LFD198" s="360"/>
      <c r="LFE198" s="360"/>
      <c r="LFF198" s="360"/>
      <c r="LFG198" s="360"/>
      <c r="LFH198" s="360"/>
      <c r="LFI198" s="360"/>
      <c r="LFJ198" s="360"/>
      <c r="LFK198" s="360"/>
      <c r="LFL198" s="360"/>
      <c r="LFM198" s="360"/>
      <c r="LFN198" s="360"/>
      <c r="LFO198" s="360"/>
      <c r="LFP198" s="360"/>
      <c r="LFQ198" s="360"/>
      <c r="LFR198" s="360"/>
      <c r="LFS198" s="360"/>
      <c r="LFT198" s="360"/>
      <c r="LFU198" s="360"/>
      <c r="LFV198" s="360"/>
      <c r="LFW198" s="360"/>
      <c r="LFX198" s="360"/>
      <c r="LFY198" s="360"/>
      <c r="LFZ198" s="360"/>
      <c r="LGA198" s="360"/>
      <c r="LGB198" s="360"/>
      <c r="LGC198" s="360"/>
      <c r="LGD198" s="360"/>
      <c r="LGE198" s="360"/>
      <c r="LGF198" s="360"/>
      <c r="LGG198" s="360"/>
      <c r="LGH198" s="360"/>
      <c r="LGI198" s="360"/>
      <c r="LGJ198" s="360"/>
      <c r="LGK198" s="360"/>
      <c r="LGL198" s="360"/>
      <c r="LGM198" s="360"/>
      <c r="LGN198" s="360"/>
      <c r="LGO198" s="360"/>
      <c r="LGP198" s="360"/>
      <c r="LGQ198" s="360"/>
      <c r="LGR198" s="360"/>
      <c r="LGS198" s="360"/>
      <c r="LGT198" s="360"/>
      <c r="LGU198" s="360"/>
      <c r="LGV198" s="360"/>
      <c r="LGW198" s="360"/>
      <c r="LGX198" s="360"/>
      <c r="LGY198" s="360"/>
      <c r="LGZ198" s="360"/>
      <c r="LHA198" s="360"/>
      <c r="LHB198" s="360"/>
      <c r="LHC198" s="360"/>
      <c r="LHD198" s="360"/>
      <c r="LHE198" s="360"/>
      <c r="LHF198" s="360"/>
      <c r="LHG198" s="360"/>
      <c r="LHH198" s="360"/>
      <c r="LHI198" s="360"/>
      <c r="LHJ198" s="360"/>
      <c r="LHK198" s="360"/>
      <c r="LHL198" s="360"/>
      <c r="LHM198" s="360"/>
      <c r="LHN198" s="360"/>
      <c r="LHO198" s="360"/>
      <c r="LHP198" s="360"/>
      <c r="LHQ198" s="360"/>
      <c r="LHR198" s="360"/>
      <c r="LHS198" s="360"/>
      <c r="LHT198" s="360"/>
      <c r="LHU198" s="360"/>
      <c r="LHV198" s="360"/>
      <c r="LHW198" s="360"/>
      <c r="LHX198" s="360"/>
      <c r="LHY198" s="360"/>
      <c r="LHZ198" s="360"/>
      <c r="LIA198" s="360"/>
      <c r="LIB198" s="360"/>
      <c r="LIC198" s="360"/>
      <c r="LID198" s="360"/>
      <c r="LIE198" s="360"/>
      <c r="LIF198" s="360"/>
      <c r="LIG198" s="360"/>
      <c r="LIH198" s="360"/>
      <c r="LII198" s="360"/>
      <c r="LIJ198" s="360"/>
      <c r="LIK198" s="360"/>
      <c r="LIL198" s="360"/>
      <c r="LIM198" s="360"/>
      <c r="LIN198" s="360"/>
      <c r="LIO198" s="360"/>
      <c r="LIP198" s="360"/>
      <c r="LIQ198" s="360"/>
      <c r="LIR198" s="360"/>
      <c r="LIS198" s="360"/>
      <c r="LIT198" s="360"/>
      <c r="LIU198" s="360"/>
      <c r="LIV198" s="360"/>
      <c r="LIW198" s="360"/>
      <c r="LIX198" s="360"/>
      <c r="LIY198" s="360"/>
      <c r="LIZ198" s="360"/>
      <c r="LJA198" s="360"/>
      <c r="LJB198" s="360"/>
      <c r="LJC198" s="360"/>
      <c r="LJD198" s="360"/>
      <c r="LJE198" s="360"/>
      <c r="LJF198" s="360"/>
      <c r="LJG198" s="360"/>
      <c r="LJH198" s="360"/>
      <c r="LJI198" s="360"/>
      <c r="LJJ198" s="360"/>
      <c r="LJK198" s="360"/>
      <c r="LJL198" s="360"/>
      <c r="LJM198" s="360"/>
      <c r="LJN198" s="360"/>
      <c r="LJO198" s="360"/>
      <c r="LJP198" s="360"/>
      <c r="LJQ198" s="360"/>
      <c r="LJR198" s="360"/>
      <c r="LJS198" s="360"/>
      <c r="LJT198" s="360"/>
      <c r="LJU198" s="360"/>
      <c r="LJV198" s="360"/>
      <c r="LJW198" s="360"/>
      <c r="LJX198" s="360"/>
      <c r="LJY198" s="360"/>
      <c r="LJZ198" s="360"/>
      <c r="LKA198" s="360"/>
      <c r="LKB198" s="360"/>
      <c r="LKC198" s="360"/>
      <c r="LKD198" s="360"/>
      <c r="LKE198" s="360"/>
      <c r="LKF198" s="360"/>
      <c r="LKG198" s="360"/>
      <c r="LKH198" s="360"/>
      <c r="LKI198" s="360"/>
      <c r="LKJ198" s="360"/>
      <c r="LKK198" s="360"/>
      <c r="LKL198" s="360"/>
      <c r="LKM198" s="360"/>
      <c r="LKN198" s="360"/>
      <c r="LKO198" s="360"/>
      <c r="LKP198" s="360"/>
      <c r="LKQ198" s="360"/>
      <c r="LKR198" s="360"/>
      <c r="LKS198" s="360"/>
      <c r="LKT198" s="360"/>
      <c r="LKU198" s="360"/>
      <c r="LKV198" s="360"/>
      <c r="LKW198" s="360"/>
      <c r="LKX198" s="360"/>
      <c r="LKY198" s="360"/>
      <c r="LKZ198" s="360"/>
      <c r="LLA198" s="360"/>
      <c r="LLB198" s="360"/>
      <c r="LLC198" s="360"/>
      <c r="LLD198" s="360"/>
      <c r="LLE198" s="360"/>
      <c r="LLF198" s="360"/>
      <c r="LLG198" s="360"/>
      <c r="LLH198" s="360"/>
      <c r="LLI198" s="360"/>
      <c r="LLJ198" s="360"/>
      <c r="LLK198" s="360"/>
      <c r="LLL198" s="360"/>
      <c r="LLM198" s="360"/>
      <c r="LLN198" s="360"/>
      <c r="LLO198" s="360"/>
      <c r="LLP198" s="360"/>
      <c r="LLQ198" s="360"/>
      <c r="LLR198" s="360"/>
      <c r="LLS198" s="360"/>
      <c r="LLT198" s="360"/>
      <c r="LLU198" s="360"/>
      <c r="LLV198" s="360"/>
      <c r="LLW198" s="360"/>
      <c r="LLX198" s="360"/>
      <c r="LLY198" s="360"/>
      <c r="LLZ198" s="360"/>
      <c r="LMA198" s="360"/>
      <c r="LMB198" s="360"/>
      <c r="LMC198" s="360"/>
      <c r="LMD198" s="360"/>
      <c r="LME198" s="360"/>
      <c r="LMF198" s="360"/>
      <c r="LMG198" s="360"/>
      <c r="LMH198" s="360"/>
      <c r="LMI198" s="360"/>
      <c r="LMJ198" s="360"/>
      <c r="LMK198" s="360"/>
      <c r="LML198" s="360"/>
      <c r="LMM198" s="360"/>
      <c r="LMN198" s="360"/>
      <c r="LMO198" s="360"/>
      <c r="LMP198" s="360"/>
      <c r="LMQ198" s="360"/>
      <c r="LMR198" s="360"/>
      <c r="LMS198" s="360"/>
      <c r="LMT198" s="360"/>
      <c r="LMU198" s="360"/>
      <c r="LMV198" s="360"/>
      <c r="LMW198" s="360"/>
      <c r="LMX198" s="360"/>
      <c r="LMY198" s="360"/>
      <c r="LMZ198" s="360"/>
      <c r="LNA198" s="360"/>
      <c r="LNB198" s="360"/>
      <c r="LNC198" s="360"/>
      <c r="LND198" s="360"/>
      <c r="LNE198" s="360"/>
      <c r="LNF198" s="360"/>
      <c r="LNG198" s="360"/>
      <c r="LNH198" s="360"/>
      <c r="LNI198" s="360"/>
      <c r="LNJ198" s="360"/>
      <c r="LNK198" s="360"/>
      <c r="LNL198" s="360"/>
      <c r="LNM198" s="360"/>
      <c r="LNN198" s="360"/>
      <c r="LNO198" s="360"/>
      <c r="LNP198" s="360"/>
      <c r="LNQ198" s="360"/>
      <c r="LNR198" s="360"/>
      <c r="LNS198" s="360"/>
      <c r="LNT198" s="360"/>
      <c r="LNU198" s="360"/>
      <c r="LNV198" s="360"/>
      <c r="LNW198" s="360"/>
      <c r="LNX198" s="360"/>
      <c r="LNY198" s="360"/>
      <c r="LNZ198" s="360"/>
      <c r="LOA198" s="360"/>
      <c r="LOB198" s="360"/>
      <c r="LOC198" s="360"/>
      <c r="LOD198" s="360"/>
      <c r="LOE198" s="360"/>
      <c r="LOF198" s="360"/>
      <c r="LOG198" s="360"/>
      <c r="LOH198" s="360"/>
      <c r="LOI198" s="360"/>
      <c r="LOJ198" s="360"/>
      <c r="LOK198" s="360"/>
      <c r="LOL198" s="360"/>
      <c r="LOM198" s="360"/>
      <c r="LON198" s="360"/>
      <c r="LOO198" s="360"/>
      <c r="LOP198" s="360"/>
      <c r="LOQ198" s="360"/>
      <c r="LOR198" s="360"/>
      <c r="LOS198" s="360"/>
      <c r="LOT198" s="360"/>
      <c r="LOU198" s="360"/>
      <c r="LOV198" s="360"/>
      <c r="LOW198" s="360"/>
      <c r="LOX198" s="360"/>
      <c r="LOY198" s="360"/>
      <c r="LOZ198" s="360"/>
      <c r="LPA198" s="360"/>
      <c r="LPB198" s="360"/>
      <c r="LPC198" s="360"/>
      <c r="LPD198" s="360"/>
      <c r="LPE198" s="360"/>
      <c r="LPF198" s="360"/>
      <c r="LPG198" s="360"/>
      <c r="LPH198" s="360"/>
      <c r="LPI198" s="360"/>
      <c r="LPJ198" s="360"/>
      <c r="LPK198" s="360"/>
      <c r="LPL198" s="360"/>
      <c r="LPM198" s="360"/>
      <c r="LPN198" s="360"/>
      <c r="LPO198" s="360"/>
      <c r="LPP198" s="360"/>
      <c r="LPQ198" s="360"/>
      <c r="LPR198" s="360"/>
      <c r="LPS198" s="360"/>
      <c r="LPT198" s="360"/>
      <c r="LPU198" s="360"/>
      <c r="LPV198" s="360"/>
      <c r="LPW198" s="360"/>
      <c r="LPX198" s="360"/>
      <c r="LPY198" s="360"/>
      <c r="LPZ198" s="360"/>
      <c r="LQA198" s="360"/>
      <c r="LQB198" s="360"/>
      <c r="LQC198" s="360"/>
      <c r="LQD198" s="360"/>
      <c r="LQE198" s="360"/>
      <c r="LQF198" s="360"/>
      <c r="LQG198" s="360"/>
      <c r="LQH198" s="360"/>
      <c r="LQI198" s="360"/>
      <c r="LQJ198" s="360"/>
      <c r="LQK198" s="360"/>
      <c r="LQL198" s="360"/>
      <c r="LQM198" s="360"/>
      <c r="LQN198" s="360"/>
      <c r="LQO198" s="360"/>
      <c r="LQP198" s="360"/>
      <c r="LQQ198" s="360"/>
      <c r="LQR198" s="360"/>
      <c r="LQS198" s="360"/>
      <c r="LQT198" s="360"/>
      <c r="LQU198" s="360"/>
      <c r="LQV198" s="360"/>
      <c r="LQW198" s="360"/>
      <c r="LQX198" s="360"/>
      <c r="LQY198" s="360"/>
      <c r="LQZ198" s="360"/>
      <c r="LRA198" s="360"/>
      <c r="LRB198" s="360"/>
      <c r="LRC198" s="360"/>
      <c r="LRD198" s="360"/>
      <c r="LRE198" s="360"/>
      <c r="LRF198" s="360"/>
      <c r="LRG198" s="360"/>
      <c r="LRH198" s="360"/>
      <c r="LRI198" s="360"/>
      <c r="LRJ198" s="360"/>
      <c r="LRK198" s="360"/>
      <c r="LRL198" s="360"/>
      <c r="LRM198" s="360"/>
      <c r="LRN198" s="360"/>
      <c r="LRO198" s="360"/>
      <c r="LRP198" s="360"/>
      <c r="LRQ198" s="360"/>
      <c r="LRR198" s="360"/>
      <c r="LRS198" s="360"/>
      <c r="LRT198" s="360"/>
      <c r="LRU198" s="360"/>
      <c r="LRV198" s="360"/>
      <c r="LRW198" s="360"/>
      <c r="LRX198" s="360"/>
      <c r="LRY198" s="360"/>
      <c r="LRZ198" s="360"/>
      <c r="LSA198" s="360"/>
      <c r="LSB198" s="360"/>
      <c r="LSC198" s="360"/>
      <c r="LSD198" s="360"/>
      <c r="LSE198" s="360"/>
      <c r="LSF198" s="360"/>
      <c r="LSG198" s="360"/>
      <c r="LSH198" s="360"/>
      <c r="LSI198" s="360"/>
      <c r="LSJ198" s="360"/>
      <c r="LSK198" s="360"/>
      <c r="LSL198" s="360"/>
      <c r="LSM198" s="360"/>
      <c r="LSN198" s="360"/>
      <c r="LSO198" s="360"/>
      <c r="LSP198" s="360"/>
      <c r="LSQ198" s="360"/>
      <c r="LSR198" s="360"/>
      <c r="LSS198" s="360"/>
      <c r="LST198" s="360"/>
      <c r="LSU198" s="360"/>
      <c r="LSV198" s="360"/>
      <c r="LSW198" s="360"/>
      <c r="LSX198" s="360"/>
      <c r="LSY198" s="360"/>
      <c r="LSZ198" s="360"/>
      <c r="LTA198" s="360"/>
      <c r="LTB198" s="360"/>
      <c r="LTC198" s="360"/>
      <c r="LTD198" s="360"/>
      <c r="LTE198" s="360"/>
      <c r="LTF198" s="360"/>
      <c r="LTG198" s="360"/>
      <c r="LTH198" s="360"/>
      <c r="LTI198" s="360"/>
      <c r="LTJ198" s="360"/>
      <c r="LTK198" s="360"/>
      <c r="LTL198" s="360"/>
      <c r="LTM198" s="360"/>
      <c r="LTN198" s="360"/>
      <c r="LTO198" s="360"/>
      <c r="LTP198" s="360"/>
      <c r="LTQ198" s="360"/>
      <c r="LTR198" s="360"/>
      <c r="LTS198" s="360"/>
      <c r="LTT198" s="360"/>
      <c r="LTU198" s="360"/>
      <c r="LTV198" s="360"/>
      <c r="LTW198" s="360"/>
      <c r="LTX198" s="360"/>
      <c r="LTY198" s="360"/>
      <c r="LTZ198" s="360"/>
      <c r="LUA198" s="360"/>
      <c r="LUB198" s="360"/>
      <c r="LUC198" s="360"/>
      <c r="LUD198" s="360"/>
      <c r="LUE198" s="360"/>
      <c r="LUF198" s="360"/>
      <c r="LUG198" s="360"/>
      <c r="LUH198" s="360"/>
      <c r="LUI198" s="360"/>
      <c r="LUJ198" s="360"/>
      <c r="LUK198" s="360"/>
      <c r="LUL198" s="360"/>
      <c r="LUM198" s="360"/>
      <c r="LUN198" s="360"/>
      <c r="LUO198" s="360"/>
      <c r="LUP198" s="360"/>
      <c r="LUQ198" s="360"/>
      <c r="LUR198" s="360"/>
      <c r="LUS198" s="360"/>
      <c r="LUT198" s="360"/>
      <c r="LUU198" s="360"/>
      <c r="LUV198" s="360"/>
      <c r="LUW198" s="360"/>
      <c r="LUX198" s="360"/>
      <c r="LUY198" s="360"/>
      <c r="LUZ198" s="360"/>
      <c r="LVA198" s="360"/>
      <c r="LVB198" s="360"/>
      <c r="LVC198" s="360"/>
      <c r="LVD198" s="360"/>
      <c r="LVE198" s="360"/>
      <c r="LVF198" s="360"/>
      <c r="LVG198" s="360"/>
      <c r="LVH198" s="360"/>
      <c r="LVI198" s="360"/>
      <c r="LVJ198" s="360"/>
      <c r="LVK198" s="360"/>
      <c r="LVL198" s="360"/>
      <c r="LVM198" s="360"/>
      <c r="LVN198" s="360"/>
      <c r="LVO198" s="360"/>
      <c r="LVP198" s="360"/>
      <c r="LVQ198" s="360"/>
      <c r="LVR198" s="360"/>
      <c r="LVS198" s="360"/>
      <c r="LVT198" s="360"/>
      <c r="LVU198" s="360"/>
      <c r="LVV198" s="360"/>
      <c r="LVW198" s="360"/>
      <c r="LVX198" s="360"/>
      <c r="LVY198" s="360"/>
      <c r="LVZ198" s="360"/>
      <c r="LWA198" s="360"/>
      <c r="LWB198" s="360"/>
      <c r="LWC198" s="360"/>
      <c r="LWD198" s="360"/>
      <c r="LWE198" s="360"/>
      <c r="LWF198" s="360"/>
      <c r="LWG198" s="360"/>
      <c r="LWH198" s="360"/>
      <c r="LWI198" s="360"/>
      <c r="LWJ198" s="360"/>
      <c r="LWK198" s="360"/>
      <c r="LWL198" s="360"/>
      <c r="LWM198" s="360"/>
      <c r="LWN198" s="360"/>
      <c r="LWO198" s="360"/>
      <c r="LWP198" s="360"/>
      <c r="LWQ198" s="360"/>
      <c r="LWR198" s="360"/>
      <c r="LWS198" s="360"/>
      <c r="LWT198" s="360"/>
      <c r="LWU198" s="360"/>
      <c r="LWV198" s="360"/>
      <c r="LWW198" s="360"/>
      <c r="LWX198" s="360"/>
      <c r="LWY198" s="360"/>
      <c r="LWZ198" s="360"/>
      <c r="LXA198" s="360"/>
      <c r="LXB198" s="360"/>
      <c r="LXC198" s="360"/>
      <c r="LXD198" s="360"/>
      <c r="LXE198" s="360"/>
      <c r="LXF198" s="360"/>
      <c r="LXG198" s="360"/>
      <c r="LXH198" s="360"/>
      <c r="LXI198" s="360"/>
      <c r="LXJ198" s="360"/>
      <c r="LXK198" s="360"/>
      <c r="LXL198" s="360"/>
      <c r="LXM198" s="360"/>
      <c r="LXN198" s="360"/>
      <c r="LXO198" s="360"/>
      <c r="LXP198" s="360"/>
      <c r="LXQ198" s="360"/>
      <c r="LXR198" s="360"/>
      <c r="LXS198" s="360"/>
      <c r="LXT198" s="360"/>
      <c r="LXU198" s="360"/>
      <c r="LXV198" s="360"/>
      <c r="LXW198" s="360"/>
      <c r="LXX198" s="360"/>
      <c r="LXY198" s="360"/>
      <c r="LXZ198" s="360"/>
      <c r="LYA198" s="360"/>
      <c r="LYB198" s="360"/>
      <c r="LYC198" s="360"/>
      <c r="LYD198" s="360"/>
      <c r="LYE198" s="360"/>
      <c r="LYF198" s="360"/>
      <c r="LYG198" s="360"/>
      <c r="LYH198" s="360"/>
      <c r="LYI198" s="360"/>
      <c r="LYJ198" s="360"/>
      <c r="LYK198" s="360"/>
      <c r="LYL198" s="360"/>
      <c r="LYM198" s="360"/>
      <c r="LYN198" s="360"/>
      <c r="LYO198" s="360"/>
      <c r="LYP198" s="360"/>
      <c r="LYQ198" s="360"/>
      <c r="LYR198" s="360"/>
      <c r="LYS198" s="360"/>
      <c r="LYT198" s="360"/>
      <c r="LYU198" s="360"/>
      <c r="LYV198" s="360"/>
      <c r="LYW198" s="360"/>
      <c r="LYX198" s="360"/>
      <c r="LYY198" s="360"/>
      <c r="LYZ198" s="360"/>
      <c r="LZA198" s="360"/>
      <c r="LZB198" s="360"/>
      <c r="LZC198" s="360"/>
      <c r="LZD198" s="360"/>
      <c r="LZE198" s="360"/>
      <c r="LZF198" s="360"/>
      <c r="LZG198" s="360"/>
      <c r="LZH198" s="360"/>
      <c r="LZI198" s="360"/>
      <c r="LZJ198" s="360"/>
      <c r="LZK198" s="360"/>
      <c r="LZL198" s="360"/>
      <c r="LZM198" s="360"/>
      <c r="LZN198" s="360"/>
      <c r="LZO198" s="360"/>
      <c r="LZP198" s="360"/>
      <c r="LZQ198" s="360"/>
      <c r="LZR198" s="360"/>
      <c r="LZS198" s="360"/>
      <c r="LZT198" s="360"/>
      <c r="LZU198" s="360"/>
      <c r="LZV198" s="360"/>
      <c r="LZW198" s="360"/>
      <c r="LZX198" s="360"/>
      <c r="LZY198" s="360"/>
      <c r="LZZ198" s="360"/>
      <c r="MAA198" s="360"/>
      <c r="MAB198" s="360"/>
      <c r="MAC198" s="360"/>
      <c r="MAD198" s="360"/>
      <c r="MAE198" s="360"/>
      <c r="MAF198" s="360"/>
      <c r="MAG198" s="360"/>
      <c r="MAH198" s="360"/>
      <c r="MAI198" s="360"/>
      <c r="MAJ198" s="360"/>
      <c r="MAK198" s="360"/>
      <c r="MAL198" s="360"/>
      <c r="MAM198" s="360"/>
      <c r="MAN198" s="360"/>
      <c r="MAO198" s="360"/>
      <c r="MAP198" s="360"/>
      <c r="MAQ198" s="360"/>
      <c r="MAR198" s="360"/>
      <c r="MAS198" s="360"/>
      <c r="MAT198" s="360"/>
      <c r="MAU198" s="360"/>
      <c r="MAV198" s="360"/>
      <c r="MAW198" s="360"/>
      <c r="MAX198" s="360"/>
      <c r="MAY198" s="360"/>
      <c r="MAZ198" s="360"/>
      <c r="MBA198" s="360"/>
      <c r="MBB198" s="360"/>
      <c r="MBC198" s="360"/>
      <c r="MBD198" s="360"/>
      <c r="MBE198" s="360"/>
      <c r="MBF198" s="360"/>
      <c r="MBG198" s="360"/>
      <c r="MBH198" s="360"/>
      <c r="MBI198" s="360"/>
      <c r="MBJ198" s="360"/>
      <c r="MBK198" s="360"/>
      <c r="MBL198" s="360"/>
      <c r="MBM198" s="360"/>
      <c r="MBN198" s="360"/>
      <c r="MBO198" s="360"/>
      <c r="MBP198" s="360"/>
      <c r="MBQ198" s="360"/>
      <c r="MBR198" s="360"/>
      <c r="MBS198" s="360"/>
      <c r="MBT198" s="360"/>
      <c r="MBU198" s="360"/>
      <c r="MBV198" s="360"/>
      <c r="MBW198" s="360"/>
      <c r="MBX198" s="360"/>
      <c r="MBY198" s="360"/>
      <c r="MBZ198" s="360"/>
      <c r="MCA198" s="360"/>
      <c r="MCB198" s="360"/>
      <c r="MCC198" s="360"/>
      <c r="MCD198" s="360"/>
      <c r="MCE198" s="360"/>
      <c r="MCF198" s="360"/>
      <c r="MCG198" s="360"/>
      <c r="MCH198" s="360"/>
      <c r="MCI198" s="360"/>
      <c r="MCJ198" s="360"/>
      <c r="MCK198" s="360"/>
      <c r="MCL198" s="360"/>
      <c r="MCM198" s="360"/>
      <c r="MCN198" s="360"/>
      <c r="MCO198" s="360"/>
      <c r="MCP198" s="360"/>
      <c r="MCQ198" s="360"/>
      <c r="MCR198" s="360"/>
      <c r="MCS198" s="360"/>
      <c r="MCT198" s="360"/>
      <c r="MCU198" s="360"/>
      <c r="MCV198" s="360"/>
      <c r="MCW198" s="360"/>
      <c r="MCX198" s="360"/>
      <c r="MCY198" s="360"/>
      <c r="MCZ198" s="360"/>
      <c r="MDA198" s="360"/>
      <c r="MDB198" s="360"/>
      <c r="MDC198" s="360"/>
      <c r="MDD198" s="360"/>
      <c r="MDE198" s="360"/>
      <c r="MDF198" s="360"/>
      <c r="MDG198" s="360"/>
      <c r="MDH198" s="360"/>
      <c r="MDI198" s="360"/>
      <c r="MDJ198" s="360"/>
      <c r="MDK198" s="360"/>
      <c r="MDL198" s="360"/>
      <c r="MDM198" s="360"/>
      <c r="MDN198" s="360"/>
      <c r="MDO198" s="360"/>
      <c r="MDP198" s="360"/>
      <c r="MDQ198" s="360"/>
      <c r="MDR198" s="360"/>
      <c r="MDS198" s="360"/>
      <c r="MDT198" s="360"/>
      <c r="MDU198" s="360"/>
      <c r="MDV198" s="360"/>
      <c r="MDW198" s="360"/>
      <c r="MDX198" s="360"/>
      <c r="MDY198" s="360"/>
      <c r="MDZ198" s="360"/>
      <c r="MEA198" s="360"/>
      <c r="MEB198" s="360"/>
      <c r="MEC198" s="360"/>
      <c r="MED198" s="360"/>
      <c r="MEE198" s="360"/>
      <c r="MEF198" s="360"/>
      <c r="MEG198" s="360"/>
      <c r="MEH198" s="360"/>
      <c r="MEI198" s="360"/>
      <c r="MEJ198" s="360"/>
      <c r="MEK198" s="360"/>
      <c r="MEL198" s="360"/>
      <c r="MEM198" s="360"/>
      <c r="MEN198" s="360"/>
      <c r="MEO198" s="360"/>
      <c r="MEP198" s="360"/>
      <c r="MEQ198" s="360"/>
      <c r="MER198" s="360"/>
      <c r="MES198" s="360"/>
      <c r="MET198" s="360"/>
      <c r="MEU198" s="360"/>
      <c r="MEV198" s="360"/>
      <c r="MEW198" s="360"/>
      <c r="MEX198" s="360"/>
      <c r="MEY198" s="360"/>
      <c r="MEZ198" s="360"/>
      <c r="MFA198" s="360"/>
      <c r="MFB198" s="360"/>
      <c r="MFC198" s="360"/>
      <c r="MFD198" s="360"/>
      <c r="MFE198" s="360"/>
      <c r="MFF198" s="360"/>
      <c r="MFG198" s="360"/>
      <c r="MFH198" s="360"/>
      <c r="MFI198" s="360"/>
      <c r="MFJ198" s="360"/>
      <c r="MFK198" s="360"/>
      <c r="MFL198" s="360"/>
      <c r="MFM198" s="360"/>
      <c r="MFN198" s="360"/>
      <c r="MFO198" s="360"/>
      <c r="MFP198" s="360"/>
      <c r="MFQ198" s="360"/>
      <c r="MFR198" s="360"/>
      <c r="MFS198" s="360"/>
      <c r="MFT198" s="360"/>
      <c r="MFU198" s="360"/>
      <c r="MFV198" s="360"/>
      <c r="MFW198" s="360"/>
      <c r="MFX198" s="360"/>
      <c r="MFY198" s="360"/>
      <c r="MFZ198" s="360"/>
      <c r="MGA198" s="360"/>
      <c r="MGB198" s="360"/>
      <c r="MGC198" s="360"/>
      <c r="MGD198" s="360"/>
      <c r="MGE198" s="360"/>
      <c r="MGF198" s="360"/>
      <c r="MGG198" s="360"/>
      <c r="MGH198" s="360"/>
      <c r="MGI198" s="360"/>
      <c r="MGJ198" s="360"/>
      <c r="MGK198" s="360"/>
      <c r="MGL198" s="360"/>
      <c r="MGM198" s="360"/>
      <c r="MGN198" s="360"/>
      <c r="MGO198" s="360"/>
      <c r="MGP198" s="360"/>
      <c r="MGQ198" s="360"/>
      <c r="MGR198" s="360"/>
      <c r="MGS198" s="360"/>
      <c r="MGT198" s="360"/>
      <c r="MGU198" s="360"/>
      <c r="MGV198" s="360"/>
      <c r="MGW198" s="360"/>
      <c r="MGX198" s="360"/>
      <c r="MGY198" s="360"/>
      <c r="MGZ198" s="360"/>
      <c r="MHA198" s="360"/>
      <c r="MHB198" s="360"/>
      <c r="MHC198" s="360"/>
      <c r="MHD198" s="360"/>
      <c r="MHE198" s="360"/>
      <c r="MHF198" s="360"/>
      <c r="MHG198" s="360"/>
      <c r="MHH198" s="360"/>
      <c r="MHI198" s="360"/>
      <c r="MHJ198" s="360"/>
      <c r="MHK198" s="360"/>
      <c r="MHL198" s="360"/>
      <c r="MHM198" s="360"/>
      <c r="MHN198" s="360"/>
      <c r="MHO198" s="360"/>
      <c r="MHP198" s="360"/>
      <c r="MHQ198" s="360"/>
      <c r="MHR198" s="360"/>
      <c r="MHS198" s="360"/>
      <c r="MHT198" s="360"/>
      <c r="MHU198" s="360"/>
      <c r="MHV198" s="360"/>
      <c r="MHW198" s="360"/>
      <c r="MHX198" s="360"/>
      <c r="MHY198" s="360"/>
      <c r="MHZ198" s="360"/>
      <c r="MIA198" s="360"/>
      <c r="MIB198" s="360"/>
      <c r="MIC198" s="360"/>
      <c r="MID198" s="360"/>
      <c r="MIE198" s="360"/>
      <c r="MIF198" s="360"/>
      <c r="MIG198" s="360"/>
      <c r="MIH198" s="360"/>
      <c r="MII198" s="360"/>
      <c r="MIJ198" s="360"/>
      <c r="MIK198" s="360"/>
      <c r="MIL198" s="360"/>
      <c r="MIM198" s="360"/>
      <c r="MIN198" s="360"/>
      <c r="MIO198" s="360"/>
      <c r="MIP198" s="360"/>
      <c r="MIQ198" s="360"/>
      <c r="MIR198" s="360"/>
      <c r="MIS198" s="360"/>
      <c r="MIT198" s="360"/>
      <c r="MIU198" s="360"/>
      <c r="MIV198" s="360"/>
      <c r="MIW198" s="360"/>
      <c r="MIX198" s="360"/>
      <c r="MIY198" s="360"/>
      <c r="MIZ198" s="360"/>
      <c r="MJA198" s="360"/>
      <c r="MJB198" s="360"/>
      <c r="MJC198" s="360"/>
      <c r="MJD198" s="360"/>
      <c r="MJE198" s="360"/>
      <c r="MJF198" s="360"/>
      <c r="MJG198" s="360"/>
      <c r="MJH198" s="360"/>
      <c r="MJI198" s="360"/>
      <c r="MJJ198" s="360"/>
      <c r="MJK198" s="360"/>
      <c r="MJL198" s="360"/>
      <c r="MJM198" s="360"/>
      <c r="MJN198" s="360"/>
      <c r="MJO198" s="360"/>
      <c r="MJP198" s="360"/>
      <c r="MJQ198" s="360"/>
      <c r="MJR198" s="360"/>
      <c r="MJS198" s="360"/>
      <c r="MJT198" s="360"/>
      <c r="MJU198" s="360"/>
      <c r="MJV198" s="360"/>
      <c r="MJW198" s="360"/>
      <c r="MJX198" s="360"/>
      <c r="MJY198" s="360"/>
      <c r="MJZ198" s="360"/>
      <c r="MKA198" s="360"/>
      <c r="MKB198" s="360"/>
      <c r="MKC198" s="360"/>
      <c r="MKD198" s="360"/>
      <c r="MKE198" s="360"/>
      <c r="MKF198" s="360"/>
      <c r="MKG198" s="360"/>
      <c r="MKH198" s="360"/>
      <c r="MKI198" s="360"/>
      <c r="MKJ198" s="360"/>
      <c r="MKK198" s="360"/>
      <c r="MKL198" s="360"/>
      <c r="MKM198" s="360"/>
      <c r="MKN198" s="360"/>
      <c r="MKO198" s="360"/>
      <c r="MKP198" s="360"/>
      <c r="MKQ198" s="360"/>
      <c r="MKR198" s="360"/>
      <c r="MKS198" s="360"/>
      <c r="MKT198" s="360"/>
      <c r="MKU198" s="360"/>
      <c r="MKV198" s="360"/>
      <c r="MKW198" s="360"/>
      <c r="MKX198" s="360"/>
      <c r="MKY198" s="360"/>
      <c r="MKZ198" s="360"/>
      <c r="MLA198" s="360"/>
      <c r="MLB198" s="360"/>
      <c r="MLC198" s="360"/>
      <c r="MLD198" s="360"/>
      <c r="MLE198" s="360"/>
      <c r="MLF198" s="360"/>
      <c r="MLG198" s="360"/>
      <c r="MLH198" s="360"/>
      <c r="MLI198" s="360"/>
      <c r="MLJ198" s="360"/>
      <c r="MLK198" s="360"/>
      <c r="MLL198" s="360"/>
      <c r="MLM198" s="360"/>
      <c r="MLN198" s="360"/>
      <c r="MLO198" s="360"/>
      <c r="MLP198" s="360"/>
      <c r="MLQ198" s="360"/>
      <c r="MLR198" s="360"/>
      <c r="MLS198" s="360"/>
      <c r="MLT198" s="360"/>
      <c r="MLU198" s="360"/>
      <c r="MLV198" s="360"/>
      <c r="MLW198" s="360"/>
      <c r="MLX198" s="360"/>
      <c r="MLY198" s="360"/>
      <c r="MLZ198" s="360"/>
      <c r="MMA198" s="360"/>
      <c r="MMB198" s="360"/>
      <c r="MMC198" s="360"/>
      <c r="MMD198" s="360"/>
      <c r="MME198" s="360"/>
      <c r="MMF198" s="360"/>
      <c r="MMG198" s="360"/>
      <c r="MMH198" s="360"/>
      <c r="MMI198" s="360"/>
      <c r="MMJ198" s="360"/>
      <c r="MMK198" s="360"/>
      <c r="MML198" s="360"/>
      <c r="MMM198" s="360"/>
      <c r="MMN198" s="360"/>
      <c r="MMO198" s="360"/>
      <c r="MMP198" s="360"/>
      <c r="MMQ198" s="360"/>
      <c r="MMR198" s="360"/>
      <c r="MMS198" s="360"/>
      <c r="MMT198" s="360"/>
      <c r="MMU198" s="360"/>
      <c r="MMV198" s="360"/>
      <c r="MMW198" s="360"/>
      <c r="MMX198" s="360"/>
      <c r="MMY198" s="360"/>
      <c r="MMZ198" s="360"/>
      <c r="MNA198" s="360"/>
      <c r="MNB198" s="360"/>
      <c r="MNC198" s="360"/>
      <c r="MND198" s="360"/>
      <c r="MNE198" s="360"/>
      <c r="MNF198" s="360"/>
      <c r="MNG198" s="360"/>
      <c r="MNH198" s="360"/>
      <c r="MNI198" s="360"/>
      <c r="MNJ198" s="360"/>
      <c r="MNK198" s="360"/>
      <c r="MNL198" s="360"/>
      <c r="MNM198" s="360"/>
      <c r="MNN198" s="360"/>
      <c r="MNO198" s="360"/>
      <c r="MNP198" s="360"/>
      <c r="MNQ198" s="360"/>
      <c r="MNR198" s="360"/>
      <c r="MNS198" s="360"/>
      <c r="MNT198" s="360"/>
      <c r="MNU198" s="360"/>
      <c r="MNV198" s="360"/>
      <c r="MNW198" s="360"/>
      <c r="MNX198" s="360"/>
      <c r="MNY198" s="360"/>
      <c r="MNZ198" s="360"/>
      <c r="MOA198" s="360"/>
      <c r="MOB198" s="360"/>
      <c r="MOC198" s="360"/>
      <c r="MOD198" s="360"/>
      <c r="MOE198" s="360"/>
      <c r="MOF198" s="360"/>
      <c r="MOG198" s="360"/>
      <c r="MOH198" s="360"/>
      <c r="MOI198" s="360"/>
      <c r="MOJ198" s="360"/>
      <c r="MOK198" s="360"/>
      <c r="MOL198" s="360"/>
      <c r="MOM198" s="360"/>
      <c r="MON198" s="360"/>
      <c r="MOO198" s="360"/>
      <c r="MOP198" s="360"/>
      <c r="MOQ198" s="360"/>
      <c r="MOR198" s="360"/>
      <c r="MOS198" s="360"/>
      <c r="MOT198" s="360"/>
      <c r="MOU198" s="360"/>
      <c r="MOV198" s="360"/>
      <c r="MOW198" s="360"/>
      <c r="MOX198" s="360"/>
      <c r="MOY198" s="360"/>
      <c r="MOZ198" s="360"/>
      <c r="MPA198" s="360"/>
      <c r="MPB198" s="360"/>
      <c r="MPC198" s="360"/>
      <c r="MPD198" s="360"/>
      <c r="MPE198" s="360"/>
      <c r="MPF198" s="360"/>
      <c r="MPG198" s="360"/>
      <c r="MPH198" s="360"/>
      <c r="MPI198" s="360"/>
      <c r="MPJ198" s="360"/>
      <c r="MPK198" s="360"/>
      <c r="MPL198" s="360"/>
      <c r="MPM198" s="360"/>
      <c r="MPN198" s="360"/>
      <c r="MPO198" s="360"/>
      <c r="MPP198" s="360"/>
      <c r="MPQ198" s="360"/>
      <c r="MPR198" s="360"/>
      <c r="MPS198" s="360"/>
      <c r="MPT198" s="360"/>
      <c r="MPU198" s="360"/>
      <c r="MPV198" s="360"/>
      <c r="MPW198" s="360"/>
      <c r="MPX198" s="360"/>
      <c r="MPY198" s="360"/>
      <c r="MPZ198" s="360"/>
      <c r="MQA198" s="360"/>
      <c r="MQB198" s="360"/>
      <c r="MQC198" s="360"/>
      <c r="MQD198" s="360"/>
      <c r="MQE198" s="360"/>
      <c r="MQF198" s="360"/>
      <c r="MQG198" s="360"/>
      <c r="MQH198" s="360"/>
      <c r="MQI198" s="360"/>
      <c r="MQJ198" s="360"/>
      <c r="MQK198" s="360"/>
      <c r="MQL198" s="360"/>
      <c r="MQM198" s="360"/>
      <c r="MQN198" s="360"/>
      <c r="MQO198" s="360"/>
      <c r="MQP198" s="360"/>
      <c r="MQQ198" s="360"/>
      <c r="MQR198" s="360"/>
      <c r="MQS198" s="360"/>
      <c r="MQT198" s="360"/>
      <c r="MQU198" s="360"/>
      <c r="MQV198" s="360"/>
      <c r="MQW198" s="360"/>
      <c r="MQX198" s="360"/>
      <c r="MQY198" s="360"/>
      <c r="MQZ198" s="360"/>
      <c r="MRA198" s="360"/>
      <c r="MRB198" s="360"/>
      <c r="MRC198" s="360"/>
      <c r="MRD198" s="360"/>
      <c r="MRE198" s="360"/>
      <c r="MRF198" s="360"/>
      <c r="MRG198" s="360"/>
      <c r="MRH198" s="360"/>
      <c r="MRI198" s="360"/>
      <c r="MRJ198" s="360"/>
      <c r="MRK198" s="360"/>
      <c r="MRL198" s="360"/>
      <c r="MRM198" s="360"/>
      <c r="MRN198" s="360"/>
      <c r="MRO198" s="360"/>
      <c r="MRP198" s="360"/>
      <c r="MRQ198" s="360"/>
      <c r="MRR198" s="360"/>
      <c r="MRS198" s="360"/>
      <c r="MRT198" s="360"/>
      <c r="MRU198" s="360"/>
      <c r="MRV198" s="360"/>
      <c r="MRW198" s="360"/>
      <c r="MRX198" s="360"/>
      <c r="MRY198" s="360"/>
      <c r="MRZ198" s="360"/>
      <c r="MSA198" s="360"/>
      <c r="MSB198" s="360"/>
      <c r="MSC198" s="360"/>
      <c r="MSD198" s="360"/>
      <c r="MSE198" s="360"/>
      <c r="MSF198" s="360"/>
      <c r="MSG198" s="360"/>
      <c r="MSH198" s="360"/>
      <c r="MSI198" s="360"/>
      <c r="MSJ198" s="360"/>
      <c r="MSK198" s="360"/>
      <c r="MSL198" s="360"/>
      <c r="MSM198" s="360"/>
      <c r="MSN198" s="360"/>
      <c r="MSO198" s="360"/>
      <c r="MSP198" s="360"/>
      <c r="MSQ198" s="360"/>
      <c r="MSR198" s="360"/>
      <c r="MSS198" s="360"/>
      <c r="MST198" s="360"/>
      <c r="MSU198" s="360"/>
      <c r="MSV198" s="360"/>
      <c r="MSW198" s="360"/>
      <c r="MSX198" s="360"/>
      <c r="MSY198" s="360"/>
      <c r="MSZ198" s="360"/>
      <c r="MTA198" s="360"/>
      <c r="MTB198" s="360"/>
      <c r="MTC198" s="360"/>
      <c r="MTD198" s="360"/>
      <c r="MTE198" s="360"/>
      <c r="MTF198" s="360"/>
      <c r="MTG198" s="360"/>
      <c r="MTH198" s="360"/>
      <c r="MTI198" s="360"/>
      <c r="MTJ198" s="360"/>
      <c r="MTK198" s="360"/>
      <c r="MTL198" s="360"/>
      <c r="MTM198" s="360"/>
      <c r="MTN198" s="360"/>
      <c r="MTO198" s="360"/>
      <c r="MTP198" s="360"/>
      <c r="MTQ198" s="360"/>
      <c r="MTR198" s="360"/>
      <c r="MTS198" s="360"/>
      <c r="MTT198" s="360"/>
      <c r="MTU198" s="360"/>
      <c r="MTV198" s="360"/>
      <c r="MTW198" s="360"/>
      <c r="MTX198" s="360"/>
      <c r="MTY198" s="360"/>
      <c r="MTZ198" s="360"/>
      <c r="MUA198" s="360"/>
      <c r="MUB198" s="360"/>
      <c r="MUC198" s="360"/>
      <c r="MUD198" s="360"/>
      <c r="MUE198" s="360"/>
      <c r="MUF198" s="360"/>
      <c r="MUG198" s="360"/>
      <c r="MUH198" s="360"/>
      <c r="MUI198" s="360"/>
      <c r="MUJ198" s="360"/>
      <c r="MUK198" s="360"/>
      <c r="MUL198" s="360"/>
      <c r="MUM198" s="360"/>
      <c r="MUN198" s="360"/>
      <c r="MUO198" s="360"/>
      <c r="MUP198" s="360"/>
      <c r="MUQ198" s="360"/>
      <c r="MUR198" s="360"/>
      <c r="MUS198" s="360"/>
      <c r="MUT198" s="360"/>
      <c r="MUU198" s="360"/>
      <c r="MUV198" s="360"/>
      <c r="MUW198" s="360"/>
      <c r="MUX198" s="360"/>
      <c r="MUY198" s="360"/>
      <c r="MUZ198" s="360"/>
      <c r="MVA198" s="360"/>
      <c r="MVB198" s="360"/>
      <c r="MVC198" s="360"/>
      <c r="MVD198" s="360"/>
      <c r="MVE198" s="360"/>
      <c r="MVF198" s="360"/>
      <c r="MVG198" s="360"/>
      <c r="MVH198" s="360"/>
      <c r="MVI198" s="360"/>
      <c r="MVJ198" s="360"/>
      <c r="MVK198" s="360"/>
      <c r="MVL198" s="360"/>
      <c r="MVM198" s="360"/>
      <c r="MVN198" s="360"/>
      <c r="MVO198" s="360"/>
      <c r="MVP198" s="360"/>
      <c r="MVQ198" s="360"/>
      <c r="MVR198" s="360"/>
      <c r="MVS198" s="360"/>
      <c r="MVT198" s="360"/>
      <c r="MVU198" s="360"/>
      <c r="MVV198" s="360"/>
      <c r="MVW198" s="360"/>
      <c r="MVX198" s="360"/>
      <c r="MVY198" s="360"/>
      <c r="MVZ198" s="360"/>
      <c r="MWA198" s="360"/>
      <c r="MWB198" s="360"/>
      <c r="MWC198" s="360"/>
      <c r="MWD198" s="360"/>
      <c r="MWE198" s="360"/>
      <c r="MWF198" s="360"/>
      <c r="MWG198" s="360"/>
      <c r="MWH198" s="360"/>
      <c r="MWI198" s="360"/>
      <c r="MWJ198" s="360"/>
      <c r="MWK198" s="360"/>
      <c r="MWL198" s="360"/>
      <c r="MWM198" s="360"/>
      <c r="MWN198" s="360"/>
      <c r="MWO198" s="360"/>
      <c r="MWP198" s="360"/>
      <c r="MWQ198" s="360"/>
      <c r="MWR198" s="360"/>
      <c r="MWS198" s="360"/>
      <c r="MWT198" s="360"/>
      <c r="MWU198" s="360"/>
      <c r="MWV198" s="360"/>
      <c r="MWW198" s="360"/>
      <c r="MWX198" s="360"/>
      <c r="MWY198" s="360"/>
      <c r="MWZ198" s="360"/>
      <c r="MXA198" s="360"/>
      <c r="MXB198" s="360"/>
      <c r="MXC198" s="360"/>
      <c r="MXD198" s="360"/>
      <c r="MXE198" s="360"/>
      <c r="MXF198" s="360"/>
      <c r="MXG198" s="360"/>
      <c r="MXH198" s="360"/>
      <c r="MXI198" s="360"/>
      <c r="MXJ198" s="360"/>
      <c r="MXK198" s="360"/>
      <c r="MXL198" s="360"/>
      <c r="MXM198" s="360"/>
      <c r="MXN198" s="360"/>
      <c r="MXO198" s="360"/>
      <c r="MXP198" s="360"/>
      <c r="MXQ198" s="360"/>
      <c r="MXR198" s="360"/>
      <c r="MXS198" s="360"/>
      <c r="MXT198" s="360"/>
      <c r="MXU198" s="360"/>
      <c r="MXV198" s="360"/>
      <c r="MXW198" s="360"/>
      <c r="MXX198" s="360"/>
      <c r="MXY198" s="360"/>
      <c r="MXZ198" s="360"/>
      <c r="MYA198" s="360"/>
      <c r="MYB198" s="360"/>
      <c r="MYC198" s="360"/>
      <c r="MYD198" s="360"/>
      <c r="MYE198" s="360"/>
      <c r="MYF198" s="360"/>
      <c r="MYG198" s="360"/>
      <c r="MYH198" s="360"/>
      <c r="MYI198" s="360"/>
      <c r="MYJ198" s="360"/>
      <c r="MYK198" s="360"/>
      <c r="MYL198" s="360"/>
      <c r="MYM198" s="360"/>
      <c r="MYN198" s="360"/>
      <c r="MYO198" s="360"/>
      <c r="MYP198" s="360"/>
      <c r="MYQ198" s="360"/>
      <c r="MYR198" s="360"/>
      <c r="MYS198" s="360"/>
      <c r="MYT198" s="360"/>
      <c r="MYU198" s="360"/>
      <c r="MYV198" s="360"/>
      <c r="MYW198" s="360"/>
      <c r="MYX198" s="360"/>
      <c r="MYY198" s="360"/>
      <c r="MYZ198" s="360"/>
      <c r="MZA198" s="360"/>
      <c r="MZB198" s="360"/>
      <c r="MZC198" s="360"/>
      <c r="MZD198" s="360"/>
      <c r="MZE198" s="360"/>
      <c r="MZF198" s="360"/>
      <c r="MZG198" s="360"/>
      <c r="MZH198" s="360"/>
      <c r="MZI198" s="360"/>
      <c r="MZJ198" s="360"/>
      <c r="MZK198" s="360"/>
      <c r="MZL198" s="360"/>
      <c r="MZM198" s="360"/>
      <c r="MZN198" s="360"/>
      <c r="MZO198" s="360"/>
      <c r="MZP198" s="360"/>
      <c r="MZQ198" s="360"/>
      <c r="MZR198" s="360"/>
      <c r="MZS198" s="360"/>
      <c r="MZT198" s="360"/>
      <c r="MZU198" s="360"/>
      <c r="MZV198" s="360"/>
      <c r="MZW198" s="360"/>
      <c r="MZX198" s="360"/>
      <c r="MZY198" s="360"/>
      <c r="MZZ198" s="360"/>
      <c r="NAA198" s="360"/>
      <c r="NAB198" s="360"/>
      <c r="NAC198" s="360"/>
      <c r="NAD198" s="360"/>
      <c r="NAE198" s="360"/>
      <c r="NAF198" s="360"/>
      <c r="NAG198" s="360"/>
      <c r="NAH198" s="360"/>
      <c r="NAI198" s="360"/>
      <c r="NAJ198" s="360"/>
      <c r="NAK198" s="360"/>
      <c r="NAL198" s="360"/>
      <c r="NAM198" s="360"/>
      <c r="NAN198" s="360"/>
      <c r="NAO198" s="360"/>
      <c r="NAP198" s="360"/>
      <c r="NAQ198" s="360"/>
      <c r="NAR198" s="360"/>
      <c r="NAS198" s="360"/>
      <c r="NAT198" s="360"/>
      <c r="NAU198" s="360"/>
      <c r="NAV198" s="360"/>
      <c r="NAW198" s="360"/>
      <c r="NAX198" s="360"/>
      <c r="NAY198" s="360"/>
      <c r="NAZ198" s="360"/>
      <c r="NBA198" s="360"/>
      <c r="NBB198" s="360"/>
      <c r="NBC198" s="360"/>
      <c r="NBD198" s="360"/>
      <c r="NBE198" s="360"/>
      <c r="NBF198" s="360"/>
      <c r="NBG198" s="360"/>
      <c r="NBH198" s="360"/>
      <c r="NBI198" s="360"/>
      <c r="NBJ198" s="360"/>
      <c r="NBK198" s="360"/>
      <c r="NBL198" s="360"/>
      <c r="NBM198" s="360"/>
      <c r="NBN198" s="360"/>
      <c r="NBO198" s="360"/>
      <c r="NBP198" s="360"/>
      <c r="NBQ198" s="360"/>
      <c r="NBR198" s="360"/>
      <c r="NBS198" s="360"/>
      <c r="NBT198" s="360"/>
      <c r="NBU198" s="360"/>
      <c r="NBV198" s="360"/>
      <c r="NBW198" s="360"/>
      <c r="NBX198" s="360"/>
      <c r="NBY198" s="360"/>
      <c r="NBZ198" s="360"/>
      <c r="NCA198" s="360"/>
      <c r="NCB198" s="360"/>
      <c r="NCC198" s="360"/>
      <c r="NCD198" s="360"/>
      <c r="NCE198" s="360"/>
      <c r="NCF198" s="360"/>
      <c r="NCG198" s="360"/>
      <c r="NCH198" s="360"/>
      <c r="NCI198" s="360"/>
      <c r="NCJ198" s="360"/>
      <c r="NCK198" s="360"/>
      <c r="NCL198" s="360"/>
      <c r="NCM198" s="360"/>
      <c r="NCN198" s="360"/>
      <c r="NCO198" s="360"/>
      <c r="NCP198" s="360"/>
      <c r="NCQ198" s="360"/>
      <c r="NCR198" s="360"/>
      <c r="NCS198" s="360"/>
      <c r="NCT198" s="360"/>
      <c r="NCU198" s="360"/>
      <c r="NCV198" s="360"/>
      <c r="NCW198" s="360"/>
      <c r="NCX198" s="360"/>
      <c r="NCY198" s="360"/>
      <c r="NCZ198" s="360"/>
      <c r="NDA198" s="360"/>
      <c r="NDB198" s="360"/>
      <c r="NDC198" s="360"/>
      <c r="NDD198" s="360"/>
      <c r="NDE198" s="360"/>
      <c r="NDF198" s="360"/>
      <c r="NDG198" s="360"/>
      <c r="NDH198" s="360"/>
      <c r="NDI198" s="360"/>
      <c r="NDJ198" s="360"/>
      <c r="NDK198" s="360"/>
      <c r="NDL198" s="360"/>
      <c r="NDM198" s="360"/>
      <c r="NDN198" s="360"/>
      <c r="NDO198" s="360"/>
      <c r="NDP198" s="360"/>
      <c r="NDQ198" s="360"/>
      <c r="NDR198" s="360"/>
      <c r="NDS198" s="360"/>
      <c r="NDT198" s="360"/>
      <c r="NDU198" s="360"/>
      <c r="NDV198" s="360"/>
      <c r="NDW198" s="360"/>
      <c r="NDX198" s="360"/>
      <c r="NDY198" s="360"/>
      <c r="NDZ198" s="360"/>
      <c r="NEA198" s="360"/>
      <c r="NEB198" s="360"/>
      <c r="NEC198" s="360"/>
      <c r="NED198" s="360"/>
      <c r="NEE198" s="360"/>
      <c r="NEF198" s="360"/>
      <c r="NEG198" s="360"/>
      <c r="NEH198" s="360"/>
      <c r="NEI198" s="360"/>
      <c r="NEJ198" s="360"/>
      <c r="NEK198" s="360"/>
      <c r="NEL198" s="360"/>
      <c r="NEM198" s="360"/>
      <c r="NEN198" s="360"/>
      <c r="NEO198" s="360"/>
      <c r="NEP198" s="360"/>
      <c r="NEQ198" s="360"/>
      <c r="NER198" s="360"/>
      <c r="NES198" s="360"/>
      <c r="NET198" s="360"/>
      <c r="NEU198" s="360"/>
      <c r="NEV198" s="360"/>
      <c r="NEW198" s="360"/>
      <c r="NEX198" s="360"/>
      <c r="NEY198" s="360"/>
      <c r="NEZ198" s="360"/>
      <c r="NFA198" s="360"/>
      <c r="NFB198" s="360"/>
      <c r="NFC198" s="360"/>
      <c r="NFD198" s="360"/>
      <c r="NFE198" s="360"/>
      <c r="NFF198" s="360"/>
      <c r="NFG198" s="360"/>
      <c r="NFH198" s="360"/>
      <c r="NFI198" s="360"/>
      <c r="NFJ198" s="360"/>
      <c r="NFK198" s="360"/>
      <c r="NFL198" s="360"/>
      <c r="NFM198" s="360"/>
      <c r="NFN198" s="360"/>
      <c r="NFO198" s="360"/>
      <c r="NFP198" s="360"/>
      <c r="NFQ198" s="360"/>
      <c r="NFR198" s="360"/>
      <c r="NFS198" s="360"/>
      <c r="NFT198" s="360"/>
      <c r="NFU198" s="360"/>
      <c r="NFV198" s="360"/>
      <c r="NFW198" s="360"/>
      <c r="NFX198" s="360"/>
      <c r="NFY198" s="360"/>
      <c r="NFZ198" s="360"/>
      <c r="NGA198" s="360"/>
      <c r="NGB198" s="360"/>
      <c r="NGC198" s="360"/>
      <c r="NGD198" s="360"/>
      <c r="NGE198" s="360"/>
      <c r="NGF198" s="360"/>
      <c r="NGG198" s="360"/>
      <c r="NGH198" s="360"/>
      <c r="NGI198" s="360"/>
      <c r="NGJ198" s="360"/>
      <c r="NGK198" s="360"/>
      <c r="NGL198" s="360"/>
      <c r="NGM198" s="360"/>
      <c r="NGN198" s="360"/>
      <c r="NGO198" s="360"/>
      <c r="NGP198" s="360"/>
      <c r="NGQ198" s="360"/>
      <c r="NGR198" s="360"/>
      <c r="NGS198" s="360"/>
      <c r="NGT198" s="360"/>
      <c r="NGU198" s="360"/>
      <c r="NGV198" s="360"/>
      <c r="NGW198" s="360"/>
      <c r="NGX198" s="360"/>
      <c r="NGY198" s="360"/>
      <c r="NGZ198" s="360"/>
      <c r="NHA198" s="360"/>
      <c r="NHB198" s="360"/>
      <c r="NHC198" s="360"/>
      <c r="NHD198" s="360"/>
      <c r="NHE198" s="360"/>
      <c r="NHF198" s="360"/>
      <c r="NHG198" s="360"/>
      <c r="NHH198" s="360"/>
      <c r="NHI198" s="360"/>
      <c r="NHJ198" s="360"/>
      <c r="NHK198" s="360"/>
      <c r="NHL198" s="360"/>
      <c r="NHM198" s="360"/>
      <c r="NHN198" s="360"/>
      <c r="NHO198" s="360"/>
      <c r="NHP198" s="360"/>
      <c r="NHQ198" s="360"/>
      <c r="NHR198" s="360"/>
      <c r="NHS198" s="360"/>
      <c r="NHT198" s="360"/>
      <c r="NHU198" s="360"/>
      <c r="NHV198" s="360"/>
      <c r="NHW198" s="360"/>
      <c r="NHX198" s="360"/>
      <c r="NHY198" s="360"/>
      <c r="NHZ198" s="360"/>
      <c r="NIA198" s="360"/>
      <c r="NIB198" s="360"/>
      <c r="NIC198" s="360"/>
      <c r="NID198" s="360"/>
      <c r="NIE198" s="360"/>
      <c r="NIF198" s="360"/>
      <c r="NIG198" s="360"/>
      <c r="NIH198" s="360"/>
      <c r="NII198" s="360"/>
      <c r="NIJ198" s="360"/>
      <c r="NIK198" s="360"/>
      <c r="NIL198" s="360"/>
      <c r="NIM198" s="360"/>
      <c r="NIN198" s="360"/>
      <c r="NIO198" s="360"/>
      <c r="NIP198" s="360"/>
      <c r="NIQ198" s="360"/>
      <c r="NIR198" s="360"/>
      <c r="NIS198" s="360"/>
      <c r="NIT198" s="360"/>
      <c r="NIU198" s="360"/>
      <c r="NIV198" s="360"/>
      <c r="NIW198" s="360"/>
      <c r="NIX198" s="360"/>
      <c r="NIY198" s="360"/>
      <c r="NIZ198" s="360"/>
      <c r="NJA198" s="360"/>
      <c r="NJB198" s="360"/>
      <c r="NJC198" s="360"/>
      <c r="NJD198" s="360"/>
      <c r="NJE198" s="360"/>
      <c r="NJF198" s="360"/>
      <c r="NJG198" s="360"/>
      <c r="NJH198" s="360"/>
      <c r="NJI198" s="360"/>
      <c r="NJJ198" s="360"/>
      <c r="NJK198" s="360"/>
      <c r="NJL198" s="360"/>
      <c r="NJM198" s="360"/>
      <c r="NJN198" s="360"/>
      <c r="NJO198" s="360"/>
      <c r="NJP198" s="360"/>
      <c r="NJQ198" s="360"/>
      <c r="NJR198" s="360"/>
      <c r="NJS198" s="360"/>
      <c r="NJT198" s="360"/>
      <c r="NJU198" s="360"/>
      <c r="NJV198" s="360"/>
      <c r="NJW198" s="360"/>
      <c r="NJX198" s="360"/>
      <c r="NJY198" s="360"/>
      <c r="NJZ198" s="360"/>
      <c r="NKA198" s="360"/>
      <c r="NKB198" s="360"/>
      <c r="NKC198" s="360"/>
      <c r="NKD198" s="360"/>
      <c r="NKE198" s="360"/>
      <c r="NKF198" s="360"/>
      <c r="NKG198" s="360"/>
      <c r="NKH198" s="360"/>
      <c r="NKI198" s="360"/>
      <c r="NKJ198" s="360"/>
      <c r="NKK198" s="360"/>
      <c r="NKL198" s="360"/>
      <c r="NKM198" s="360"/>
      <c r="NKN198" s="360"/>
      <c r="NKO198" s="360"/>
      <c r="NKP198" s="360"/>
      <c r="NKQ198" s="360"/>
      <c r="NKR198" s="360"/>
      <c r="NKS198" s="360"/>
      <c r="NKT198" s="360"/>
      <c r="NKU198" s="360"/>
      <c r="NKV198" s="360"/>
      <c r="NKW198" s="360"/>
      <c r="NKX198" s="360"/>
      <c r="NKY198" s="360"/>
      <c r="NKZ198" s="360"/>
      <c r="NLA198" s="360"/>
      <c r="NLB198" s="360"/>
      <c r="NLC198" s="360"/>
      <c r="NLD198" s="360"/>
      <c r="NLE198" s="360"/>
      <c r="NLF198" s="360"/>
      <c r="NLG198" s="360"/>
      <c r="NLH198" s="360"/>
      <c r="NLI198" s="360"/>
      <c r="NLJ198" s="360"/>
      <c r="NLK198" s="360"/>
      <c r="NLL198" s="360"/>
      <c r="NLM198" s="360"/>
      <c r="NLN198" s="360"/>
      <c r="NLO198" s="360"/>
      <c r="NLP198" s="360"/>
      <c r="NLQ198" s="360"/>
      <c r="NLR198" s="360"/>
      <c r="NLS198" s="360"/>
      <c r="NLT198" s="360"/>
      <c r="NLU198" s="360"/>
      <c r="NLV198" s="360"/>
      <c r="NLW198" s="360"/>
      <c r="NLX198" s="360"/>
      <c r="NLY198" s="360"/>
      <c r="NLZ198" s="360"/>
      <c r="NMA198" s="360"/>
      <c r="NMB198" s="360"/>
      <c r="NMC198" s="360"/>
      <c r="NMD198" s="360"/>
      <c r="NME198" s="360"/>
      <c r="NMF198" s="360"/>
      <c r="NMG198" s="360"/>
      <c r="NMH198" s="360"/>
      <c r="NMI198" s="360"/>
      <c r="NMJ198" s="360"/>
      <c r="NMK198" s="360"/>
      <c r="NML198" s="360"/>
      <c r="NMM198" s="360"/>
      <c r="NMN198" s="360"/>
      <c r="NMO198" s="360"/>
      <c r="NMP198" s="360"/>
      <c r="NMQ198" s="360"/>
      <c r="NMR198" s="360"/>
      <c r="NMS198" s="360"/>
      <c r="NMT198" s="360"/>
      <c r="NMU198" s="360"/>
      <c r="NMV198" s="360"/>
      <c r="NMW198" s="360"/>
      <c r="NMX198" s="360"/>
      <c r="NMY198" s="360"/>
      <c r="NMZ198" s="360"/>
      <c r="NNA198" s="360"/>
      <c r="NNB198" s="360"/>
      <c r="NNC198" s="360"/>
      <c r="NND198" s="360"/>
      <c r="NNE198" s="360"/>
      <c r="NNF198" s="360"/>
      <c r="NNG198" s="360"/>
      <c r="NNH198" s="360"/>
      <c r="NNI198" s="360"/>
      <c r="NNJ198" s="360"/>
      <c r="NNK198" s="360"/>
      <c r="NNL198" s="360"/>
      <c r="NNM198" s="360"/>
      <c r="NNN198" s="360"/>
      <c r="NNO198" s="360"/>
      <c r="NNP198" s="360"/>
      <c r="NNQ198" s="360"/>
      <c r="NNR198" s="360"/>
      <c r="NNS198" s="360"/>
      <c r="NNT198" s="360"/>
      <c r="NNU198" s="360"/>
      <c r="NNV198" s="360"/>
      <c r="NNW198" s="360"/>
      <c r="NNX198" s="360"/>
      <c r="NNY198" s="360"/>
      <c r="NNZ198" s="360"/>
      <c r="NOA198" s="360"/>
      <c r="NOB198" s="360"/>
      <c r="NOC198" s="360"/>
      <c r="NOD198" s="360"/>
      <c r="NOE198" s="360"/>
      <c r="NOF198" s="360"/>
      <c r="NOG198" s="360"/>
      <c r="NOH198" s="360"/>
      <c r="NOI198" s="360"/>
      <c r="NOJ198" s="360"/>
      <c r="NOK198" s="360"/>
      <c r="NOL198" s="360"/>
      <c r="NOM198" s="360"/>
      <c r="NON198" s="360"/>
      <c r="NOO198" s="360"/>
      <c r="NOP198" s="360"/>
      <c r="NOQ198" s="360"/>
      <c r="NOR198" s="360"/>
      <c r="NOS198" s="360"/>
      <c r="NOT198" s="360"/>
      <c r="NOU198" s="360"/>
      <c r="NOV198" s="360"/>
      <c r="NOW198" s="360"/>
      <c r="NOX198" s="360"/>
      <c r="NOY198" s="360"/>
      <c r="NOZ198" s="360"/>
      <c r="NPA198" s="360"/>
      <c r="NPB198" s="360"/>
      <c r="NPC198" s="360"/>
      <c r="NPD198" s="360"/>
      <c r="NPE198" s="360"/>
      <c r="NPF198" s="360"/>
      <c r="NPG198" s="360"/>
      <c r="NPH198" s="360"/>
      <c r="NPI198" s="360"/>
      <c r="NPJ198" s="360"/>
      <c r="NPK198" s="360"/>
      <c r="NPL198" s="360"/>
      <c r="NPM198" s="360"/>
      <c r="NPN198" s="360"/>
      <c r="NPO198" s="360"/>
      <c r="NPP198" s="360"/>
      <c r="NPQ198" s="360"/>
      <c r="NPR198" s="360"/>
      <c r="NPS198" s="360"/>
      <c r="NPT198" s="360"/>
      <c r="NPU198" s="360"/>
      <c r="NPV198" s="360"/>
      <c r="NPW198" s="360"/>
      <c r="NPX198" s="360"/>
      <c r="NPY198" s="360"/>
      <c r="NPZ198" s="360"/>
      <c r="NQA198" s="360"/>
      <c r="NQB198" s="360"/>
      <c r="NQC198" s="360"/>
      <c r="NQD198" s="360"/>
      <c r="NQE198" s="360"/>
      <c r="NQF198" s="360"/>
      <c r="NQG198" s="360"/>
      <c r="NQH198" s="360"/>
      <c r="NQI198" s="360"/>
      <c r="NQJ198" s="360"/>
      <c r="NQK198" s="360"/>
      <c r="NQL198" s="360"/>
      <c r="NQM198" s="360"/>
      <c r="NQN198" s="360"/>
      <c r="NQO198" s="360"/>
      <c r="NQP198" s="360"/>
      <c r="NQQ198" s="360"/>
      <c r="NQR198" s="360"/>
      <c r="NQS198" s="360"/>
      <c r="NQT198" s="360"/>
      <c r="NQU198" s="360"/>
      <c r="NQV198" s="360"/>
      <c r="NQW198" s="360"/>
      <c r="NQX198" s="360"/>
      <c r="NQY198" s="360"/>
      <c r="NQZ198" s="360"/>
      <c r="NRA198" s="360"/>
      <c r="NRB198" s="360"/>
      <c r="NRC198" s="360"/>
      <c r="NRD198" s="360"/>
      <c r="NRE198" s="360"/>
      <c r="NRF198" s="360"/>
      <c r="NRG198" s="360"/>
      <c r="NRH198" s="360"/>
      <c r="NRI198" s="360"/>
      <c r="NRJ198" s="360"/>
      <c r="NRK198" s="360"/>
      <c r="NRL198" s="360"/>
      <c r="NRM198" s="360"/>
      <c r="NRN198" s="360"/>
      <c r="NRO198" s="360"/>
      <c r="NRP198" s="360"/>
      <c r="NRQ198" s="360"/>
      <c r="NRR198" s="360"/>
      <c r="NRS198" s="360"/>
      <c r="NRT198" s="360"/>
      <c r="NRU198" s="360"/>
      <c r="NRV198" s="360"/>
      <c r="NRW198" s="360"/>
      <c r="NRX198" s="360"/>
      <c r="NRY198" s="360"/>
      <c r="NRZ198" s="360"/>
      <c r="NSA198" s="360"/>
      <c r="NSB198" s="360"/>
      <c r="NSC198" s="360"/>
      <c r="NSD198" s="360"/>
      <c r="NSE198" s="360"/>
      <c r="NSF198" s="360"/>
      <c r="NSG198" s="360"/>
      <c r="NSH198" s="360"/>
      <c r="NSI198" s="360"/>
      <c r="NSJ198" s="360"/>
      <c r="NSK198" s="360"/>
      <c r="NSL198" s="360"/>
      <c r="NSM198" s="360"/>
      <c r="NSN198" s="360"/>
      <c r="NSO198" s="360"/>
      <c r="NSP198" s="360"/>
      <c r="NSQ198" s="360"/>
      <c r="NSR198" s="360"/>
      <c r="NSS198" s="360"/>
      <c r="NST198" s="360"/>
      <c r="NSU198" s="360"/>
      <c r="NSV198" s="360"/>
      <c r="NSW198" s="360"/>
      <c r="NSX198" s="360"/>
      <c r="NSY198" s="360"/>
      <c r="NSZ198" s="360"/>
      <c r="NTA198" s="360"/>
      <c r="NTB198" s="360"/>
      <c r="NTC198" s="360"/>
      <c r="NTD198" s="360"/>
      <c r="NTE198" s="360"/>
      <c r="NTF198" s="360"/>
      <c r="NTG198" s="360"/>
      <c r="NTH198" s="360"/>
      <c r="NTI198" s="360"/>
      <c r="NTJ198" s="360"/>
      <c r="NTK198" s="360"/>
      <c r="NTL198" s="360"/>
      <c r="NTM198" s="360"/>
      <c r="NTN198" s="360"/>
      <c r="NTO198" s="360"/>
      <c r="NTP198" s="360"/>
      <c r="NTQ198" s="360"/>
      <c r="NTR198" s="360"/>
      <c r="NTS198" s="360"/>
      <c r="NTT198" s="360"/>
      <c r="NTU198" s="360"/>
      <c r="NTV198" s="360"/>
      <c r="NTW198" s="360"/>
      <c r="NTX198" s="360"/>
      <c r="NTY198" s="360"/>
      <c r="NTZ198" s="360"/>
      <c r="NUA198" s="360"/>
      <c r="NUB198" s="360"/>
      <c r="NUC198" s="360"/>
      <c r="NUD198" s="360"/>
      <c r="NUE198" s="360"/>
      <c r="NUF198" s="360"/>
      <c r="NUG198" s="360"/>
      <c r="NUH198" s="360"/>
      <c r="NUI198" s="360"/>
      <c r="NUJ198" s="360"/>
      <c r="NUK198" s="360"/>
      <c r="NUL198" s="360"/>
      <c r="NUM198" s="360"/>
      <c r="NUN198" s="360"/>
      <c r="NUO198" s="360"/>
      <c r="NUP198" s="360"/>
      <c r="NUQ198" s="360"/>
      <c r="NUR198" s="360"/>
      <c r="NUS198" s="360"/>
      <c r="NUT198" s="360"/>
      <c r="NUU198" s="360"/>
      <c r="NUV198" s="360"/>
      <c r="NUW198" s="360"/>
      <c r="NUX198" s="360"/>
      <c r="NUY198" s="360"/>
      <c r="NUZ198" s="360"/>
      <c r="NVA198" s="360"/>
      <c r="NVB198" s="360"/>
      <c r="NVC198" s="360"/>
      <c r="NVD198" s="360"/>
      <c r="NVE198" s="360"/>
      <c r="NVF198" s="360"/>
      <c r="NVG198" s="360"/>
      <c r="NVH198" s="360"/>
      <c r="NVI198" s="360"/>
      <c r="NVJ198" s="360"/>
      <c r="NVK198" s="360"/>
      <c r="NVL198" s="360"/>
      <c r="NVM198" s="360"/>
      <c r="NVN198" s="360"/>
      <c r="NVO198" s="360"/>
      <c r="NVP198" s="360"/>
      <c r="NVQ198" s="360"/>
      <c r="NVR198" s="360"/>
      <c r="NVS198" s="360"/>
      <c r="NVT198" s="360"/>
      <c r="NVU198" s="360"/>
      <c r="NVV198" s="360"/>
      <c r="NVW198" s="360"/>
      <c r="NVX198" s="360"/>
      <c r="NVY198" s="360"/>
      <c r="NVZ198" s="360"/>
      <c r="NWA198" s="360"/>
      <c r="NWB198" s="360"/>
      <c r="NWC198" s="360"/>
      <c r="NWD198" s="360"/>
      <c r="NWE198" s="360"/>
      <c r="NWF198" s="360"/>
      <c r="NWG198" s="360"/>
      <c r="NWH198" s="360"/>
      <c r="NWI198" s="360"/>
      <c r="NWJ198" s="360"/>
      <c r="NWK198" s="360"/>
      <c r="NWL198" s="360"/>
      <c r="NWM198" s="360"/>
      <c r="NWN198" s="360"/>
      <c r="NWO198" s="360"/>
      <c r="NWP198" s="360"/>
      <c r="NWQ198" s="360"/>
      <c r="NWR198" s="360"/>
      <c r="NWS198" s="360"/>
      <c r="NWT198" s="360"/>
      <c r="NWU198" s="360"/>
      <c r="NWV198" s="360"/>
      <c r="NWW198" s="360"/>
      <c r="NWX198" s="360"/>
      <c r="NWY198" s="360"/>
      <c r="NWZ198" s="360"/>
      <c r="NXA198" s="360"/>
      <c r="NXB198" s="360"/>
      <c r="NXC198" s="360"/>
      <c r="NXD198" s="360"/>
      <c r="NXE198" s="360"/>
      <c r="NXF198" s="360"/>
      <c r="NXG198" s="360"/>
      <c r="NXH198" s="360"/>
      <c r="NXI198" s="360"/>
      <c r="NXJ198" s="360"/>
      <c r="NXK198" s="360"/>
      <c r="NXL198" s="360"/>
      <c r="NXM198" s="360"/>
      <c r="NXN198" s="360"/>
      <c r="NXO198" s="360"/>
      <c r="NXP198" s="360"/>
      <c r="NXQ198" s="360"/>
      <c r="NXR198" s="360"/>
      <c r="NXS198" s="360"/>
      <c r="NXT198" s="360"/>
      <c r="NXU198" s="360"/>
      <c r="NXV198" s="360"/>
      <c r="NXW198" s="360"/>
      <c r="NXX198" s="360"/>
      <c r="NXY198" s="360"/>
      <c r="NXZ198" s="360"/>
      <c r="NYA198" s="360"/>
      <c r="NYB198" s="360"/>
      <c r="NYC198" s="360"/>
      <c r="NYD198" s="360"/>
      <c r="NYE198" s="360"/>
      <c r="NYF198" s="360"/>
      <c r="NYG198" s="360"/>
      <c r="NYH198" s="360"/>
      <c r="NYI198" s="360"/>
      <c r="NYJ198" s="360"/>
      <c r="NYK198" s="360"/>
      <c r="NYL198" s="360"/>
      <c r="NYM198" s="360"/>
      <c r="NYN198" s="360"/>
      <c r="NYO198" s="360"/>
      <c r="NYP198" s="360"/>
      <c r="NYQ198" s="360"/>
      <c r="NYR198" s="360"/>
      <c r="NYS198" s="360"/>
      <c r="NYT198" s="360"/>
      <c r="NYU198" s="360"/>
      <c r="NYV198" s="360"/>
      <c r="NYW198" s="360"/>
      <c r="NYX198" s="360"/>
      <c r="NYY198" s="360"/>
      <c r="NYZ198" s="360"/>
      <c r="NZA198" s="360"/>
      <c r="NZB198" s="360"/>
      <c r="NZC198" s="360"/>
      <c r="NZD198" s="360"/>
      <c r="NZE198" s="360"/>
      <c r="NZF198" s="360"/>
      <c r="NZG198" s="360"/>
      <c r="NZH198" s="360"/>
      <c r="NZI198" s="360"/>
      <c r="NZJ198" s="360"/>
      <c r="NZK198" s="360"/>
      <c r="NZL198" s="360"/>
      <c r="NZM198" s="360"/>
      <c r="NZN198" s="360"/>
      <c r="NZO198" s="360"/>
      <c r="NZP198" s="360"/>
      <c r="NZQ198" s="360"/>
      <c r="NZR198" s="360"/>
      <c r="NZS198" s="360"/>
      <c r="NZT198" s="360"/>
      <c r="NZU198" s="360"/>
      <c r="NZV198" s="360"/>
      <c r="NZW198" s="360"/>
      <c r="NZX198" s="360"/>
      <c r="NZY198" s="360"/>
      <c r="NZZ198" s="360"/>
      <c r="OAA198" s="360"/>
      <c r="OAB198" s="360"/>
      <c r="OAC198" s="360"/>
      <c r="OAD198" s="360"/>
      <c r="OAE198" s="360"/>
      <c r="OAF198" s="360"/>
      <c r="OAG198" s="360"/>
      <c r="OAH198" s="360"/>
      <c r="OAI198" s="360"/>
      <c r="OAJ198" s="360"/>
      <c r="OAK198" s="360"/>
      <c r="OAL198" s="360"/>
      <c r="OAM198" s="360"/>
      <c r="OAN198" s="360"/>
      <c r="OAO198" s="360"/>
      <c r="OAP198" s="360"/>
      <c r="OAQ198" s="360"/>
      <c r="OAR198" s="360"/>
      <c r="OAS198" s="360"/>
      <c r="OAT198" s="360"/>
      <c r="OAU198" s="360"/>
      <c r="OAV198" s="360"/>
      <c r="OAW198" s="360"/>
      <c r="OAX198" s="360"/>
      <c r="OAY198" s="360"/>
      <c r="OAZ198" s="360"/>
      <c r="OBA198" s="360"/>
      <c r="OBB198" s="360"/>
      <c r="OBC198" s="360"/>
      <c r="OBD198" s="360"/>
      <c r="OBE198" s="360"/>
      <c r="OBF198" s="360"/>
      <c r="OBG198" s="360"/>
      <c r="OBH198" s="360"/>
      <c r="OBI198" s="360"/>
      <c r="OBJ198" s="360"/>
      <c r="OBK198" s="360"/>
      <c r="OBL198" s="360"/>
      <c r="OBM198" s="360"/>
      <c r="OBN198" s="360"/>
      <c r="OBO198" s="360"/>
      <c r="OBP198" s="360"/>
      <c r="OBQ198" s="360"/>
      <c r="OBR198" s="360"/>
      <c r="OBS198" s="360"/>
      <c r="OBT198" s="360"/>
      <c r="OBU198" s="360"/>
      <c r="OBV198" s="360"/>
      <c r="OBW198" s="360"/>
      <c r="OBX198" s="360"/>
      <c r="OBY198" s="360"/>
      <c r="OBZ198" s="360"/>
      <c r="OCA198" s="360"/>
      <c r="OCB198" s="360"/>
      <c r="OCC198" s="360"/>
      <c r="OCD198" s="360"/>
      <c r="OCE198" s="360"/>
      <c r="OCF198" s="360"/>
      <c r="OCG198" s="360"/>
      <c r="OCH198" s="360"/>
      <c r="OCI198" s="360"/>
      <c r="OCJ198" s="360"/>
      <c r="OCK198" s="360"/>
      <c r="OCL198" s="360"/>
      <c r="OCM198" s="360"/>
      <c r="OCN198" s="360"/>
      <c r="OCO198" s="360"/>
      <c r="OCP198" s="360"/>
      <c r="OCQ198" s="360"/>
      <c r="OCR198" s="360"/>
      <c r="OCS198" s="360"/>
      <c r="OCT198" s="360"/>
      <c r="OCU198" s="360"/>
      <c r="OCV198" s="360"/>
      <c r="OCW198" s="360"/>
      <c r="OCX198" s="360"/>
      <c r="OCY198" s="360"/>
      <c r="OCZ198" s="360"/>
      <c r="ODA198" s="360"/>
      <c r="ODB198" s="360"/>
      <c r="ODC198" s="360"/>
      <c r="ODD198" s="360"/>
      <c r="ODE198" s="360"/>
      <c r="ODF198" s="360"/>
      <c r="ODG198" s="360"/>
      <c r="ODH198" s="360"/>
      <c r="ODI198" s="360"/>
      <c r="ODJ198" s="360"/>
      <c r="ODK198" s="360"/>
      <c r="ODL198" s="360"/>
      <c r="ODM198" s="360"/>
      <c r="ODN198" s="360"/>
      <c r="ODO198" s="360"/>
      <c r="ODP198" s="360"/>
      <c r="ODQ198" s="360"/>
      <c r="ODR198" s="360"/>
      <c r="ODS198" s="360"/>
      <c r="ODT198" s="360"/>
      <c r="ODU198" s="360"/>
      <c r="ODV198" s="360"/>
      <c r="ODW198" s="360"/>
      <c r="ODX198" s="360"/>
      <c r="ODY198" s="360"/>
      <c r="ODZ198" s="360"/>
      <c r="OEA198" s="360"/>
      <c r="OEB198" s="360"/>
      <c r="OEC198" s="360"/>
      <c r="OED198" s="360"/>
      <c r="OEE198" s="360"/>
      <c r="OEF198" s="360"/>
      <c r="OEG198" s="360"/>
      <c r="OEH198" s="360"/>
      <c r="OEI198" s="360"/>
      <c r="OEJ198" s="360"/>
      <c r="OEK198" s="360"/>
      <c r="OEL198" s="360"/>
      <c r="OEM198" s="360"/>
      <c r="OEN198" s="360"/>
      <c r="OEO198" s="360"/>
      <c r="OEP198" s="360"/>
      <c r="OEQ198" s="360"/>
      <c r="OER198" s="360"/>
      <c r="OES198" s="360"/>
      <c r="OET198" s="360"/>
      <c r="OEU198" s="360"/>
      <c r="OEV198" s="360"/>
      <c r="OEW198" s="360"/>
      <c r="OEX198" s="360"/>
      <c r="OEY198" s="360"/>
      <c r="OEZ198" s="360"/>
      <c r="OFA198" s="360"/>
      <c r="OFB198" s="360"/>
      <c r="OFC198" s="360"/>
      <c r="OFD198" s="360"/>
      <c r="OFE198" s="360"/>
      <c r="OFF198" s="360"/>
      <c r="OFG198" s="360"/>
      <c r="OFH198" s="360"/>
      <c r="OFI198" s="360"/>
      <c r="OFJ198" s="360"/>
      <c r="OFK198" s="360"/>
      <c r="OFL198" s="360"/>
      <c r="OFM198" s="360"/>
      <c r="OFN198" s="360"/>
      <c r="OFO198" s="360"/>
      <c r="OFP198" s="360"/>
      <c r="OFQ198" s="360"/>
      <c r="OFR198" s="360"/>
      <c r="OFS198" s="360"/>
      <c r="OFT198" s="360"/>
      <c r="OFU198" s="360"/>
      <c r="OFV198" s="360"/>
      <c r="OFW198" s="360"/>
      <c r="OFX198" s="360"/>
      <c r="OFY198" s="360"/>
      <c r="OFZ198" s="360"/>
      <c r="OGA198" s="360"/>
      <c r="OGB198" s="360"/>
      <c r="OGC198" s="360"/>
      <c r="OGD198" s="360"/>
      <c r="OGE198" s="360"/>
      <c r="OGF198" s="360"/>
      <c r="OGG198" s="360"/>
      <c r="OGH198" s="360"/>
      <c r="OGI198" s="360"/>
      <c r="OGJ198" s="360"/>
      <c r="OGK198" s="360"/>
      <c r="OGL198" s="360"/>
      <c r="OGM198" s="360"/>
      <c r="OGN198" s="360"/>
      <c r="OGO198" s="360"/>
      <c r="OGP198" s="360"/>
      <c r="OGQ198" s="360"/>
      <c r="OGR198" s="360"/>
      <c r="OGS198" s="360"/>
      <c r="OGT198" s="360"/>
      <c r="OGU198" s="360"/>
      <c r="OGV198" s="360"/>
      <c r="OGW198" s="360"/>
      <c r="OGX198" s="360"/>
      <c r="OGY198" s="360"/>
      <c r="OGZ198" s="360"/>
      <c r="OHA198" s="360"/>
      <c r="OHB198" s="360"/>
      <c r="OHC198" s="360"/>
      <c r="OHD198" s="360"/>
      <c r="OHE198" s="360"/>
      <c r="OHF198" s="360"/>
      <c r="OHG198" s="360"/>
      <c r="OHH198" s="360"/>
      <c r="OHI198" s="360"/>
      <c r="OHJ198" s="360"/>
      <c r="OHK198" s="360"/>
      <c r="OHL198" s="360"/>
      <c r="OHM198" s="360"/>
      <c r="OHN198" s="360"/>
      <c r="OHO198" s="360"/>
      <c r="OHP198" s="360"/>
      <c r="OHQ198" s="360"/>
      <c r="OHR198" s="360"/>
      <c r="OHS198" s="360"/>
      <c r="OHT198" s="360"/>
      <c r="OHU198" s="360"/>
      <c r="OHV198" s="360"/>
      <c r="OHW198" s="360"/>
      <c r="OHX198" s="360"/>
      <c r="OHY198" s="360"/>
      <c r="OHZ198" s="360"/>
      <c r="OIA198" s="360"/>
      <c r="OIB198" s="360"/>
      <c r="OIC198" s="360"/>
      <c r="OID198" s="360"/>
      <c r="OIE198" s="360"/>
      <c r="OIF198" s="360"/>
      <c r="OIG198" s="360"/>
      <c r="OIH198" s="360"/>
      <c r="OII198" s="360"/>
      <c r="OIJ198" s="360"/>
      <c r="OIK198" s="360"/>
      <c r="OIL198" s="360"/>
      <c r="OIM198" s="360"/>
      <c r="OIN198" s="360"/>
      <c r="OIO198" s="360"/>
      <c r="OIP198" s="360"/>
      <c r="OIQ198" s="360"/>
      <c r="OIR198" s="360"/>
      <c r="OIS198" s="360"/>
      <c r="OIT198" s="360"/>
      <c r="OIU198" s="360"/>
      <c r="OIV198" s="360"/>
      <c r="OIW198" s="360"/>
      <c r="OIX198" s="360"/>
      <c r="OIY198" s="360"/>
      <c r="OIZ198" s="360"/>
      <c r="OJA198" s="360"/>
      <c r="OJB198" s="360"/>
      <c r="OJC198" s="360"/>
      <c r="OJD198" s="360"/>
      <c r="OJE198" s="360"/>
      <c r="OJF198" s="360"/>
      <c r="OJG198" s="360"/>
      <c r="OJH198" s="360"/>
      <c r="OJI198" s="360"/>
      <c r="OJJ198" s="360"/>
      <c r="OJK198" s="360"/>
      <c r="OJL198" s="360"/>
      <c r="OJM198" s="360"/>
      <c r="OJN198" s="360"/>
      <c r="OJO198" s="360"/>
      <c r="OJP198" s="360"/>
      <c r="OJQ198" s="360"/>
      <c r="OJR198" s="360"/>
      <c r="OJS198" s="360"/>
      <c r="OJT198" s="360"/>
      <c r="OJU198" s="360"/>
      <c r="OJV198" s="360"/>
      <c r="OJW198" s="360"/>
      <c r="OJX198" s="360"/>
      <c r="OJY198" s="360"/>
      <c r="OJZ198" s="360"/>
      <c r="OKA198" s="360"/>
      <c r="OKB198" s="360"/>
      <c r="OKC198" s="360"/>
      <c r="OKD198" s="360"/>
      <c r="OKE198" s="360"/>
      <c r="OKF198" s="360"/>
      <c r="OKG198" s="360"/>
      <c r="OKH198" s="360"/>
      <c r="OKI198" s="360"/>
      <c r="OKJ198" s="360"/>
      <c r="OKK198" s="360"/>
      <c r="OKL198" s="360"/>
      <c r="OKM198" s="360"/>
      <c r="OKN198" s="360"/>
      <c r="OKO198" s="360"/>
      <c r="OKP198" s="360"/>
      <c r="OKQ198" s="360"/>
      <c r="OKR198" s="360"/>
      <c r="OKS198" s="360"/>
      <c r="OKT198" s="360"/>
      <c r="OKU198" s="360"/>
      <c r="OKV198" s="360"/>
      <c r="OKW198" s="360"/>
      <c r="OKX198" s="360"/>
      <c r="OKY198" s="360"/>
      <c r="OKZ198" s="360"/>
      <c r="OLA198" s="360"/>
      <c r="OLB198" s="360"/>
      <c r="OLC198" s="360"/>
      <c r="OLD198" s="360"/>
      <c r="OLE198" s="360"/>
      <c r="OLF198" s="360"/>
      <c r="OLG198" s="360"/>
      <c r="OLH198" s="360"/>
      <c r="OLI198" s="360"/>
      <c r="OLJ198" s="360"/>
      <c r="OLK198" s="360"/>
      <c r="OLL198" s="360"/>
      <c r="OLM198" s="360"/>
      <c r="OLN198" s="360"/>
      <c r="OLO198" s="360"/>
      <c r="OLP198" s="360"/>
      <c r="OLQ198" s="360"/>
      <c r="OLR198" s="360"/>
      <c r="OLS198" s="360"/>
      <c r="OLT198" s="360"/>
      <c r="OLU198" s="360"/>
      <c r="OLV198" s="360"/>
      <c r="OLW198" s="360"/>
      <c r="OLX198" s="360"/>
      <c r="OLY198" s="360"/>
      <c r="OLZ198" s="360"/>
      <c r="OMA198" s="360"/>
      <c r="OMB198" s="360"/>
      <c r="OMC198" s="360"/>
      <c r="OMD198" s="360"/>
      <c r="OME198" s="360"/>
      <c r="OMF198" s="360"/>
      <c r="OMG198" s="360"/>
      <c r="OMH198" s="360"/>
      <c r="OMI198" s="360"/>
      <c r="OMJ198" s="360"/>
      <c r="OMK198" s="360"/>
      <c r="OML198" s="360"/>
      <c r="OMM198" s="360"/>
      <c r="OMN198" s="360"/>
      <c r="OMO198" s="360"/>
      <c r="OMP198" s="360"/>
      <c r="OMQ198" s="360"/>
      <c r="OMR198" s="360"/>
      <c r="OMS198" s="360"/>
      <c r="OMT198" s="360"/>
      <c r="OMU198" s="360"/>
      <c r="OMV198" s="360"/>
      <c r="OMW198" s="360"/>
      <c r="OMX198" s="360"/>
      <c r="OMY198" s="360"/>
      <c r="OMZ198" s="360"/>
      <c r="ONA198" s="360"/>
      <c r="ONB198" s="360"/>
      <c r="ONC198" s="360"/>
      <c r="OND198" s="360"/>
      <c r="ONE198" s="360"/>
      <c r="ONF198" s="360"/>
      <c r="ONG198" s="360"/>
      <c r="ONH198" s="360"/>
      <c r="ONI198" s="360"/>
      <c r="ONJ198" s="360"/>
      <c r="ONK198" s="360"/>
      <c r="ONL198" s="360"/>
      <c r="ONM198" s="360"/>
      <c r="ONN198" s="360"/>
      <c r="ONO198" s="360"/>
      <c r="ONP198" s="360"/>
      <c r="ONQ198" s="360"/>
      <c r="ONR198" s="360"/>
      <c r="ONS198" s="360"/>
      <c r="ONT198" s="360"/>
      <c r="ONU198" s="360"/>
      <c r="ONV198" s="360"/>
      <c r="ONW198" s="360"/>
      <c r="ONX198" s="360"/>
      <c r="ONY198" s="360"/>
      <c r="ONZ198" s="360"/>
      <c r="OOA198" s="360"/>
      <c r="OOB198" s="360"/>
      <c r="OOC198" s="360"/>
      <c r="OOD198" s="360"/>
      <c r="OOE198" s="360"/>
      <c r="OOF198" s="360"/>
      <c r="OOG198" s="360"/>
      <c r="OOH198" s="360"/>
      <c r="OOI198" s="360"/>
      <c r="OOJ198" s="360"/>
      <c r="OOK198" s="360"/>
      <c r="OOL198" s="360"/>
      <c r="OOM198" s="360"/>
      <c r="OON198" s="360"/>
      <c r="OOO198" s="360"/>
      <c r="OOP198" s="360"/>
      <c r="OOQ198" s="360"/>
      <c r="OOR198" s="360"/>
      <c r="OOS198" s="360"/>
      <c r="OOT198" s="360"/>
      <c r="OOU198" s="360"/>
      <c r="OOV198" s="360"/>
      <c r="OOW198" s="360"/>
      <c r="OOX198" s="360"/>
      <c r="OOY198" s="360"/>
      <c r="OOZ198" s="360"/>
      <c r="OPA198" s="360"/>
      <c r="OPB198" s="360"/>
      <c r="OPC198" s="360"/>
      <c r="OPD198" s="360"/>
      <c r="OPE198" s="360"/>
      <c r="OPF198" s="360"/>
      <c r="OPG198" s="360"/>
      <c r="OPH198" s="360"/>
      <c r="OPI198" s="360"/>
      <c r="OPJ198" s="360"/>
      <c r="OPK198" s="360"/>
      <c r="OPL198" s="360"/>
      <c r="OPM198" s="360"/>
      <c r="OPN198" s="360"/>
      <c r="OPO198" s="360"/>
      <c r="OPP198" s="360"/>
      <c r="OPQ198" s="360"/>
      <c r="OPR198" s="360"/>
      <c r="OPS198" s="360"/>
      <c r="OPT198" s="360"/>
      <c r="OPU198" s="360"/>
      <c r="OPV198" s="360"/>
      <c r="OPW198" s="360"/>
      <c r="OPX198" s="360"/>
      <c r="OPY198" s="360"/>
      <c r="OPZ198" s="360"/>
      <c r="OQA198" s="360"/>
      <c r="OQB198" s="360"/>
      <c r="OQC198" s="360"/>
      <c r="OQD198" s="360"/>
      <c r="OQE198" s="360"/>
      <c r="OQF198" s="360"/>
      <c r="OQG198" s="360"/>
      <c r="OQH198" s="360"/>
      <c r="OQI198" s="360"/>
      <c r="OQJ198" s="360"/>
      <c r="OQK198" s="360"/>
      <c r="OQL198" s="360"/>
      <c r="OQM198" s="360"/>
      <c r="OQN198" s="360"/>
      <c r="OQO198" s="360"/>
      <c r="OQP198" s="360"/>
      <c r="OQQ198" s="360"/>
      <c r="OQR198" s="360"/>
      <c r="OQS198" s="360"/>
      <c r="OQT198" s="360"/>
      <c r="OQU198" s="360"/>
      <c r="OQV198" s="360"/>
      <c r="OQW198" s="360"/>
      <c r="OQX198" s="360"/>
      <c r="OQY198" s="360"/>
      <c r="OQZ198" s="360"/>
      <c r="ORA198" s="360"/>
      <c r="ORB198" s="360"/>
      <c r="ORC198" s="360"/>
      <c r="ORD198" s="360"/>
      <c r="ORE198" s="360"/>
      <c r="ORF198" s="360"/>
      <c r="ORG198" s="360"/>
      <c r="ORH198" s="360"/>
      <c r="ORI198" s="360"/>
      <c r="ORJ198" s="360"/>
      <c r="ORK198" s="360"/>
      <c r="ORL198" s="360"/>
      <c r="ORM198" s="360"/>
      <c r="ORN198" s="360"/>
      <c r="ORO198" s="360"/>
      <c r="ORP198" s="360"/>
      <c r="ORQ198" s="360"/>
      <c r="ORR198" s="360"/>
      <c r="ORS198" s="360"/>
      <c r="ORT198" s="360"/>
      <c r="ORU198" s="360"/>
      <c r="ORV198" s="360"/>
      <c r="ORW198" s="360"/>
      <c r="ORX198" s="360"/>
      <c r="ORY198" s="360"/>
      <c r="ORZ198" s="360"/>
      <c r="OSA198" s="360"/>
      <c r="OSB198" s="360"/>
      <c r="OSC198" s="360"/>
      <c r="OSD198" s="360"/>
      <c r="OSE198" s="360"/>
      <c r="OSF198" s="360"/>
      <c r="OSG198" s="360"/>
      <c r="OSH198" s="360"/>
      <c r="OSI198" s="360"/>
      <c r="OSJ198" s="360"/>
      <c r="OSK198" s="360"/>
      <c r="OSL198" s="360"/>
      <c r="OSM198" s="360"/>
      <c r="OSN198" s="360"/>
      <c r="OSO198" s="360"/>
      <c r="OSP198" s="360"/>
      <c r="OSQ198" s="360"/>
      <c r="OSR198" s="360"/>
      <c r="OSS198" s="360"/>
      <c r="OST198" s="360"/>
      <c r="OSU198" s="360"/>
      <c r="OSV198" s="360"/>
      <c r="OSW198" s="360"/>
      <c r="OSX198" s="360"/>
      <c r="OSY198" s="360"/>
      <c r="OSZ198" s="360"/>
      <c r="OTA198" s="360"/>
      <c r="OTB198" s="360"/>
      <c r="OTC198" s="360"/>
      <c r="OTD198" s="360"/>
      <c r="OTE198" s="360"/>
      <c r="OTF198" s="360"/>
      <c r="OTG198" s="360"/>
      <c r="OTH198" s="360"/>
      <c r="OTI198" s="360"/>
      <c r="OTJ198" s="360"/>
      <c r="OTK198" s="360"/>
      <c r="OTL198" s="360"/>
      <c r="OTM198" s="360"/>
      <c r="OTN198" s="360"/>
      <c r="OTO198" s="360"/>
      <c r="OTP198" s="360"/>
      <c r="OTQ198" s="360"/>
      <c r="OTR198" s="360"/>
      <c r="OTS198" s="360"/>
      <c r="OTT198" s="360"/>
      <c r="OTU198" s="360"/>
      <c r="OTV198" s="360"/>
      <c r="OTW198" s="360"/>
      <c r="OTX198" s="360"/>
      <c r="OTY198" s="360"/>
      <c r="OTZ198" s="360"/>
      <c r="OUA198" s="360"/>
      <c r="OUB198" s="360"/>
      <c r="OUC198" s="360"/>
      <c r="OUD198" s="360"/>
      <c r="OUE198" s="360"/>
      <c r="OUF198" s="360"/>
      <c r="OUG198" s="360"/>
      <c r="OUH198" s="360"/>
      <c r="OUI198" s="360"/>
      <c r="OUJ198" s="360"/>
      <c r="OUK198" s="360"/>
      <c r="OUL198" s="360"/>
      <c r="OUM198" s="360"/>
      <c r="OUN198" s="360"/>
      <c r="OUO198" s="360"/>
      <c r="OUP198" s="360"/>
      <c r="OUQ198" s="360"/>
      <c r="OUR198" s="360"/>
      <c r="OUS198" s="360"/>
      <c r="OUT198" s="360"/>
      <c r="OUU198" s="360"/>
      <c r="OUV198" s="360"/>
      <c r="OUW198" s="360"/>
      <c r="OUX198" s="360"/>
      <c r="OUY198" s="360"/>
      <c r="OUZ198" s="360"/>
      <c r="OVA198" s="360"/>
      <c r="OVB198" s="360"/>
      <c r="OVC198" s="360"/>
      <c r="OVD198" s="360"/>
      <c r="OVE198" s="360"/>
      <c r="OVF198" s="360"/>
      <c r="OVG198" s="360"/>
      <c r="OVH198" s="360"/>
      <c r="OVI198" s="360"/>
      <c r="OVJ198" s="360"/>
      <c r="OVK198" s="360"/>
      <c r="OVL198" s="360"/>
      <c r="OVM198" s="360"/>
      <c r="OVN198" s="360"/>
      <c r="OVO198" s="360"/>
      <c r="OVP198" s="360"/>
      <c r="OVQ198" s="360"/>
      <c r="OVR198" s="360"/>
      <c r="OVS198" s="360"/>
      <c r="OVT198" s="360"/>
      <c r="OVU198" s="360"/>
      <c r="OVV198" s="360"/>
      <c r="OVW198" s="360"/>
      <c r="OVX198" s="360"/>
      <c r="OVY198" s="360"/>
      <c r="OVZ198" s="360"/>
      <c r="OWA198" s="360"/>
      <c r="OWB198" s="360"/>
      <c r="OWC198" s="360"/>
      <c r="OWD198" s="360"/>
      <c r="OWE198" s="360"/>
      <c r="OWF198" s="360"/>
      <c r="OWG198" s="360"/>
      <c r="OWH198" s="360"/>
      <c r="OWI198" s="360"/>
      <c r="OWJ198" s="360"/>
      <c r="OWK198" s="360"/>
      <c r="OWL198" s="360"/>
      <c r="OWM198" s="360"/>
      <c r="OWN198" s="360"/>
      <c r="OWO198" s="360"/>
      <c r="OWP198" s="360"/>
      <c r="OWQ198" s="360"/>
      <c r="OWR198" s="360"/>
      <c r="OWS198" s="360"/>
      <c r="OWT198" s="360"/>
      <c r="OWU198" s="360"/>
      <c r="OWV198" s="360"/>
      <c r="OWW198" s="360"/>
      <c r="OWX198" s="360"/>
      <c r="OWY198" s="360"/>
      <c r="OWZ198" s="360"/>
      <c r="OXA198" s="360"/>
      <c r="OXB198" s="360"/>
      <c r="OXC198" s="360"/>
      <c r="OXD198" s="360"/>
      <c r="OXE198" s="360"/>
      <c r="OXF198" s="360"/>
      <c r="OXG198" s="360"/>
      <c r="OXH198" s="360"/>
      <c r="OXI198" s="360"/>
      <c r="OXJ198" s="360"/>
      <c r="OXK198" s="360"/>
      <c r="OXL198" s="360"/>
      <c r="OXM198" s="360"/>
      <c r="OXN198" s="360"/>
      <c r="OXO198" s="360"/>
      <c r="OXP198" s="360"/>
      <c r="OXQ198" s="360"/>
      <c r="OXR198" s="360"/>
      <c r="OXS198" s="360"/>
      <c r="OXT198" s="360"/>
      <c r="OXU198" s="360"/>
      <c r="OXV198" s="360"/>
      <c r="OXW198" s="360"/>
      <c r="OXX198" s="360"/>
      <c r="OXY198" s="360"/>
      <c r="OXZ198" s="360"/>
      <c r="OYA198" s="360"/>
      <c r="OYB198" s="360"/>
      <c r="OYC198" s="360"/>
      <c r="OYD198" s="360"/>
      <c r="OYE198" s="360"/>
      <c r="OYF198" s="360"/>
      <c r="OYG198" s="360"/>
      <c r="OYH198" s="360"/>
      <c r="OYI198" s="360"/>
      <c r="OYJ198" s="360"/>
      <c r="OYK198" s="360"/>
      <c r="OYL198" s="360"/>
      <c r="OYM198" s="360"/>
      <c r="OYN198" s="360"/>
      <c r="OYO198" s="360"/>
      <c r="OYP198" s="360"/>
      <c r="OYQ198" s="360"/>
      <c r="OYR198" s="360"/>
      <c r="OYS198" s="360"/>
      <c r="OYT198" s="360"/>
      <c r="OYU198" s="360"/>
      <c r="OYV198" s="360"/>
      <c r="OYW198" s="360"/>
      <c r="OYX198" s="360"/>
      <c r="OYY198" s="360"/>
      <c r="OYZ198" s="360"/>
      <c r="OZA198" s="360"/>
      <c r="OZB198" s="360"/>
      <c r="OZC198" s="360"/>
      <c r="OZD198" s="360"/>
      <c r="OZE198" s="360"/>
      <c r="OZF198" s="360"/>
      <c r="OZG198" s="360"/>
      <c r="OZH198" s="360"/>
      <c r="OZI198" s="360"/>
      <c r="OZJ198" s="360"/>
      <c r="OZK198" s="360"/>
      <c r="OZL198" s="360"/>
      <c r="OZM198" s="360"/>
      <c r="OZN198" s="360"/>
      <c r="OZO198" s="360"/>
      <c r="OZP198" s="360"/>
      <c r="OZQ198" s="360"/>
      <c r="OZR198" s="360"/>
      <c r="OZS198" s="360"/>
      <c r="OZT198" s="360"/>
      <c r="OZU198" s="360"/>
      <c r="OZV198" s="360"/>
      <c r="OZW198" s="360"/>
      <c r="OZX198" s="360"/>
      <c r="OZY198" s="360"/>
      <c r="OZZ198" s="360"/>
      <c r="PAA198" s="360"/>
      <c r="PAB198" s="360"/>
      <c r="PAC198" s="360"/>
      <c r="PAD198" s="360"/>
      <c r="PAE198" s="360"/>
      <c r="PAF198" s="360"/>
      <c r="PAG198" s="360"/>
      <c r="PAH198" s="360"/>
      <c r="PAI198" s="360"/>
      <c r="PAJ198" s="360"/>
      <c r="PAK198" s="360"/>
      <c r="PAL198" s="360"/>
      <c r="PAM198" s="360"/>
      <c r="PAN198" s="360"/>
      <c r="PAO198" s="360"/>
      <c r="PAP198" s="360"/>
      <c r="PAQ198" s="360"/>
      <c r="PAR198" s="360"/>
      <c r="PAS198" s="360"/>
      <c r="PAT198" s="360"/>
      <c r="PAU198" s="360"/>
      <c r="PAV198" s="360"/>
      <c r="PAW198" s="360"/>
      <c r="PAX198" s="360"/>
      <c r="PAY198" s="360"/>
      <c r="PAZ198" s="360"/>
      <c r="PBA198" s="360"/>
      <c r="PBB198" s="360"/>
      <c r="PBC198" s="360"/>
      <c r="PBD198" s="360"/>
      <c r="PBE198" s="360"/>
      <c r="PBF198" s="360"/>
      <c r="PBG198" s="360"/>
      <c r="PBH198" s="360"/>
      <c r="PBI198" s="360"/>
      <c r="PBJ198" s="360"/>
      <c r="PBK198" s="360"/>
      <c r="PBL198" s="360"/>
      <c r="PBM198" s="360"/>
      <c r="PBN198" s="360"/>
      <c r="PBO198" s="360"/>
      <c r="PBP198" s="360"/>
      <c r="PBQ198" s="360"/>
      <c r="PBR198" s="360"/>
      <c r="PBS198" s="360"/>
      <c r="PBT198" s="360"/>
      <c r="PBU198" s="360"/>
      <c r="PBV198" s="360"/>
      <c r="PBW198" s="360"/>
      <c r="PBX198" s="360"/>
      <c r="PBY198" s="360"/>
      <c r="PBZ198" s="360"/>
      <c r="PCA198" s="360"/>
      <c r="PCB198" s="360"/>
      <c r="PCC198" s="360"/>
      <c r="PCD198" s="360"/>
      <c r="PCE198" s="360"/>
      <c r="PCF198" s="360"/>
      <c r="PCG198" s="360"/>
      <c r="PCH198" s="360"/>
      <c r="PCI198" s="360"/>
      <c r="PCJ198" s="360"/>
      <c r="PCK198" s="360"/>
      <c r="PCL198" s="360"/>
      <c r="PCM198" s="360"/>
      <c r="PCN198" s="360"/>
      <c r="PCO198" s="360"/>
      <c r="PCP198" s="360"/>
      <c r="PCQ198" s="360"/>
      <c r="PCR198" s="360"/>
      <c r="PCS198" s="360"/>
      <c r="PCT198" s="360"/>
      <c r="PCU198" s="360"/>
      <c r="PCV198" s="360"/>
      <c r="PCW198" s="360"/>
      <c r="PCX198" s="360"/>
      <c r="PCY198" s="360"/>
      <c r="PCZ198" s="360"/>
      <c r="PDA198" s="360"/>
      <c r="PDB198" s="360"/>
      <c r="PDC198" s="360"/>
      <c r="PDD198" s="360"/>
      <c r="PDE198" s="360"/>
      <c r="PDF198" s="360"/>
      <c r="PDG198" s="360"/>
      <c r="PDH198" s="360"/>
      <c r="PDI198" s="360"/>
      <c r="PDJ198" s="360"/>
      <c r="PDK198" s="360"/>
      <c r="PDL198" s="360"/>
      <c r="PDM198" s="360"/>
      <c r="PDN198" s="360"/>
      <c r="PDO198" s="360"/>
      <c r="PDP198" s="360"/>
      <c r="PDQ198" s="360"/>
      <c r="PDR198" s="360"/>
      <c r="PDS198" s="360"/>
      <c r="PDT198" s="360"/>
      <c r="PDU198" s="360"/>
      <c r="PDV198" s="360"/>
      <c r="PDW198" s="360"/>
      <c r="PDX198" s="360"/>
      <c r="PDY198" s="360"/>
      <c r="PDZ198" s="360"/>
      <c r="PEA198" s="360"/>
      <c r="PEB198" s="360"/>
      <c r="PEC198" s="360"/>
      <c r="PED198" s="360"/>
      <c r="PEE198" s="360"/>
      <c r="PEF198" s="360"/>
      <c r="PEG198" s="360"/>
      <c r="PEH198" s="360"/>
      <c r="PEI198" s="360"/>
      <c r="PEJ198" s="360"/>
      <c r="PEK198" s="360"/>
      <c r="PEL198" s="360"/>
      <c r="PEM198" s="360"/>
      <c r="PEN198" s="360"/>
      <c r="PEO198" s="360"/>
      <c r="PEP198" s="360"/>
      <c r="PEQ198" s="360"/>
      <c r="PER198" s="360"/>
      <c r="PES198" s="360"/>
      <c r="PET198" s="360"/>
      <c r="PEU198" s="360"/>
      <c r="PEV198" s="360"/>
      <c r="PEW198" s="360"/>
      <c r="PEX198" s="360"/>
      <c r="PEY198" s="360"/>
      <c r="PEZ198" s="360"/>
      <c r="PFA198" s="360"/>
      <c r="PFB198" s="360"/>
      <c r="PFC198" s="360"/>
      <c r="PFD198" s="360"/>
      <c r="PFE198" s="360"/>
      <c r="PFF198" s="360"/>
      <c r="PFG198" s="360"/>
      <c r="PFH198" s="360"/>
      <c r="PFI198" s="360"/>
      <c r="PFJ198" s="360"/>
      <c r="PFK198" s="360"/>
      <c r="PFL198" s="360"/>
      <c r="PFM198" s="360"/>
      <c r="PFN198" s="360"/>
      <c r="PFO198" s="360"/>
      <c r="PFP198" s="360"/>
      <c r="PFQ198" s="360"/>
      <c r="PFR198" s="360"/>
      <c r="PFS198" s="360"/>
      <c r="PFT198" s="360"/>
      <c r="PFU198" s="360"/>
      <c r="PFV198" s="360"/>
      <c r="PFW198" s="360"/>
      <c r="PFX198" s="360"/>
      <c r="PFY198" s="360"/>
      <c r="PFZ198" s="360"/>
      <c r="PGA198" s="360"/>
      <c r="PGB198" s="360"/>
      <c r="PGC198" s="360"/>
      <c r="PGD198" s="360"/>
      <c r="PGE198" s="360"/>
      <c r="PGF198" s="360"/>
      <c r="PGG198" s="360"/>
      <c r="PGH198" s="360"/>
      <c r="PGI198" s="360"/>
      <c r="PGJ198" s="360"/>
      <c r="PGK198" s="360"/>
      <c r="PGL198" s="360"/>
      <c r="PGM198" s="360"/>
      <c r="PGN198" s="360"/>
      <c r="PGO198" s="360"/>
      <c r="PGP198" s="360"/>
      <c r="PGQ198" s="360"/>
      <c r="PGR198" s="360"/>
      <c r="PGS198" s="360"/>
      <c r="PGT198" s="360"/>
      <c r="PGU198" s="360"/>
      <c r="PGV198" s="360"/>
      <c r="PGW198" s="360"/>
      <c r="PGX198" s="360"/>
      <c r="PGY198" s="360"/>
      <c r="PGZ198" s="360"/>
      <c r="PHA198" s="360"/>
      <c r="PHB198" s="360"/>
      <c r="PHC198" s="360"/>
      <c r="PHD198" s="360"/>
      <c r="PHE198" s="360"/>
      <c r="PHF198" s="360"/>
      <c r="PHG198" s="360"/>
      <c r="PHH198" s="360"/>
      <c r="PHI198" s="360"/>
      <c r="PHJ198" s="360"/>
      <c r="PHK198" s="360"/>
      <c r="PHL198" s="360"/>
      <c r="PHM198" s="360"/>
      <c r="PHN198" s="360"/>
      <c r="PHO198" s="360"/>
      <c r="PHP198" s="360"/>
      <c r="PHQ198" s="360"/>
      <c r="PHR198" s="360"/>
      <c r="PHS198" s="360"/>
      <c r="PHT198" s="360"/>
      <c r="PHU198" s="360"/>
      <c r="PHV198" s="360"/>
      <c r="PHW198" s="360"/>
      <c r="PHX198" s="360"/>
      <c r="PHY198" s="360"/>
      <c r="PHZ198" s="360"/>
      <c r="PIA198" s="360"/>
      <c r="PIB198" s="360"/>
      <c r="PIC198" s="360"/>
      <c r="PID198" s="360"/>
      <c r="PIE198" s="360"/>
      <c r="PIF198" s="360"/>
      <c r="PIG198" s="360"/>
      <c r="PIH198" s="360"/>
      <c r="PII198" s="360"/>
      <c r="PIJ198" s="360"/>
      <c r="PIK198" s="360"/>
      <c r="PIL198" s="360"/>
      <c r="PIM198" s="360"/>
      <c r="PIN198" s="360"/>
      <c r="PIO198" s="360"/>
      <c r="PIP198" s="360"/>
      <c r="PIQ198" s="360"/>
      <c r="PIR198" s="360"/>
      <c r="PIS198" s="360"/>
      <c r="PIT198" s="360"/>
      <c r="PIU198" s="360"/>
      <c r="PIV198" s="360"/>
      <c r="PIW198" s="360"/>
      <c r="PIX198" s="360"/>
      <c r="PIY198" s="360"/>
      <c r="PIZ198" s="360"/>
      <c r="PJA198" s="360"/>
      <c r="PJB198" s="360"/>
      <c r="PJC198" s="360"/>
      <c r="PJD198" s="360"/>
      <c r="PJE198" s="360"/>
      <c r="PJF198" s="360"/>
      <c r="PJG198" s="360"/>
      <c r="PJH198" s="360"/>
      <c r="PJI198" s="360"/>
      <c r="PJJ198" s="360"/>
      <c r="PJK198" s="360"/>
      <c r="PJL198" s="360"/>
      <c r="PJM198" s="360"/>
      <c r="PJN198" s="360"/>
      <c r="PJO198" s="360"/>
      <c r="PJP198" s="360"/>
      <c r="PJQ198" s="360"/>
      <c r="PJR198" s="360"/>
      <c r="PJS198" s="360"/>
      <c r="PJT198" s="360"/>
      <c r="PJU198" s="360"/>
      <c r="PJV198" s="360"/>
      <c r="PJW198" s="360"/>
      <c r="PJX198" s="360"/>
      <c r="PJY198" s="360"/>
      <c r="PJZ198" s="360"/>
      <c r="PKA198" s="360"/>
      <c r="PKB198" s="360"/>
      <c r="PKC198" s="360"/>
      <c r="PKD198" s="360"/>
      <c r="PKE198" s="360"/>
      <c r="PKF198" s="360"/>
      <c r="PKG198" s="360"/>
      <c r="PKH198" s="360"/>
      <c r="PKI198" s="360"/>
      <c r="PKJ198" s="360"/>
      <c r="PKK198" s="360"/>
      <c r="PKL198" s="360"/>
      <c r="PKM198" s="360"/>
      <c r="PKN198" s="360"/>
      <c r="PKO198" s="360"/>
      <c r="PKP198" s="360"/>
      <c r="PKQ198" s="360"/>
      <c r="PKR198" s="360"/>
      <c r="PKS198" s="360"/>
      <c r="PKT198" s="360"/>
      <c r="PKU198" s="360"/>
      <c r="PKV198" s="360"/>
      <c r="PKW198" s="360"/>
      <c r="PKX198" s="360"/>
      <c r="PKY198" s="360"/>
      <c r="PKZ198" s="360"/>
      <c r="PLA198" s="360"/>
      <c r="PLB198" s="360"/>
      <c r="PLC198" s="360"/>
      <c r="PLD198" s="360"/>
      <c r="PLE198" s="360"/>
      <c r="PLF198" s="360"/>
      <c r="PLG198" s="360"/>
      <c r="PLH198" s="360"/>
      <c r="PLI198" s="360"/>
      <c r="PLJ198" s="360"/>
      <c r="PLK198" s="360"/>
      <c r="PLL198" s="360"/>
      <c r="PLM198" s="360"/>
      <c r="PLN198" s="360"/>
      <c r="PLO198" s="360"/>
      <c r="PLP198" s="360"/>
      <c r="PLQ198" s="360"/>
      <c r="PLR198" s="360"/>
      <c r="PLS198" s="360"/>
      <c r="PLT198" s="360"/>
      <c r="PLU198" s="360"/>
      <c r="PLV198" s="360"/>
      <c r="PLW198" s="360"/>
      <c r="PLX198" s="360"/>
      <c r="PLY198" s="360"/>
      <c r="PLZ198" s="360"/>
      <c r="PMA198" s="360"/>
      <c r="PMB198" s="360"/>
      <c r="PMC198" s="360"/>
      <c r="PMD198" s="360"/>
      <c r="PME198" s="360"/>
      <c r="PMF198" s="360"/>
      <c r="PMG198" s="360"/>
      <c r="PMH198" s="360"/>
      <c r="PMI198" s="360"/>
      <c r="PMJ198" s="360"/>
      <c r="PMK198" s="360"/>
      <c r="PML198" s="360"/>
      <c r="PMM198" s="360"/>
      <c r="PMN198" s="360"/>
      <c r="PMO198" s="360"/>
      <c r="PMP198" s="360"/>
      <c r="PMQ198" s="360"/>
      <c r="PMR198" s="360"/>
      <c r="PMS198" s="360"/>
      <c r="PMT198" s="360"/>
      <c r="PMU198" s="360"/>
      <c r="PMV198" s="360"/>
      <c r="PMW198" s="360"/>
      <c r="PMX198" s="360"/>
      <c r="PMY198" s="360"/>
      <c r="PMZ198" s="360"/>
      <c r="PNA198" s="360"/>
      <c r="PNB198" s="360"/>
      <c r="PNC198" s="360"/>
      <c r="PND198" s="360"/>
      <c r="PNE198" s="360"/>
      <c r="PNF198" s="360"/>
      <c r="PNG198" s="360"/>
      <c r="PNH198" s="360"/>
      <c r="PNI198" s="360"/>
      <c r="PNJ198" s="360"/>
      <c r="PNK198" s="360"/>
      <c r="PNL198" s="360"/>
      <c r="PNM198" s="360"/>
      <c r="PNN198" s="360"/>
      <c r="PNO198" s="360"/>
      <c r="PNP198" s="360"/>
      <c r="PNQ198" s="360"/>
      <c r="PNR198" s="360"/>
      <c r="PNS198" s="360"/>
      <c r="PNT198" s="360"/>
      <c r="PNU198" s="360"/>
      <c r="PNV198" s="360"/>
      <c r="PNW198" s="360"/>
      <c r="PNX198" s="360"/>
      <c r="PNY198" s="360"/>
      <c r="PNZ198" s="360"/>
      <c r="POA198" s="360"/>
      <c r="POB198" s="360"/>
      <c r="POC198" s="360"/>
      <c r="POD198" s="360"/>
      <c r="POE198" s="360"/>
      <c r="POF198" s="360"/>
      <c r="POG198" s="360"/>
      <c r="POH198" s="360"/>
      <c r="POI198" s="360"/>
      <c r="POJ198" s="360"/>
      <c r="POK198" s="360"/>
      <c r="POL198" s="360"/>
      <c r="POM198" s="360"/>
      <c r="PON198" s="360"/>
      <c r="POO198" s="360"/>
      <c r="POP198" s="360"/>
      <c r="POQ198" s="360"/>
      <c r="POR198" s="360"/>
      <c r="POS198" s="360"/>
      <c r="POT198" s="360"/>
      <c r="POU198" s="360"/>
      <c r="POV198" s="360"/>
      <c r="POW198" s="360"/>
      <c r="POX198" s="360"/>
      <c r="POY198" s="360"/>
      <c r="POZ198" s="360"/>
      <c r="PPA198" s="360"/>
      <c r="PPB198" s="360"/>
      <c r="PPC198" s="360"/>
      <c r="PPD198" s="360"/>
      <c r="PPE198" s="360"/>
      <c r="PPF198" s="360"/>
      <c r="PPG198" s="360"/>
      <c r="PPH198" s="360"/>
      <c r="PPI198" s="360"/>
      <c r="PPJ198" s="360"/>
      <c r="PPK198" s="360"/>
      <c r="PPL198" s="360"/>
      <c r="PPM198" s="360"/>
      <c r="PPN198" s="360"/>
      <c r="PPO198" s="360"/>
      <c r="PPP198" s="360"/>
      <c r="PPQ198" s="360"/>
      <c r="PPR198" s="360"/>
      <c r="PPS198" s="360"/>
      <c r="PPT198" s="360"/>
      <c r="PPU198" s="360"/>
      <c r="PPV198" s="360"/>
      <c r="PPW198" s="360"/>
      <c r="PPX198" s="360"/>
      <c r="PPY198" s="360"/>
      <c r="PPZ198" s="360"/>
      <c r="PQA198" s="360"/>
      <c r="PQB198" s="360"/>
      <c r="PQC198" s="360"/>
      <c r="PQD198" s="360"/>
      <c r="PQE198" s="360"/>
      <c r="PQF198" s="360"/>
      <c r="PQG198" s="360"/>
      <c r="PQH198" s="360"/>
      <c r="PQI198" s="360"/>
      <c r="PQJ198" s="360"/>
      <c r="PQK198" s="360"/>
      <c r="PQL198" s="360"/>
      <c r="PQM198" s="360"/>
      <c r="PQN198" s="360"/>
      <c r="PQO198" s="360"/>
      <c r="PQP198" s="360"/>
      <c r="PQQ198" s="360"/>
      <c r="PQR198" s="360"/>
      <c r="PQS198" s="360"/>
      <c r="PQT198" s="360"/>
      <c r="PQU198" s="360"/>
      <c r="PQV198" s="360"/>
      <c r="PQW198" s="360"/>
      <c r="PQX198" s="360"/>
      <c r="PQY198" s="360"/>
      <c r="PQZ198" s="360"/>
      <c r="PRA198" s="360"/>
      <c r="PRB198" s="360"/>
      <c r="PRC198" s="360"/>
      <c r="PRD198" s="360"/>
      <c r="PRE198" s="360"/>
      <c r="PRF198" s="360"/>
      <c r="PRG198" s="360"/>
      <c r="PRH198" s="360"/>
      <c r="PRI198" s="360"/>
      <c r="PRJ198" s="360"/>
      <c r="PRK198" s="360"/>
      <c r="PRL198" s="360"/>
      <c r="PRM198" s="360"/>
      <c r="PRN198" s="360"/>
      <c r="PRO198" s="360"/>
      <c r="PRP198" s="360"/>
      <c r="PRQ198" s="360"/>
      <c r="PRR198" s="360"/>
      <c r="PRS198" s="360"/>
      <c r="PRT198" s="360"/>
      <c r="PRU198" s="360"/>
      <c r="PRV198" s="360"/>
      <c r="PRW198" s="360"/>
      <c r="PRX198" s="360"/>
      <c r="PRY198" s="360"/>
      <c r="PRZ198" s="360"/>
      <c r="PSA198" s="360"/>
      <c r="PSB198" s="360"/>
      <c r="PSC198" s="360"/>
      <c r="PSD198" s="360"/>
      <c r="PSE198" s="360"/>
      <c r="PSF198" s="360"/>
      <c r="PSG198" s="360"/>
      <c r="PSH198" s="360"/>
      <c r="PSI198" s="360"/>
      <c r="PSJ198" s="360"/>
      <c r="PSK198" s="360"/>
      <c r="PSL198" s="360"/>
      <c r="PSM198" s="360"/>
      <c r="PSN198" s="360"/>
      <c r="PSO198" s="360"/>
      <c r="PSP198" s="360"/>
      <c r="PSQ198" s="360"/>
      <c r="PSR198" s="360"/>
      <c r="PSS198" s="360"/>
      <c r="PST198" s="360"/>
      <c r="PSU198" s="360"/>
      <c r="PSV198" s="360"/>
      <c r="PSW198" s="360"/>
      <c r="PSX198" s="360"/>
      <c r="PSY198" s="360"/>
      <c r="PSZ198" s="360"/>
      <c r="PTA198" s="360"/>
      <c r="PTB198" s="360"/>
      <c r="PTC198" s="360"/>
      <c r="PTD198" s="360"/>
      <c r="PTE198" s="360"/>
      <c r="PTF198" s="360"/>
      <c r="PTG198" s="360"/>
      <c r="PTH198" s="360"/>
      <c r="PTI198" s="360"/>
      <c r="PTJ198" s="360"/>
      <c r="PTK198" s="360"/>
      <c r="PTL198" s="360"/>
      <c r="PTM198" s="360"/>
      <c r="PTN198" s="360"/>
      <c r="PTO198" s="360"/>
      <c r="PTP198" s="360"/>
      <c r="PTQ198" s="360"/>
      <c r="PTR198" s="360"/>
      <c r="PTS198" s="360"/>
      <c r="PTT198" s="360"/>
      <c r="PTU198" s="360"/>
      <c r="PTV198" s="360"/>
      <c r="PTW198" s="360"/>
      <c r="PTX198" s="360"/>
      <c r="PTY198" s="360"/>
      <c r="PTZ198" s="360"/>
      <c r="PUA198" s="360"/>
      <c r="PUB198" s="360"/>
      <c r="PUC198" s="360"/>
      <c r="PUD198" s="360"/>
      <c r="PUE198" s="360"/>
      <c r="PUF198" s="360"/>
      <c r="PUG198" s="360"/>
      <c r="PUH198" s="360"/>
      <c r="PUI198" s="360"/>
      <c r="PUJ198" s="360"/>
      <c r="PUK198" s="360"/>
      <c r="PUL198" s="360"/>
      <c r="PUM198" s="360"/>
      <c r="PUN198" s="360"/>
      <c r="PUO198" s="360"/>
      <c r="PUP198" s="360"/>
      <c r="PUQ198" s="360"/>
      <c r="PUR198" s="360"/>
      <c r="PUS198" s="360"/>
      <c r="PUT198" s="360"/>
      <c r="PUU198" s="360"/>
      <c r="PUV198" s="360"/>
      <c r="PUW198" s="360"/>
      <c r="PUX198" s="360"/>
      <c r="PUY198" s="360"/>
      <c r="PUZ198" s="360"/>
      <c r="PVA198" s="360"/>
      <c r="PVB198" s="360"/>
      <c r="PVC198" s="360"/>
      <c r="PVD198" s="360"/>
      <c r="PVE198" s="360"/>
      <c r="PVF198" s="360"/>
      <c r="PVG198" s="360"/>
      <c r="PVH198" s="360"/>
      <c r="PVI198" s="360"/>
      <c r="PVJ198" s="360"/>
      <c r="PVK198" s="360"/>
      <c r="PVL198" s="360"/>
      <c r="PVM198" s="360"/>
      <c r="PVN198" s="360"/>
      <c r="PVO198" s="360"/>
      <c r="PVP198" s="360"/>
      <c r="PVQ198" s="360"/>
      <c r="PVR198" s="360"/>
      <c r="PVS198" s="360"/>
      <c r="PVT198" s="360"/>
      <c r="PVU198" s="360"/>
      <c r="PVV198" s="360"/>
      <c r="PVW198" s="360"/>
      <c r="PVX198" s="360"/>
      <c r="PVY198" s="360"/>
      <c r="PVZ198" s="360"/>
      <c r="PWA198" s="360"/>
      <c r="PWB198" s="360"/>
      <c r="PWC198" s="360"/>
      <c r="PWD198" s="360"/>
      <c r="PWE198" s="360"/>
      <c r="PWF198" s="360"/>
      <c r="PWG198" s="360"/>
      <c r="PWH198" s="360"/>
      <c r="PWI198" s="360"/>
      <c r="PWJ198" s="360"/>
      <c r="PWK198" s="360"/>
      <c r="PWL198" s="360"/>
      <c r="PWM198" s="360"/>
      <c r="PWN198" s="360"/>
      <c r="PWO198" s="360"/>
      <c r="PWP198" s="360"/>
      <c r="PWQ198" s="360"/>
      <c r="PWR198" s="360"/>
      <c r="PWS198" s="360"/>
      <c r="PWT198" s="360"/>
      <c r="PWU198" s="360"/>
      <c r="PWV198" s="360"/>
      <c r="PWW198" s="360"/>
      <c r="PWX198" s="360"/>
      <c r="PWY198" s="360"/>
      <c r="PWZ198" s="360"/>
      <c r="PXA198" s="360"/>
      <c r="PXB198" s="360"/>
      <c r="PXC198" s="360"/>
      <c r="PXD198" s="360"/>
      <c r="PXE198" s="360"/>
      <c r="PXF198" s="360"/>
      <c r="PXG198" s="360"/>
      <c r="PXH198" s="360"/>
      <c r="PXI198" s="360"/>
      <c r="PXJ198" s="360"/>
      <c r="PXK198" s="360"/>
      <c r="PXL198" s="360"/>
      <c r="PXM198" s="360"/>
      <c r="PXN198" s="360"/>
      <c r="PXO198" s="360"/>
      <c r="PXP198" s="360"/>
      <c r="PXQ198" s="360"/>
      <c r="PXR198" s="360"/>
      <c r="PXS198" s="360"/>
      <c r="PXT198" s="360"/>
      <c r="PXU198" s="360"/>
      <c r="PXV198" s="360"/>
      <c r="PXW198" s="360"/>
      <c r="PXX198" s="360"/>
      <c r="PXY198" s="360"/>
      <c r="PXZ198" s="360"/>
      <c r="PYA198" s="360"/>
      <c r="PYB198" s="360"/>
      <c r="PYC198" s="360"/>
      <c r="PYD198" s="360"/>
      <c r="PYE198" s="360"/>
      <c r="PYF198" s="360"/>
      <c r="PYG198" s="360"/>
      <c r="PYH198" s="360"/>
      <c r="PYI198" s="360"/>
      <c r="PYJ198" s="360"/>
      <c r="PYK198" s="360"/>
      <c r="PYL198" s="360"/>
      <c r="PYM198" s="360"/>
      <c r="PYN198" s="360"/>
      <c r="PYO198" s="360"/>
      <c r="PYP198" s="360"/>
      <c r="PYQ198" s="360"/>
      <c r="PYR198" s="360"/>
      <c r="PYS198" s="360"/>
      <c r="PYT198" s="360"/>
      <c r="PYU198" s="360"/>
      <c r="PYV198" s="360"/>
      <c r="PYW198" s="360"/>
      <c r="PYX198" s="360"/>
      <c r="PYY198" s="360"/>
      <c r="PYZ198" s="360"/>
      <c r="PZA198" s="360"/>
      <c r="PZB198" s="360"/>
      <c r="PZC198" s="360"/>
      <c r="PZD198" s="360"/>
      <c r="PZE198" s="360"/>
      <c r="PZF198" s="360"/>
      <c r="PZG198" s="360"/>
      <c r="PZH198" s="360"/>
      <c r="PZI198" s="360"/>
      <c r="PZJ198" s="360"/>
      <c r="PZK198" s="360"/>
      <c r="PZL198" s="360"/>
      <c r="PZM198" s="360"/>
      <c r="PZN198" s="360"/>
      <c r="PZO198" s="360"/>
      <c r="PZP198" s="360"/>
      <c r="PZQ198" s="360"/>
      <c r="PZR198" s="360"/>
      <c r="PZS198" s="360"/>
      <c r="PZT198" s="360"/>
      <c r="PZU198" s="360"/>
      <c r="PZV198" s="360"/>
      <c r="PZW198" s="360"/>
      <c r="PZX198" s="360"/>
      <c r="PZY198" s="360"/>
      <c r="PZZ198" s="360"/>
      <c r="QAA198" s="360"/>
      <c r="QAB198" s="360"/>
      <c r="QAC198" s="360"/>
      <c r="QAD198" s="360"/>
      <c r="QAE198" s="360"/>
      <c r="QAF198" s="360"/>
      <c r="QAG198" s="360"/>
      <c r="QAH198" s="360"/>
      <c r="QAI198" s="360"/>
      <c r="QAJ198" s="360"/>
      <c r="QAK198" s="360"/>
      <c r="QAL198" s="360"/>
      <c r="QAM198" s="360"/>
      <c r="QAN198" s="360"/>
      <c r="QAO198" s="360"/>
      <c r="QAP198" s="360"/>
      <c r="QAQ198" s="360"/>
      <c r="QAR198" s="360"/>
      <c r="QAS198" s="360"/>
      <c r="QAT198" s="360"/>
      <c r="QAU198" s="360"/>
      <c r="QAV198" s="360"/>
      <c r="QAW198" s="360"/>
      <c r="QAX198" s="360"/>
      <c r="QAY198" s="360"/>
      <c r="QAZ198" s="360"/>
      <c r="QBA198" s="360"/>
      <c r="QBB198" s="360"/>
      <c r="QBC198" s="360"/>
      <c r="QBD198" s="360"/>
      <c r="QBE198" s="360"/>
      <c r="QBF198" s="360"/>
      <c r="QBG198" s="360"/>
      <c r="QBH198" s="360"/>
      <c r="QBI198" s="360"/>
      <c r="QBJ198" s="360"/>
      <c r="QBK198" s="360"/>
      <c r="QBL198" s="360"/>
      <c r="QBM198" s="360"/>
      <c r="QBN198" s="360"/>
      <c r="QBO198" s="360"/>
      <c r="QBP198" s="360"/>
      <c r="QBQ198" s="360"/>
      <c r="QBR198" s="360"/>
      <c r="QBS198" s="360"/>
      <c r="QBT198" s="360"/>
      <c r="QBU198" s="360"/>
      <c r="QBV198" s="360"/>
      <c r="QBW198" s="360"/>
      <c r="QBX198" s="360"/>
      <c r="QBY198" s="360"/>
      <c r="QBZ198" s="360"/>
      <c r="QCA198" s="360"/>
      <c r="QCB198" s="360"/>
      <c r="QCC198" s="360"/>
      <c r="QCD198" s="360"/>
      <c r="QCE198" s="360"/>
      <c r="QCF198" s="360"/>
      <c r="QCG198" s="360"/>
      <c r="QCH198" s="360"/>
      <c r="QCI198" s="360"/>
      <c r="QCJ198" s="360"/>
      <c r="QCK198" s="360"/>
      <c r="QCL198" s="360"/>
      <c r="QCM198" s="360"/>
      <c r="QCN198" s="360"/>
      <c r="QCO198" s="360"/>
      <c r="QCP198" s="360"/>
      <c r="QCQ198" s="360"/>
      <c r="QCR198" s="360"/>
      <c r="QCS198" s="360"/>
      <c r="QCT198" s="360"/>
      <c r="QCU198" s="360"/>
      <c r="QCV198" s="360"/>
      <c r="QCW198" s="360"/>
      <c r="QCX198" s="360"/>
      <c r="QCY198" s="360"/>
      <c r="QCZ198" s="360"/>
      <c r="QDA198" s="360"/>
      <c r="QDB198" s="360"/>
      <c r="QDC198" s="360"/>
      <c r="QDD198" s="360"/>
      <c r="QDE198" s="360"/>
      <c r="QDF198" s="360"/>
      <c r="QDG198" s="360"/>
      <c r="QDH198" s="360"/>
      <c r="QDI198" s="360"/>
      <c r="QDJ198" s="360"/>
      <c r="QDK198" s="360"/>
      <c r="QDL198" s="360"/>
      <c r="QDM198" s="360"/>
      <c r="QDN198" s="360"/>
      <c r="QDO198" s="360"/>
      <c r="QDP198" s="360"/>
      <c r="QDQ198" s="360"/>
      <c r="QDR198" s="360"/>
      <c r="QDS198" s="360"/>
      <c r="QDT198" s="360"/>
      <c r="QDU198" s="360"/>
      <c r="QDV198" s="360"/>
      <c r="QDW198" s="360"/>
      <c r="QDX198" s="360"/>
      <c r="QDY198" s="360"/>
      <c r="QDZ198" s="360"/>
      <c r="QEA198" s="360"/>
      <c r="QEB198" s="360"/>
      <c r="QEC198" s="360"/>
      <c r="QED198" s="360"/>
      <c r="QEE198" s="360"/>
      <c r="QEF198" s="360"/>
      <c r="QEG198" s="360"/>
      <c r="QEH198" s="360"/>
      <c r="QEI198" s="360"/>
      <c r="QEJ198" s="360"/>
      <c r="QEK198" s="360"/>
      <c r="QEL198" s="360"/>
      <c r="QEM198" s="360"/>
      <c r="QEN198" s="360"/>
      <c r="QEO198" s="360"/>
      <c r="QEP198" s="360"/>
      <c r="QEQ198" s="360"/>
      <c r="QER198" s="360"/>
      <c r="QES198" s="360"/>
      <c r="QET198" s="360"/>
      <c r="QEU198" s="360"/>
      <c r="QEV198" s="360"/>
      <c r="QEW198" s="360"/>
      <c r="QEX198" s="360"/>
      <c r="QEY198" s="360"/>
      <c r="QEZ198" s="360"/>
      <c r="QFA198" s="360"/>
      <c r="QFB198" s="360"/>
      <c r="QFC198" s="360"/>
      <c r="QFD198" s="360"/>
      <c r="QFE198" s="360"/>
      <c r="QFF198" s="360"/>
      <c r="QFG198" s="360"/>
      <c r="QFH198" s="360"/>
      <c r="QFI198" s="360"/>
      <c r="QFJ198" s="360"/>
      <c r="QFK198" s="360"/>
      <c r="QFL198" s="360"/>
      <c r="QFM198" s="360"/>
      <c r="QFN198" s="360"/>
      <c r="QFO198" s="360"/>
      <c r="QFP198" s="360"/>
      <c r="QFQ198" s="360"/>
      <c r="QFR198" s="360"/>
      <c r="QFS198" s="360"/>
      <c r="QFT198" s="360"/>
      <c r="QFU198" s="360"/>
      <c r="QFV198" s="360"/>
      <c r="QFW198" s="360"/>
      <c r="QFX198" s="360"/>
      <c r="QFY198" s="360"/>
      <c r="QFZ198" s="360"/>
      <c r="QGA198" s="360"/>
      <c r="QGB198" s="360"/>
      <c r="QGC198" s="360"/>
      <c r="QGD198" s="360"/>
      <c r="QGE198" s="360"/>
      <c r="QGF198" s="360"/>
      <c r="QGG198" s="360"/>
      <c r="QGH198" s="360"/>
      <c r="QGI198" s="360"/>
      <c r="QGJ198" s="360"/>
      <c r="QGK198" s="360"/>
      <c r="QGL198" s="360"/>
      <c r="QGM198" s="360"/>
      <c r="QGN198" s="360"/>
      <c r="QGO198" s="360"/>
      <c r="QGP198" s="360"/>
      <c r="QGQ198" s="360"/>
      <c r="QGR198" s="360"/>
      <c r="QGS198" s="360"/>
      <c r="QGT198" s="360"/>
      <c r="QGU198" s="360"/>
      <c r="QGV198" s="360"/>
      <c r="QGW198" s="360"/>
      <c r="QGX198" s="360"/>
      <c r="QGY198" s="360"/>
      <c r="QGZ198" s="360"/>
      <c r="QHA198" s="360"/>
      <c r="QHB198" s="360"/>
      <c r="QHC198" s="360"/>
      <c r="QHD198" s="360"/>
      <c r="QHE198" s="360"/>
      <c r="QHF198" s="360"/>
      <c r="QHG198" s="360"/>
      <c r="QHH198" s="360"/>
      <c r="QHI198" s="360"/>
      <c r="QHJ198" s="360"/>
      <c r="QHK198" s="360"/>
      <c r="QHL198" s="360"/>
      <c r="QHM198" s="360"/>
      <c r="QHN198" s="360"/>
      <c r="QHO198" s="360"/>
      <c r="QHP198" s="360"/>
      <c r="QHQ198" s="360"/>
      <c r="QHR198" s="360"/>
      <c r="QHS198" s="360"/>
      <c r="QHT198" s="360"/>
      <c r="QHU198" s="360"/>
      <c r="QHV198" s="360"/>
      <c r="QHW198" s="360"/>
      <c r="QHX198" s="360"/>
      <c r="QHY198" s="360"/>
      <c r="QHZ198" s="360"/>
      <c r="QIA198" s="360"/>
      <c r="QIB198" s="360"/>
      <c r="QIC198" s="360"/>
      <c r="QID198" s="360"/>
      <c r="QIE198" s="360"/>
      <c r="QIF198" s="360"/>
      <c r="QIG198" s="360"/>
      <c r="QIH198" s="360"/>
      <c r="QII198" s="360"/>
      <c r="QIJ198" s="360"/>
      <c r="QIK198" s="360"/>
      <c r="QIL198" s="360"/>
      <c r="QIM198" s="360"/>
      <c r="QIN198" s="360"/>
      <c r="QIO198" s="360"/>
      <c r="QIP198" s="360"/>
      <c r="QIQ198" s="360"/>
      <c r="QIR198" s="360"/>
      <c r="QIS198" s="360"/>
      <c r="QIT198" s="360"/>
      <c r="QIU198" s="360"/>
      <c r="QIV198" s="360"/>
      <c r="QIW198" s="360"/>
      <c r="QIX198" s="360"/>
      <c r="QIY198" s="360"/>
      <c r="QIZ198" s="360"/>
      <c r="QJA198" s="360"/>
      <c r="QJB198" s="360"/>
      <c r="QJC198" s="360"/>
      <c r="QJD198" s="360"/>
      <c r="QJE198" s="360"/>
      <c r="QJF198" s="360"/>
      <c r="QJG198" s="360"/>
      <c r="QJH198" s="360"/>
      <c r="QJI198" s="360"/>
      <c r="QJJ198" s="360"/>
      <c r="QJK198" s="360"/>
      <c r="QJL198" s="360"/>
      <c r="QJM198" s="360"/>
      <c r="QJN198" s="360"/>
      <c r="QJO198" s="360"/>
      <c r="QJP198" s="360"/>
      <c r="QJQ198" s="360"/>
      <c r="QJR198" s="360"/>
      <c r="QJS198" s="360"/>
      <c r="QJT198" s="360"/>
      <c r="QJU198" s="360"/>
      <c r="QJV198" s="360"/>
      <c r="QJW198" s="360"/>
      <c r="QJX198" s="360"/>
      <c r="QJY198" s="360"/>
      <c r="QJZ198" s="360"/>
      <c r="QKA198" s="360"/>
      <c r="QKB198" s="360"/>
      <c r="QKC198" s="360"/>
      <c r="QKD198" s="360"/>
      <c r="QKE198" s="360"/>
      <c r="QKF198" s="360"/>
      <c r="QKG198" s="360"/>
      <c r="QKH198" s="360"/>
      <c r="QKI198" s="360"/>
      <c r="QKJ198" s="360"/>
      <c r="QKK198" s="360"/>
      <c r="QKL198" s="360"/>
      <c r="QKM198" s="360"/>
      <c r="QKN198" s="360"/>
      <c r="QKO198" s="360"/>
      <c r="QKP198" s="360"/>
      <c r="QKQ198" s="360"/>
      <c r="QKR198" s="360"/>
      <c r="QKS198" s="360"/>
      <c r="QKT198" s="360"/>
      <c r="QKU198" s="360"/>
      <c r="QKV198" s="360"/>
      <c r="QKW198" s="360"/>
      <c r="QKX198" s="360"/>
      <c r="QKY198" s="360"/>
      <c r="QKZ198" s="360"/>
      <c r="QLA198" s="360"/>
      <c r="QLB198" s="360"/>
      <c r="QLC198" s="360"/>
      <c r="QLD198" s="360"/>
      <c r="QLE198" s="360"/>
      <c r="QLF198" s="360"/>
      <c r="QLG198" s="360"/>
      <c r="QLH198" s="360"/>
      <c r="QLI198" s="360"/>
      <c r="QLJ198" s="360"/>
      <c r="QLK198" s="360"/>
      <c r="QLL198" s="360"/>
      <c r="QLM198" s="360"/>
      <c r="QLN198" s="360"/>
      <c r="QLO198" s="360"/>
      <c r="QLP198" s="360"/>
      <c r="QLQ198" s="360"/>
      <c r="QLR198" s="360"/>
      <c r="QLS198" s="360"/>
      <c r="QLT198" s="360"/>
      <c r="QLU198" s="360"/>
      <c r="QLV198" s="360"/>
      <c r="QLW198" s="360"/>
      <c r="QLX198" s="360"/>
      <c r="QLY198" s="360"/>
      <c r="QLZ198" s="360"/>
      <c r="QMA198" s="360"/>
      <c r="QMB198" s="360"/>
      <c r="QMC198" s="360"/>
      <c r="QMD198" s="360"/>
      <c r="QME198" s="360"/>
      <c r="QMF198" s="360"/>
      <c r="QMG198" s="360"/>
      <c r="QMH198" s="360"/>
      <c r="QMI198" s="360"/>
      <c r="QMJ198" s="360"/>
      <c r="QMK198" s="360"/>
      <c r="QML198" s="360"/>
      <c r="QMM198" s="360"/>
      <c r="QMN198" s="360"/>
      <c r="QMO198" s="360"/>
      <c r="QMP198" s="360"/>
      <c r="QMQ198" s="360"/>
      <c r="QMR198" s="360"/>
      <c r="QMS198" s="360"/>
      <c r="QMT198" s="360"/>
      <c r="QMU198" s="360"/>
      <c r="QMV198" s="360"/>
      <c r="QMW198" s="360"/>
      <c r="QMX198" s="360"/>
      <c r="QMY198" s="360"/>
      <c r="QMZ198" s="360"/>
      <c r="QNA198" s="360"/>
      <c r="QNB198" s="360"/>
      <c r="QNC198" s="360"/>
      <c r="QND198" s="360"/>
      <c r="QNE198" s="360"/>
      <c r="QNF198" s="360"/>
      <c r="QNG198" s="360"/>
      <c r="QNH198" s="360"/>
      <c r="QNI198" s="360"/>
      <c r="QNJ198" s="360"/>
      <c r="QNK198" s="360"/>
      <c r="QNL198" s="360"/>
      <c r="QNM198" s="360"/>
      <c r="QNN198" s="360"/>
      <c r="QNO198" s="360"/>
      <c r="QNP198" s="360"/>
      <c r="QNQ198" s="360"/>
      <c r="QNR198" s="360"/>
      <c r="QNS198" s="360"/>
      <c r="QNT198" s="360"/>
      <c r="QNU198" s="360"/>
      <c r="QNV198" s="360"/>
      <c r="QNW198" s="360"/>
      <c r="QNX198" s="360"/>
      <c r="QNY198" s="360"/>
      <c r="QNZ198" s="360"/>
      <c r="QOA198" s="360"/>
      <c r="QOB198" s="360"/>
      <c r="QOC198" s="360"/>
      <c r="QOD198" s="360"/>
      <c r="QOE198" s="360"/>
      <c r="QOF198" s="360"/>
      <c r="QOG198" s="360"/>
      <c r="QOH198" s="360"/>
      <c r="QOI198" s="360"/>
      <c r="QOJ198" s="360"/>
      <c r="QOK198" s="360"/>
      <c r="QOL198" s="360"/>
      <c r="QOM198" s="360"/>
      <c r="QON198" s="360"/>
      <c r="QOO198" s="360"/>
      <c r="QOP198" s="360"/>
      <c r="QOQ198" s="360"/>
      <c r="QOR198" s="360"/>
      <c r="QOS198" s="360"/>
      <c r="QOT198" s="360"/>
      <c r="QOU198" s="360"/>
      <c r="QOV198" s="360"/>
      <c r="QOW198" s="360"/>
      <c r="QOX198" s="360"/>
      <c r="QOY198" s="360"/>
      <c r="QOZ198" s="360"/>
      <c r="QPA198" s="360"/>
      <c r="QPB198" s="360"/>
      <c r="QPC198" s="360"/>
      <c r="QPD198" s="360"/>
      <c r="QPE198" s="360"/>
      <c r="QPF198" s="360"/>
      <c r="QPG198" s="360"/>
      <c r="QPH198" s="360"/>
      <c r="QPI198" s="360"/>
      <c r="QPJ198" s="360"/>
      <c r="QPK198" s="360"/>
      <c r="QPL198" s="360"/>
      <c r="QPM198" s="360"/>
      <c r="QPN198" s="360"/>
      <c r="QPO198" s="360"/>
      <c r="QPP198" s="360"/>
      <c r="QPQ198" s="360"/>
      <c r="QPR198" s="360"/>
      <c r="QPS198" s="360"/>
      <c r="QPT198" s="360"/>
      <c r="QPU198" s="360"/>
      <c r="QPV198" s="360"/>
      <c r="QPW198" s="360"/>
      <c r="QPX198" s="360"/>
      <c r="QPY198" s="360"/>
      <c r="QPZ198" s="360"/>
      <c r="QQA198" s="360"/>
      <c r="QQB198" s="360"/>
      <c r="QQC198" s="360"/>
      <c r="QQD198" s="360"/>
      <c r="QQE198" s="360"/>
      <c r="QQF198" s="360"/>
      <c r="QQG198" s="360"/>
      <c r="QQH198" s="360"/>
      <c r="QQI198" s="360"/>
      <c r="QQJ198" s="360"/>
      <c r="QQK198" s="360"/>
      <c r="QQL198" s="360"/>
      <c r="QQM198" s="360"/>
      <c r="QQN198" s="360"/>
      <c r="QQO198" s="360"/>
      <c r="QQP198" s="360"/>
      <c r="QQQ198" s="360"/>
      <c r="QQR198" s="360"/>
      <c r="QQS198" s="360"/>
      <c r="QQT198" s="360"/>
      <c r="QQU198" s="360"/>
      <c r="QQV198" s="360"/>
      <c r="QQW198" s="360"/>
      <c r="QQX198" s="360"/>
      <c r="QQY198" s="360"/>
      <c r="QQZ198" s="360"/>
      <c r="QRA198" s="360"/>
      <c r="QRB198" s="360"/>
      <c r="QRC198" s="360"/>
      <c r="QRD198" s="360"/>
      <c r="QRE198" s="360"/>
      <c r="QRF198" s="360"/>
      <c r="QRG198" s="360"/>
      <c r="QRH198" s="360"/>
      <c r="QRI198" s="360"/>
      <c r="QRJ198" s="360"/>
      <c r="QRK198" s="360"/>
      <c r="QRL198" s="360"/>
      <c r="QRM198" s="360"/>
      <c r="QRN198" s="360"/>
      <c r="QRO198" s="360"/>
      <c r="QRP198" s="360"/>
      <c r="QRQ198" s="360"/>
      <c r="QRR198" s="360"/>
      <c r="QRS198" s="360"/>
      <c r="QRT198" s="360"/>
      <c r="QRU198" s="360"/>
      <c r="QRV198" s="360"/>
      <c r="QRW198" s="360"/>
      <c r="QRX198" s="360"/>
      <c r="QRY198" s="360"/>
      <c r="QRZ198" s="360"/>
      <c r="QSA198" s="360"/>
      <c r="QSB198" s="360"/>
      <c r="QSC198" s="360"/>
      <c r="QSD198" s="360"/>
      <c r="QSE198" s="360"/>
      <c r="QSF198" s="360"/>
      <c r="QSG198" s="360"/>
      <c r="QSH198" s="360"/>
      <c r="QSI198" s="360"/>
      <c r="QSJ198" s="360"/>
      <c r="QSK198" s="360"/>
      <c r="QSL198" s="360"/>
      <c r="QSM198" s="360"/>
      <c r="QSN198" s="360"/>
      <c r="QSO198" s="360"/>
      <c r="QSP198" s="360"/>
      <c r="QSQ198" s="360"/>
      <c r="QSR198" s="360"/>
      <c r="QSS198" s="360"/>
      <c r="QST198" s="360"/>
      <c r="QSU198" s="360"/>
      <c r="QSV198" s="360"/>
      <c r="QSW198" s="360"/>
      <c r="QSX198" s="360"/>
      <c r="QSY198" s="360"/>
      <c r="QSZ198" s="360"/>
      <c r="QTA198" s="360"/>
      <c r="QTB198" s="360"/>
      <c r="QTC198" s="360"/>
      <c r="QTD198" s="360"/>
      <c r="QTE198" s="360"/>
      <c r="QTF198" s="360"/>
      <c r="QTG198" s="360"/>
      <c r="QTH198" s="360"/>
      <c r="QTI198" s="360"/>
      <c r="QTJ198" s="360"/>
      <c r="QTK198" s="360"/>
      <c r="QTL198" s="360"/>
      <c r="QTM198" s="360"/>
      <c r="QTN198" s="360"/>
      <c r="QTO198" s="360"/>
      <c r="QTP198" s="360"/>
      <c r="QTQ198" s="360"/>
      <c r="QTR198" s="360"/>
      <c r="QTS198" s="360"/>
      <c r="QTT198" s="360"/>
      <c r="QTU198" s="360"/>
      <c r="QTV198" s="360"/>
      <c r="QTW198" s="360"/>
      <c r="QTX198" s="360"/>
      <c r="QTY198" s="360"/>
      <c r="QTZ198" s="360"/>
      <c r="QUA198" s="360"/>
      <c r="QUB198" s="360"/>
      <c r="QUC198" s="360"/>
      <c r="QUD198" s="360"/>
      <c r="QUE198" s="360"/>
      <c r="QUF198" s="360"/>
      <c r="QUG198" s="360"/>
      <c r="QUH198" s="360"/>
      <c r="QUI198" s="360"/>
      <c r="QUJ198" s="360"/>
      <c r="QUK198" s="360"/>
      <c r="QUL198" s="360"/>
      <c r="QUM198" s="360"/>
      <c r="QUN198" s="360"/>
      <c r="QUO198" s="360"/>
      <c r="QUP198" s="360"/>
      <c r="QUQ198" s="360"/>
      <c r="QUR198" s="360"/>
      <c r="QUS198" s="360"/>
      <c r="QUT198" s="360"/>
      <c r="QUU198" s="360"/>
      <c r="QUV198" s="360"/>
      <c r="QUW198" s="360"/>
      <c r="QUX198" s="360"/>
      <c r="QUY198" s="360"/>
      <c r="QUZ198" s="360"/>
      <c r="QVA198" s="360"/>
      <c r="QVB198" s="360"/>
      <c r="QVC198" s="360"/>
      <c r="QVD198" s="360"/>
      <c r="QVE198" s="360"/>
      <c r="QVF198" s="360"/>
      <c r="QVG198" s="360"/>
      <c r="QVH198" s="360"/>
      <c r="QVI198" s="360"/>
      <c r="QVJ198" s="360"/>
      <c r="QVK198" s="360"/>
      <c r="QVL198" s="360"/>
      <c r="QVM198" s="360"/>
      <c r="QVN198" s="360"/>
      <c r="QVO198" s="360"/>
      <c r="QVP198" s="360"/>
      <c r="QVQ198" s="360"/>
      <c r="QVR198" s="360"/>
      <c r="QVS198" s="360"/>
      <c r="QVT198" s="360"/>
      <c r="QVU198" s="360"/>
      <c r="QVV198" s="360"/>
      <c r="QVW198" s="360"/>
      <c r="QVX198" s="360"/>
      <c r="QVY198" s="360"/>
      <c r="QVZ198" s="360"/>
      <c r="QWA198" s="360"/>
      <c r="QWB198" s="360"/>
      <c r="QWC198" s="360"/>
      <c r="QWD198" s="360"/>
      <c r="QWE198" s="360"/>
      <c r="QWF198" s="360"/>
      <c r="QWG198" s="360"/>
      <c r="QWH198" s="360"/>
      <c r="QWI198" s="360"/>
      <c r="QWJ198" s="360"/>
      <c r="QWK198" s="360"/>
      <c r="QWL198" s="360"/>
      <c r="QWM198" s="360"/>
      <c r="QWN198" s="360"/>
      <c r="QWO198" s="360"/>
      <c r="QWP198" s="360"/>
      <c r="QWQ198" s="360"/>
      <c r="QWR198" s="360"/>
      <c r="QWS198" s="360"/>
      <c r="QWT198" s="360"/>
      <c r="QWU198" s="360"/>
      <c r="QWV198" s="360"/>
      <c r="QWW198" s="360"/>
      <c r="QWX198" s="360"/>
      <c r="QWY198" s="360"/>
      <c r="QWZ198" s="360"/>
      <c r="QXA198" s="360"/>
      <c r="QXB198" s="360"/>
      <c r="QXC198" s="360"/>
      <c r="QXD198" s="360"/>
      <c r="QXE198" s="360"/>
      <c r="QXF198" s="360"/>
      <c r="QXG198" s="360"/>
      <c r="QXH198" s="360"/>
      <c r="QXI198" s="360"/>
      <c r="QXJ198" s="360"/>
      <c r="QXK198" s="360"/>
      <c r="QXL198" s="360"/>
      <c r="QXM198" s="360"/>
      <c r="QXN198" s="360"/>
      <c r="QXO198" s="360"/>
      <c r="QXP198" s="360"/>
      <c r="QXQ198" s="360"/>
      <c r="QXR198" s="360"/>
      <c r="QXS198" s="360"/>
      <c r="QXT198" s="360"/>
      <c r="QXU198" s="360"/>
      <c r="QXV198" s="360"/>
      <c r="QXW198" s="360"/>
      <c r="QXX198" s="360"/>
      <c r="QXY198" s="360"/>
      <c r="QXZ198" s="360"/>
      <c r="QYA198" s="360"/>
      <c r="QYB198" s="360"/>
      <c r="QYC198" s="360"/>
      <c r="QYD198" s="360"/>
      <c r="QYE198" s="360"/>
      <c r="QYF198" s="360"/>
      <c r="QYG198" s="360"/>
      <c r="QYH198" s="360"/>
      <c r="QYI198" s="360"/>
      <c r="QYJ198" s="360"/>
      <c r="QYK198" s="360"/>
      <c r="QYL198" s="360"/>
      <c r="QYM198" s="360"/>
      <c r="QYN198" s="360"/>
      <c r="QYO198" s="360"/>
      <c r="QYP198" s="360"/>
      <c r="QYQ198" s="360"/>
      <c r="QYR198" s="360"/>
      <c r="QYS198" s="360"/>
      <c r="QYT198" s="360"/>
      <c r="QYU198" s="360"/>
      <c r="QYV198" s="360"/>
      <c r="QYW198" s="360"/>
      <c r="QYX198" s="360"/>
      <c r="QYY198" s="360"/>
      <c r="QYZ198" s="360"/>
      <c r="QZA198" s="360"/>
      <c r="QZB198" s="360"/>
      <c r="QZC198" s="360"/>
      <c r="QZD198" s="360"/>
      <c r="QZE198" s="360"/>
      <c r="QZF198" s="360"/>
      <c r="QZG198" s="360"/>
      <c r="QZH198" s="360"/>
      <c r="QZI198" s="360"/>
      <c r="QZJ198" s="360"/>
      <c r="QZK198" s="360"/>
      <c r="QZL198" s="360"/>
      <c r="QZM198" s="360"/>
      <c r="QZN198" s="360"/>
      <c r="QZO198" s="360"/>
      <c r="QZP198" s="360"/>
      <c r="QZQ198" s="360"/>
      <c r="QZR198" s="360"/>
      <c r="QZS198" s="360"/>
      <c r="QZT198" s="360"/>
      <c r="QZU198" s="360"/>
      <c r="QZV198" s="360"/>
      <c r="QZW198" s="360"/>
      <c r="QZX198" s="360"/>
      <c r="QZY198" s="360"/>
      <c r="QZZ198" s="360"/>
      <c r="RAA198" s="360"/>
      <c r="RAB198" s="360"/>
      <c r="RAC198" s="360"/>
      <c r="RAD198" s="360"/>
      <c r="RAE198" s="360"/>
      <c r="RAF198" s="360"/>
      <c r="RAG198" s="360"/>
      <c r="RAH198" s="360"/>
      <c r="RAI198" s="360"/>
      <c r="RAJ198" s="360"/>
      <c r="RAK198" s="360"/>
      <c r="RAL198" s="360"/>
      <c r="RAM198" s="360"/>
      <c r="RAN198" s="360"/>
      <c r="RAO198" s="360"/>
      <c r="RAP198" s="360"/>
      <c r="RAQ198" s="360"/>
      <c r="RAR198" s="360"/>
      <c r="RAS198" s="360"/>
      <c r="RAT198" s="360"/>
      <c r="RAU198" s="360"/>
      <c r="RAV198" s="360"/>
      <c r="RAW198" s="360"/>
      <c r="RAX198" s="360"/>
      <c r="RAY198" s="360"/>
      <c r="RAZ198" s="360"/>
      <c r="RBA198" s="360"/>
      <c r="RBB198" s="360"/>
      <c r="RBC198" s="360"/>
      <c r="RBD198" s="360"/>
      <c r="RBE198" s="360"/>
      <c r="RBF198" s="360"/>
      <c r="RBG198" s="360"/>
      <c r="RBH198" s="360"/>
      <c r="RBI198" s="360"/>
      <c r="RBJ198" s="360"/>
      <c r="RBK198" s="360"/>
      <c r="RBL198" s="360"/>
      <c r="RBM198" s="360"/>
      <c r="RBN198" s="360"/>
      <c r="RBO198" s="360"/>
      <c r="RBP198" s="360"/>
      <c r="RBQ198" s="360"/>
      <c r="RBR198" s="360"/>
      <c r="RBS198" s="360"/>
      <c r="RBT198" s="360"/>
      <c r="RBU198" s="360"/>
      <c r="RBV198" s="360"/>
      <c r="RBW198" s="360"/>
      <c r="RBX198" s="360"/>
      <c r="RBY198" s="360"/>
      <c r="RBZ198" s="360"/>
      <c r="RCA198" s="360"/>
      <c r="RCB198" s="360"/>
      <c r="RCC198" s="360"/>
      <c r="RCD198" s="360"/>
      <c r="RCE198" s="360"/>
      <c r="RCF198" s="360"/>
      <c r="RCG198" s="360"/>
      <c r="RCH198" s="360"/>
      <c r="RCI198" s="360"/>
      <c r="RCJ198" s="360"/>
      <c r="RCK198" s="360"/>
      <c r="RCL198" s="360"/>
      <c r="RCM198" s="360"/>
      <c r="RCN198" s="360"/>
      <c r="RCO198" s="360"/>
      <c r="RCP198" s="360"/>
      <c r="RCQ198" s="360"/>
      <c r="RCR198" s="360"/>
      <c r="RCS198" s="360"/>
      <c r="RCT198" s="360"/>
      <c r="RCU198" s="360"/>
      <c r="RCV198" s="360"/>
      <c r="RCW198" s="360"/>
      <c r="RCX198" s="360"/>
      <c r="RCY198" s="360"/>
      <c r="RCZ198" s="360"/>
      <c r="RDA198" s="360"/>
      <c r="RDB198" s="360"/>
      <c r="RDC198" s="360"/>
      <c r="RDD198" s="360"/>
      <c r="RDE198" s="360"/>
      <c r="RDF198" s="360"/>
      <c r="RDG198" s="360"/>
      <c r="RDH198" s="360"/>
      <c r="RDI198" s="360"/>
      <c r="RDJ198" s="360"/>
      <c r="RDK198" s="360"/>
      <c r="RDL198" s="360"/>
      <c r="RDM198" s="360"/>
      <c r="RDN198" s="360"/>
      <c r="RDO198" s="360"/>
      <c r="RDP198" s="360"/>
      <c r="RDQ198" s="360"/>
      <c r="RDR198" s="360"/>
      <c r="RDS198" s="360"/>
      <c r="RDT198" s="360"/>
      <c r="RDU198" s="360"/>
      <c r="RDV198" s="360"/>
      <c r="RDW198" s="360"/>
      <c r="RDX198" s="360"/>
      <c r="RDY198" s="360"/>
      <c r="RDZ198" s="360"/>
      <c r="REA198" s="360"/>
      <c r="REB198" s="360"/>
      <c r="REC198" s="360"/>
      <c r="RED198" s="360"/>
      <c r="REE198" s="360"/>
      <c r="REF198" s="360"/>
      <c r="REG198" s="360"/>
      <c r="REH198" s="360"/>
      <c r="REI198" s="360"/>
      <c r="REJ198" s="360"/>
      <c r="REK198" s="360"/>
      <c r="REL198" s="360"/>
      <c r="REM198" s="360"/>
      <c r="REN198" s="360"/>
      <c r="REO198" s="360"/>
      <c r="REP198" s="360"/>
      <c r="REQ198" s="360"/>
      <c r="RER198" s="360"/>
      <c r="RES198" s="360"/>
      <c r="RET198" s="360"/>
      <c r="REU198" s="360"/>
      <c r="REV198" s="360"/>
      <c r="REW198" s="360"/>
      <c r="REX198" s="360"/>
      <c r="REY198" s="360"/>
      <c r="REZ198" s="360"/>
      <c r="RFA198" s="360"/>
      <c r="RFB198" s="360"/>
      <c r="RFC198" s="360"/>
      <c r="RFD198" s="360"/>
      <c r="RFE198" s="360"/>
      <c r="RFF198" s="360"/>
      <c r="RFG198" s="360"/>
      <c r="RFH198" s="360"/>
      <c r="RFI198" s="360"/>
      <c r="RFJ198" s="360"/>
      <c r="RFK198" s="360"/>
      <c r="RFL198" s="360"/>
      <c r="RFM198" s="360"/>
      <c r="RFN198" s="360"/>
      <c r="RFO198" s="360"/>
      <c r="RFP198" s="360"/>
      <c r="RFQ198" s="360"/>
      <c r="RFR198" s="360"/>
      <c r="RFS198" s="360"/>
      <c r="RFT198" s="360"/>
      <c r="RFU198" s="360"/>
      <c r="RFV198" s="360"/>
      <c r="RFW198" s="360"/>
      <c r="RFX198" s="360"/>
      <c r="RFY198" s="360"/>
      <c r="RFZ198" s="360"/>
      <c r="RGA198" s="360"/>
      <c r="RGB198" s="360"/>
      <c r="RGC198" s="360"/>
      <c r="RGD198" s="360"/>
      <c r="RGE198" s="360"/>
      <c r="RGF198" s="360"/>
      <c r="RGG198" s="360"/>
      <c r="RGH198" s="360"/>
      <c r="RGI198" s="360"/>
      <c r="RGJ198" s="360"/>
      <c r="RGK198" s="360"/>
      <c r="RGL198" s="360"/>
      <c r="RGM198" s="360"/>
      <c r="RGN198" s="360"/>
      <c r="RGO198" s="360"/>
      <c r="RGP198" s="360"/>
      <c r="RGQ198" s="360"/>
      <c r="RGR198" s="360"/>
      <c r="RGS198" s="360"/>
      <c r="RGT198" s="360"/>
      <c r="RGU198" s="360"/>
      <c r="RGV198" s="360"/>
      <c r="RGW198" s="360"/>
      <c r="RGX198" s="360"/>
      <c r="RGY198" s="360"/>
      <c r="RGZ198" s="360"/>
      <c r="RHA198" s="360"/>
      <c r="RHB198" s="360"/>
      <c r="RHC198" s="360"/>
      <c r="RHD198" s="360"/>
      <c r="RHE198" s="360"/>
      <c r="RHF198" s="360"/>
      <c r="RHG198" s="360"/>
      <c r="RHH198" s="360"/>
      <c r="RHI198" s="360"/>
      <c r="RHJ198" s="360"/>
      <c r="RHK198" s="360"/>
      <c r="RHL198" s="360"/>
      <c r="RHM198" s="360"/>
      <c r="RHN198" s="360"/>
      <c r="RHO198" s="360"/>
      <c r="RHP198" s="360"/>
      <c r="RHQ198" s="360"/>
      <c r="RHR198" s="360"/>
      <c r="RHS198" s="360"/>
      <c r="RHT198" s="360"/>
      <c r="RHU198" s="360"/>
      <c r="RHV198" s="360"/>
      <c r="RHW198" s="360"/>
      <c r="RHX198" s="360"/>
      <c r="RHY198" s="360"/>
      <c r="RHZ198" s="360"/>
      <c r="RIA198" s="360"/>
      <c r="RIB198" s="360"/>
      <c r="RIC198" s="360"/>
      <c r="RID198" s="360"/>
      <c r="RIE198" s="360"/>
      <c r="RIF198" s="360"/>
      <c r="RIG198" s="360"/>
      <c r="RIH198" s="360"/>
      <c r="RII198" s="360"/>
      <c r="RIJ198" s="360"/>
      <c r="RIK198" s="360"/>
      <c r="RIL198" s="360"/>
      <c r="RIM198" s="360"/>
      <c r="RIN198" s="360"/>
      <c r="RIO198" s="360"/>
      <c r="RIP198" s="360"/>
      <c r="RIQ198" s="360"/>
      <c r="RIR198" s="360"/>
      <c r="RIS198" s="360"/>
      <c r="RIT198" s="360"/>
      <c r="RIU198" s="360"/>
      <c r="RIV198" s="360"/>
      <c r="RIW198" s="360"/>
      <c r="RIX198" s="360"/>
      <c r="RIY198" s="360"/>
      <c r="RIZ198" s="360"/>
      <c r="RJA198" s="360"/>
      <c r="RJB198" s="360"/>
      <c r="RJC198" s="360"/>
      <c r="RJD198" s="360"/>
      <c r="RJE198" s="360"/>
      <c r="RJF198" s="360"/>
      <c r="RJG198" s="360"/>
      <c r="RJH198" s="360"/>
      <c r="RJI198" s="360"/>
      <c r="RJJ198" s="360"/>
      <c r="RJK198" s="360"/>
      <c r="RJL198" s="360"/>
      <c r="RJM198" s="360"/>
      <c r="RJN198" s="360"/>
      <c r="RJO198" s="360"/>
      <c r="RJP198" s="360"/>
      <c r="RJQ198" s="360"/>
      <c r="RJR198" s="360"/>
      <c r="RJS198" s="360"/>
      <c r="RJT198" s="360"/>
      <c r="RJU198" s="360"/>
      <c r="RJV198" s="360"/>
      <c r="RJW198" s="360"/>
      <c r="RJX198" s="360"/>
      <c r="RJY198" s="360"/>
      <c r="RJZ198" s="360"/>
      <c r="RKA198" s="360"/>
      <c r="RKB198" s="360"/>
      <c r="RKC198" s="360"/>
      <c r="RKD198" s="360"/>
      <c r="RKE198" s="360"/>
      <c r="RKF198" s="360"/>
      <c r="RKG198" s="360"/>
      <c r="RKH198" s="360"/>
      <c r="RKI198" s="360"/>
      <c r="RKJ198" s="360"/>
      <c r="RKK198" s="360"/>
      <c r="RKL198" s="360"/>
      <c r="RKM198" s="360"/>
      <c r="RKN198" s="360"/>
      <c r="RKO198" s="360"/>
      <c r="RKP198" s="360"/>
      <c r="RKQ198" s="360"/>
      <c r="RKR198" s="360"/>
      <c r="RKS198" s="360"/>
      <c r="RKT198" s="360"/>
      <c r="RKU198" s="360"/>
      <c r="RKV198" s="360"/>
      <c r="RKW198" s="360"/>
      <c r="RKX198" s="360"/>
      <c r="RKY198" s="360"/>
      <c r="RKZ198" s="360"/>
      <c r="RLA198" s="360"/>
      <c r="RLB198" s="360"/>
      <c r="RLC198" s="360"/>
      <c r="RLD198" s="360"/>
      <c r="RLE198" s="360"/>
      <c r="RLF198" s="360"/>
      <c r="RLG198" s="360"/>
      <c r="RLH198" s="360"/>
      <c r="RLI198" s="360"/>
      <c r="RLJ198" s="360"/>
      <c r="RLK198" s="360"/>
      <c r="RLL198" s="360"/>
      <c r="RLM198" s="360"/>
      <c r="RLN198" s="360"/>
      <c r="RLO198" s="360"/>
      <c r="RLP198" s="360"/>
      <c r="RLQ198" s="360"/>
      <c r="RLR198" s="360"/>
      <c r="RLS198" s="360"/>
      <c r="RLT198" s="360"/>
      <c r="RLU198" s="360"/>
      <c r="RLV198" s="360"/>
      <c r="RLW198" s="360"/>
      <c r="RLX198" s="360"/>
      <c r="RLY198" s="360"/>
      <c r="RLZ198" s="360"/>
      <c r="RMA198" s="360"/>
      <c r="RMB198" s="360"/>
      <c r="RMC198" s="360"/>
      <c r="RMD198" s="360"/>
      <c r="RME198" s="360"/>
      <c r="RMF198" s="360"/>
      <c r="RMG198" s="360"/>
      <c r="RMH198" s="360"/>
      <c r="RMI198" s="360"/>
      <c r="RMJ198" s="360"/>
      <c r="RMK198" s="360"/>
      <c r="RML198" s="360"/>
      <c r="RMM198" s="360"/>
      <c r="RMN198" s="360"/>
      <c r="RMO198" s="360"/>
      <c r="RMP198" s="360"/>
      <c r="RMQ198" s="360"/>
      <c r="RMR198" s="360"/>
      <c r="RMS198" s="360"/>
      <c r="RMT198" s="360"/>
      <c r="RMU198" s="360"/>
      <c r="RMV198" s="360"/>
      <c r="RMW198" s="360"/>
      <c r="RMX198" s="360"/>
      <c r="RMY198" s="360"/>
      <c r="RMZ198" s="360"/>
      <c r="RNA198" s="360"/>
      <c r="RNB198" s="360"/>
      <c r="RNC198" s="360"/>
      <c r="RND198" s="360"/>
      <c r="RNE198" s="360"/>
      <c r="RNF198" s="360"/>
      <c r="RNG198" s="360"/>
      <c r="RNH198" s="360"/>
      <c r="RNI198" s="360"/>
      <c r="RNJ198" s="360"/>
      <c r="RNK198" s="360"/>
      <c r="RNL198" s="360"/>
      <c r="RNM198" s="360"/>
      <c r="RNN198" s="360"/>
      <c r="RNO198" s="360"/>
      <c r="RNP198" s="360"/>
      <c r="RNQ198" s="360"/>
      <c r="RNR198" s="360"/>
      <c r="RNS198" s="360"/>
      <c r="RNT198" s="360"/>
      <c r="RNU198" s="360"/>
      <c r="RNV198" s="360"/>
      <c r="RNW198" s="360"/>
      <c r="RNX198" s="360"/>
      <c r="RNY198" s="360"/>
      <c r="RNZ198" s="360"/>
      <c r="ROA198" s="360"/>
      <c r="ROB198" s="360"/>
      <c r="ROC198" s="360"/>
      <c r="ROD198" s="360"/>
      <c r="ROE198" s="360"/>
      <c r="ROF198" s="360"/>
      <c r="ROG198" s="360"/>
      <c r="ROH198" s="360"/>
      <c r="ROI198" s="360"/>
      <c r="ROJ198" s="360"/>
      <c r="ROK198" s="360"/>
      <c r="ROL198" s="360"/>
      <c r="ROM198" s="360"/>
      <c r="RON198" s="360"/>
      <c r="ROO198" s="360"/>
      <c r="ROP198" s="360"/>
      <c r="ROQ198" s="360"/>
      <c r="ROR198" s="360"/>
      <c r="ROS198" s="360"/>
      <c r="ROT198" s="360"/>
      <c r="ROU198" s="360"/>
      <c r="ROV198" s="360"/>
      <c r="ROW198" s="360"/>
      <c r="ROX198" s="360"/>
      <c r="ROY198" s="360"/>
      <c r="ROZ198" s="360"/>
      <c r="RPA198" s="360"/>
      <c r="RPB198" s="360"/>
      <c r="RPC198" s="360"/>
      <c r="RPD198" s="360"/>
      <c r="RPE198" s="360"/>
      <c r="RPF198" s="360"/>
      <c r="RPG198" s="360"/>
      <c r="RPH198" s="360"/>
      <c r="RPI198" s="360"/>
      <c r="RPJ198" s="360"/>
      <c r="RPK198" s="360"/>
      <c r="RPL198" s="360"/>
      <c r="RPM198" s="360"/>
      <c r="RPN198" s="360"/>
      <c r="RPO198" s="360"/>
      <c r="RPP198" s="360"/>
      <c r="RPQ198" s="360"/>
      <c r="RPR198" s="360"/>
      <c r="RPS198" s="360"/>
      <c r="RPT198" s="360"/>
      <c r="RPU198" s="360"/>
      <c r="RPV198" s="360"/>
      <c r="RPW198" s="360"/>
      <c r="RPX198" s="360"/>
      <c r="RPY198" s="360"/>
      <c r="RPZ198" s="360"/>
      <c r="RQA198" s="360"/>
      <c r="RQB198" s="360"/>
      <c r="RQC198" s="360"/>
      <c r="RQD198" s="360"/>
      <c r="RQE198" s="360"/>
      <c r="RQF198" s="360"/>
      <c r="RQG198" s="360"/>
      <c r="RQH198" s="360"/>
      <c r="RQI198" s="360"/>
      <c r="RQJ198" s="360"/>
      <c r="RQK198" s="360"/>
      <c r="RQL198" s="360"/>
      <c r="RQM198" s="360"/>
      <c r="RQN198" s="360"/>
      <c r="RQO198" s="360"/>
      <c r="RQP198" s="360"/>
      <c r="RQQ198" s="360"/>
      <c r="RQR198" s="360"/>
      <c r="RQS198" s="360"/>
      <c r="RQT198" s="360"/>
      <c r="RQU198" s="360"/>
      <c r="RQV198" s="360"/>
      <c r="RQW198" s="360"/>
      <c r="RQX198" s="360"/>
      <c r="RQY198" s="360"/>
      <c r="RQZ198" s="360"/>
      <c r="RRA198" s="360"/>
      <c r="RRB198" s="360"/>
      <c r="RRC198" s="360"/>
      <c r="RRD198" s="360"/>
      <c r="RRE198" s="360"/>
      <c r="RRF198" s="360"/>
      <c r="RRG198" s="360"/>
      <c r="RRH198" s="360"/>
      <c r="RRI198" s="360"/>
      <c r="RRJ198" s="360"/>
      <c r="RRK198" s="360"/>
      <c r="RRL198" s="360"/>
      <c r="RRM198" s="360"/>
      <c r="RRN198" s="360"/>
      <c r="RRO198" s="360"/>
      <c r="RRP198" s="360"/>
      <c r="RRQ198" s="360"/>
      <c r="RRR198" s="360"/>
      <c r="RRS198" s="360"/>
      <c r="RRT198" s="360"/>
      <c r="RRU198" s="360"/>
      <c r="RRV198" s="360"/>
      <c r="RRW198" s="360"/>
      <c r="RRX198" s="360"/>
      <c r="RRY198" s="360"/>
      <c r="RRZ198" s="360"/>
      <c r="RSA198" s="360"/>
      <c r="RSB198" s="360"/>
      <c r="RSC198" s="360"/>
      <c r="RSD198" s="360"/>
      <c r="RSE198" s="360"/>
      <c r="RSF198" s="360"/>
      <c r="RSG198" s="360"/>
      <c r="RSH198" s="360"/>
      <c r="RSI198" s="360"/>
      <c r="RSJ198" s="360"/>
      <c r="RSK198" s="360"/>
      <c r="RSL198" s="360"/>
      <c r="RSM198" s="360"/>
      <c r="RSN198" s="360"/>
      <c r="RSO198" s="360"/>
      <c r="RSP198" s="360"/>
      <c r="RSQ198" s="360"/>
      <c r="RSR198" s="360"/>
      <c r="RSS198" s="360"/>
      <c r="RST198" s="360"/>
      <c r="RSU198" s="360"/>
      <c r="RSV198" s="360"/>
      <c r="RSW198" s="360"/>
      <c r="RSX198" s="360"/>
      <c r="RSY198" s="360"/>
      <c r="RSZ198" s="360"/>
      <c r="RTA198" s="360"/>
      <c r="RTB198" s="360"/>
      <c r="RTC198" s="360"/>
      <c r="RTD198" s="360"/>
      <c r="RTE198" s="360"/>
      <c r="RTF198" s="360"/>
      <c r="RTG198" s="360"/>
      <c r="RTH198" s="360"/>
      <c r="RTI198" s="360"/>
      <c r="RTJ198" s="360"/>
      <c r="RTK198" s="360"/>
      <c r="RTL198" s="360"/>
      <c r="RTM198" s="360"/>
      <c r="RTN198" s="360"/>
      <c r="RTO198" s="360"/>
      <c r="RTP198" s="360"/>
      <c r="RTQ198" s="360"/>
      <c r="RTR198" s="360"/>
      <c r="RTS198" s="360"/>
      <c r="RTT198" s="360"/>
      <c r="RTU198" s="360"/>
      <c r="RTV198" s="360"/>
      <c r="RTW198" s="360"/>
      <c r="RTX198" s="360"/>
      <c r="RTY198" s="360"/>
      <c r="RTZ198" s="360"/>
      <c r="RUA198" s="360"/>
      <c r="RUB198" s="360"/>
      <c r="RUC198" s="360"/>
      <c r="RUD198" s="360"/>
      <c r="RUE198" s="360"/>
      <c r="RUF198" s="360"/>
      <c r="RUG198" s="360"/>
      <c r="RUH198" s="360"/>
      <c r="RUI198" s="360"/>
      <c r="RUJ198" s="360"/>
      <c r="RUK198" s="360"/>
      <c r="RUL198" s="360"/>
      <c r="RUM198" s="360"/>
      <c r="RUN198" s="360"/>
      <c r="RUO198" s="360"/>
      <c r="RUP198" s="360"/>
      <c r="RUQ198" s="360"/>
      <c r="RUR198" s="360"/>
      <c r="RUS198" s="360"/>
      <c r="RUT198" s="360"/>
      <c r="RUU198" s="360"/>
      <c r="RUV198" s="360"/>
      <c r="RUW198" s="360"/>
      <c r="RUX198" s="360"/>
      <c r="RUY198" s="360"/>
      <c r="RUZ198" s="360"/>
      <c r="RVA198" s="360"/>
      <c r="RVB198" s="360"/>
      <c r="RVC198" s="360"/>
      <c r="RVD198" s="360"/>
      <c r="RVE198" s="360"/>
      <c r="RVF198" s="360"/>
      <c r="RVG198" s="360"/>
      <c r="RVH198" s="360"/>
      <c r="RVI198" s="360"/>
      <c r="RVJ198" s="360"/>
      <c r="RVK198" s="360"/>
      <c r="RVL198" s="360"/>
      <c r="RVM198" s="360"/>
      <c r="RVN198" s="360"/>
      <c r="RVO198" s="360"/>
      <c r="RVP198" s="360"/>
      <c r="RVQ198" s="360"/>
      <c r="RVR198" s="360"/>
      <c r="RVS198" s="360"/>
      <c r="RVT198" s="360"/>
      <c r="RVU198" s="360"/>
      <c r="RVV198" s="360"/>
      <c r="RVW198" s="360"/>
      <c r="RVX198" s="360"/>
      <c r="RVY198" s="360"/>
      <c r="RVZ198" s="360"/>
      <c r="RWA198" s="360"/>
      <c r="RWB198" s="360"/>
      <c r="RWC198" s="360"/>
      <c r="RWD198" s="360"/>
      <c r="RWE198" s="360"/>
      <c r="RWF198" s="360"/>
      <c r="RWG198" s="360"/>
      <c r="RWH198" s="360"/>
      <c r="RWI198" s="360"/>
      <c r="RWJ198" s="360"/>
      <c r="RWK198" s="360"/>
      <c r="RWL198" s="360"/>
      <c r="RWM198" s="360"/>
      <c r="RWN198" s="360"/>
      <c r="RWO198" s="360"/>
      <c r="RWP198" s="360"/>
      <c r="RWQ198" s="360"/>
      <c r="RWR198" s="360"/>
      <c r="RWS198" s="360"/>
      <c r="RWT198" s="360"/>
      <c r="RWU198" s="360"/>
      <c r="RWV198" s="360"/>
      <c r="RWW198" s="360"/>
      <c r="RWX198" s="360"/>
      <c r="RWY198" s="360"/>
      <c r="RWZ198" s="360"/>
      <c r="RXA198" s="360"/>
      <c r="RXB198" s="360"/>
      <c r="RXC198" s="360"/>
      <c r="RXD198" s="360"/>
      <c r="RXE198" s="360"/>
      <c r="RXF198" s="360"/>
      <c r="RXG198" s="360"/>
      <c r="RXH198" s="360"/>
      <c r="RXI198" s="360"/>
      <c r="RXJ198" s="360"/>
      <c r="RXK198" s="360"/>
      <c r="RXL198" s="360"/>
      <c r="RXM198" s="360"/>
      <c r="RXN198" s="360"/>
      <c r="RXO198" s="360"/>
      <c r="RXP198" s="360"/>
      <c r="RXQ198" s="360"/>
      <c r="RXR198" s="360"/>
      <c r="RXS198" s="360"/>
      <c r="RXT198" s="360"/>
      <c r="RXU198" s="360"/>
      <c r="RXV198" s="360"/>
      <c r="RXW198" s="360"/>
      <c r="RXX198" s="360"/>
      <c r="RXY198" s="360"/>
      <c r="RXZ198" s="360"/>
      <c r="RYA198" s="360"/>
      <c r="RYB198" s="360"/>
      <c r="RYC198" s="360"/>
      <c r="RYD198" s="360"/>
      <c r="RYE198" s="360"/>
      <c r="RYF198" s="360"/>
      <c r="RYG198" s="360"/>
      <c r="RYH198" s="360"/>
      <c r="RYI198" s="360"/>
      <c r="RYJ198" s="360"/>
      <c r="RYK198" s="360"/>
      <c r="RYL198" s="360"/>
      <c r="RYM198" s="360"/>
      <c r="RYN198" s="360"/>
      <c r="RYO198" s="360"/>
      <c r="RYP198" s="360"/>
      <c r="RYQ198" s="360"/>
      <c r="RYR198" s="360"/>
      <c r="RYS198" s="360"/>
      <c r="RYT198" s="360"/>
      <c r="RYU198" s="360"/>
      <c r="RYV198" s="360"/>
      <c r="RYW198" s="360"/>
      <c r="RYX198" s="360"/>
      <c r="RYY198" s="360"/>
      <c r="RYZ198" s="360"/>
      <c r="RZA198" s="360"/>
      <c r="RZB198" s="360"/>
      <c r="RZC198" s="360"/>
      <c r="RZD198" s="360"/>
      <c r="RZE198" s="360"/>
      <c r="RZF198" s="360"/>
      <c r="RZG198" s="360"/>
      <c r="RZH198" s="360"/>
      <c r="RZI198" s="360"/>
      <c r="RZJ198" s="360"/>
      <c r="RZK198" s="360"/>
      <c r="RZL198" s="360"/>
      <c r="RZM198" s="360"/>
      <c r="RZN198" s="360"/>
      <c r="RZO198" s="360"/>
      <c r="RZP198" s="360"/>
      <c r="RZQ198" s="360"/>
      <c r="RZR198" s="360"/>
      <c r="RZS198" s="360"/>
      <c r="RZT198" s="360"/>
      <c r="RZU198" s="360"/>
      <c r="RZV198" s="360"/>
      <c r="RZW198" s="360"/>
      <c r="RZX198" s="360"/>
      <c r="RZY198" s="360"/>
      <c r="RZZ198" s="360"/>
      <c r="SAA198" s="360"/>
      <c r="SAB198" s="360"/>
      <c r="SAC198" s="360"/>
      <c r="SAD198" s="360"/>
      <c r="SAE198" s="360"/>
      <c r="SAF198" s="360"/>
      <c r="SAG198" s="360"/>
      <c r="SAH198" s="360"/>
      <c r="SAI198" s="360"/>
      <c r="SAJ198" s="360"/>
      <c r="SAK198" s="360"/>
      <c r="SAL198" s="360"/>
      <c r="SAM198" s="360"/>
      <c r="SAN198" s="360"/>
      <c r="SAO198" s="360"/>
      <c r="SAP198" s="360"/>
      <c r="SAQ198" s="360"/>
      <c r="SAR198" s="360"/>
      <c r="SAS198" s="360"/>
      <c r="SAT198" s="360"/>
      <c r="SAU198" s="360"/>
      <c r="SAV198" s="360"/>
      <c r="SAW198" s="360"/>
      <c r="SAX198" s="360"/>
      <c r="SAY198" s="360"/>
      <c r="SAZ198" s="360"/>
      <c r="SBA198" s="360"/>
      <c r="SBB198" s="360"/>
      <c r="SBC198" s="360"/>
      <c r="SBD198" s="360"/>
      <c r="SBE198" s="360"/>
      <c r="SBF198" s="360"/>
      <c r="SBG198" s="360"/>
      <c r="SBH198" s="360"/>
      <c r="SBI198" s="360"/>
      <c r="SBJ198" s="360"/>
      <c r="SBK198" s="360"/>
      <c r="SBL198" s="360"/>
      <c r="SBM198" s="360"/>
      <c r="SBN198" s="360"/>
      <c r="SBO198" s="360"/>
      <c r="SBP198" s="360"/>
      <c r="SBQ198" s="360"/>
      <c r="SBR198" s="360"/>
      <c r="SBS198" s="360"/>
      <c r="SBT198" s="360"/>
      <c r="SBU198" s="360"/>
      <c r="SBV198" s="360"/>
      <c r="SBW198" s="360"/>
      <c r="SBX198" s="360"/>
      <c r="SBY198" s="360"/>
      <c r="SBZ198" s="360"/>
      <c r="SCA198" s="360"/>
      <c r="SCB198" s="360"/>
      <c r="SCC198" s="360"/>
      <c r="SCD198" s="360"/>
      <c r="SCE198" s="360"/>
      <c r="SCF198" s="360"/>
      <c r="SCG198" s="360"/>
      <c r="SCH198" s="360"/>
      <c r="SCI198" s="360"/>
      <c r="SCJ198" s="360"/>
      <c r="SCK198" s="360"/>
      <c r="SCL198" s="360"/>
      <c r="SCM198" s="360"/>
      <c r="SCN198" s="360"/>
      <c r="SCO198" s="360"/>
      <c r="SCP198" s="360"/>
      <c r="SCQ198" s="360"/>
      <c r="SCR198" s="360"/>
      <c r="SCS198" s="360"/>
      <c r="SCT198" s="360"/>
      <c r="SCU198" s="360"/>
      <c r="SCV198" s="360"/>
      <c r="SCW198" s="360"/>
      <c r="SCX198" s="360"/>
      <c r="SCY198" s="360"/>
      <c r="SCZ198" s="360"/>
      <c r="SDA198" s="360"/>
      <c r="SDB198" s="360"/>
      <c r="SDC198" s="360"/>
      <c r="SDD198" s="360"/>
      <c r="SDE198" s="360"/>
      <c r="SDF198" s="360"/>
      <c r="SDG198" s="360"/>
      <c r="SDH198" s="360"/>
      <c r="SDI198" s="360"/>
      <c r="SDJ198" s="360"/>
      <c r="SDK198" s="360"/>
      <c r="SDL198" s="360"/>
      <c r="SDM198" s="360"/>
      <c r="SDN198" s="360"/>
      <c r="SDO198" s="360"/>
      <c r="SDP198" s="360"/>
      <c r="SDQ198" s="360"/>
      <c r="SDR198" s="360"/>
      <c r="SDS198" s="360"/>
      <c r="SDT198" s="360"/>
      <c r="SDU198" s="360"/>
      <c r="SDV198" s="360"/>
      <c r="SDW198" s="360"/>
      <c r="SDX198" s="360"/>
      <c r="SDY198" s="360"/>
      <c r="SDZ198" s="360"/>
      <c r="SEA198" s="360"/>
      <c r="SEB198" s="360"/>
      <c r="SEC198" s="360"/>
      <c r="SED198" s="360"/>
      <c r="SEE198" s="360"/>
      <c r="SEF198" s="360"/>
      <c r="SEG198" s="360"/>
      <c r="SEH198" s="360"/>
      <c r="SEI198" s="360"/>
      <c r="SEJ198" s="360"/>
      <c r="SEK198" s="360"/>
      <c r="SEL198" s="360"/>
      <c r="SEM198" s="360"/>
      <c r="SEN198" s="360"/>
      <c r="SEO198" s="360"/>
      <c r="SEP198" s="360"/>
      <c r="SEQ198" s="360"/>
      <c r="SER198" s="360"/>
      <c r="SES198" s="360"/>
      <c r="SET198" s="360"/>
      <c r="SEU198" s="360"/>
      <c r="SEV198" s="360"/>
      <c r="SEW198" s="360"/>
      <c r="SEX198" s="360"/>
      <c r="SEY198" s="360"/>
      <c r="SEZ198" s="360"/>
      <c r="SFA198" s="360"/>
      <c r="SFB198" s="360"/>
      <c r="SFC198" s="360"/>
      <c r="SFD198" s="360"/>
      <c r="SFE198" s="360"/>
      <c r="SFF198" s="360"/>
      <c r="SFG198" s="360"/>
      <c r="SFH198" s="360"/>
      <c r="SFI198" s="360"/>
      <c r="SFJ198" s="360"/>
      <c r="SFK198" s="360"/>
      <c r="SFL198" s="360"/>
      <c r="SFM198" s="360"/>
      <c r="SFN198" s="360"/>
      <c r="SFO198" s="360"/>
      <c r="SFP198" s="360"/>
      <c r="SFQ198" s="360"/>
      <c r="SFR198" s="360"/>
      <c r="SFS198" s="360"/>
      <c r="SFT198" s="360"/>
      <c r="SFU198" s="360"/>
      <c r="SFV198" s="360"/>
      <c r="SFW198" s="360"/>
      <c r="SFX198" s="360"/>
      <c r="SFY198" s="360"/>
      <c r="SFZ198" s="360"/>
      <c r="SGA198" s="360"/>
      <c r="SGB198" s="360"/>
      <c r="SGC198" s="360"/>
      <c r="SGD198" s="360"/>
      <c r="SGE198" s="360"/>
      <c r="SGF198" s="360"/>
      <c r="SGG198" s="360"/>
      <c r="SGH198" s="360"/>
      <c r="SGI198" s="360"/>
      <c r="SGJ198" s="360"/>
      <c r="SGK198" s="360"/>
      <c r="SGL198" s="360"/>
      <c r="SGM198" s="360"/>
      <c r="SGN198" s="360"/>
      <c r="SGO198" s="360"/>
      <c r="SGP198" s="360"/>
      <c r="SGQ198" s="360"/>
      <c r="SGR198" s="360"/>
      <c r="SGS198" s="360"/>
      <c r="SGT198" s="360"/>
      <c r="SGU198" s="360"/>
      <c r="SGV198" s="360"/>
      <c r="SGW198" s="360"/>
      <c r="SGX198" s="360"/>
      <c r="SGY198" s="360"/>
      <c r="SGZ198" s="360"/>
      <c r="SHA198" s="360"/>
      <c r="SHB198" s="360"/>
      <c r="SHC198" s="360"/>
      <c r="SHD198" s="360"/>
      <c r="SHE198" s="360"/>
      <c r="SHF198" s="360"/>
      <c r="SHG198" s="360"/>
      <c r="SHH198" s="360"/>
      <c r="SHI198" s="360"/>
      <c r="SHJ198" s="360"/>
      <c r="SHK198" s="360"/>
      <c r="SHL198" s="360"/>
      <c r="SHM198" s="360"/>
      <c r="SHN198" s="360"/>
      <c r="SHO198" s="360"/>
      <c r="SHP198" s="360"/>
      <c r="SHQ198" s="360"/>
      <c r="SHR198" s="360"/>
      <c r="SHS198" s="360"/>
      <c r="SHT198" s="360"/>
      <c r="SHU198" s="360"/>
      <c r="SHV198" s="360"/>
      <c r="SHW198" s="360"/>
      <c r="SHX198" s="360"/>
      <c r="SHY198" s="360"/>
      <c r="SHZ198" s="360"/>
      <c r="SIA198" s="360"/>
      <c r="SIB198" s="360"/>
      <c r="SIC198" s="360"/>
      <c r="SID198" s="360"/>
      <c r="SIE198" s="360"/>
      <c r="SIF198" s="360"/>
      <c r="SIG198" s="360"/>
      <c r="SIH198" s="360"/>
      <c r="SII198" s="360"/>
      <c r="SIJ198" s="360"/>
      <c r="SIK198" s="360"/>
      <c r="SIL198" s="360"/>
      <c r="SIM198" s="360"/>
      <c r="SIN198" s="360"/>
      <c r="SIO198" s="360"/>
      <c r="SIP198" s="360"/>
      <c r="SIQ198" s="360"/>
      <c r="SIR198" s="360"/>
      <c r="SIS198" s="360"/>
      <c r="SIT198" s="360"/>
      <c r="SIU198" s="360"/>
      <c r="SIV198" s="360"/>
      <c r="SIW198" s="360"/>
      <c r="SIX198" s="360"/>
      <c r="SIY198" s="360"/>
      <c r="SIZ198" s="360"/>
      <c r="SJA198" s="360"/>
      <c r="SJB198" s="360"/>
      <c r="SJC198" s="360"/>
      <c r="SJD198" s="360"/>
      <c r="SJE198" s="360"/>
      <c r="SJF198" s="360"/>
      <c r="SJG198" s="360"/>
      <c r="SJH198" s="360"/>
      <c r="SJI198" s="360"/>
      <c r="SJJ198" s="360"/>
      <c r="SJK198" s="360"/>
      <c r="SJL198" s="360"/>
      <c r="SJM198" s="360"/>
      <c r="SJN198" s="360"/>
      <c r="SJO198" s="360"/>
      <c r="SJP198" s="360"/>
      <c r="SJQ198" s="360"/>
      <c r="SJR198" s="360"/>
      <c r="SJS198" s="360"/>
      <c r="SJT198" s="360"/>
      <c r="SJU198" s="360"/>
      <c r="SJV198" s="360"/>
      <c r="SJW198" s="360"/>
      <c r="SJX198" s="360"/>
      <c r="SJY198" s="360"/>
      <c r="SJZ198" s="360"/>
      <c r="SKA198" s="360"/>
      <c r="SKB198" s="360"/>
      <c r="SKC198" s="360"/>
      <c r="SKD198" s="360"/>
      <c r="SKE198" s="360"/>
      <c r="SKF198" s="360"/>
      <c r="SKG198" s="360"/>
      <c r="SKH198" s="360"/>
      <c r="SKI198" s="360"/>
      <c r="SKJ198" s="360"/>
      <c r="SKK198" s="360"/>
      <c r="SKL198" s="360"/>
      <c r="SKM198" s="360"/>
      <c r="SKN198" s="360"/>
      <c r="SKO198" s="360"/>
      <c r="SKP198" s="360"/>
      <c r="SKQ198" s="360"/>
      <c r="SKR198" s="360"/>
      <c r="SKS198" s="360"/>
      <c r="SKT198" s="360"/>
      <c r="SKU198" s="360"/>
      <c r="SKV198" s="360"/>
      <c r="SKW198" s="360"/>
      <c r="SKX198" s="360"/>
      <c r="SKY198" s="360"/>
      <c r="SKZ198" s="360"/>
      <c r="SLA198" s="360"/>
      <c r="SLB198" s="360"/>
      <c r="SLC198" s="360"/>
      <c r="SLD198" s="360"/>
      <c r="SLE198" s="360"/>
      <c r="SLF198" s="360"/>
      <c r="SLG198" s="360"/>
      <c r="SLH198" s="360"/>
      <c r="SLI198" s="360"/>
      <c r="SLJ198" s="360"/>
      <c r="SLK198" s="360"/>
      <c r="SLL198" s="360"/>
      <c r="SLM198" s="360"/>
      <c r="SLN198" s="360"/>
      <c r="SLO198" s="360"/>
      <c r="SLP198" s="360"/>
      <c r="SLQ198" s="360"/>
      <c r="SLR198" s="360"/>
      <c r="SLS198" s="360"/>
      <c r="SLT198" s="360"/>
      <c r="SLU198" s="360"/>
      <c r="SLV198" s="360"/>
      <c r="SLW198" s="360"/>
      <c r="SLX198" s="360"/>
      <c r="SLY198" s="360"/>
      <c r="SLZ198" s="360"/>
      <c r="SMA198" s="360"/>
      <c r="SMB198" s="360"/>
      <c r="SMC198" s="360"/>
      <c r="SMD198" s="360"/>
      <c r="SME198" s="360"/>
      <c r="SMF198" s="360"/>
      <c r="SMG198" s="360"/>
      <c r="SMH198" s="360"/>
      <c r="SMI198" s="360"/>
      <c r="SMJ198" s="360"/>
      <c r="SMK198" s="360"/>
      <c r="SML198" s="360"/>
      <c r="SMM198" s="360"/>
      <c r="SMN198" s="360"/>
      <c r="SMO198" s="360"/>
      <c r="SMP198" s="360"/>
      <c r="SMQ198" s="360"/>
      <c r="SMR198" s="360"/>
      <c r="SMS198" s="360"/>
      <c r="SMT198" s="360"/>
      <c r="SMU198" s="360"/>
      <c r="SMV198" s="360"/>
      <c r="SMW198" s="360"/>
      <c r="SMX198" s="360"/>
      <c r="SMY198" s="360"/>
      <c r="SMZ198" s="360"/>
      <c r="SNA198" s="360"/>
      <c r="SNB198" s="360"/>
      <c r="SNC198" s="360"/>
      <c r="SND198" s="360"/>
      <c r="SNE198" s="360"/>
      <c r="SNF198" s="360"/>
      <c r="SNG198" s="360"/>
      <c r="SNH198" s="360"/>
      <c r="SNI198" s="360"/>
      <c r="SNJ198" s="360"/>
      <c r="SNK198" s="360"/>
      <c r="SNL198" s="360"/>
      <c r="SNM198" s="360"/>
      <c r="SNN198" s="360"/>
      <c r="SNO198" s="360"/>
      <c r="SNP198" s="360"/>
      <c r="SNQ198" s="360"/>
      <c r="SNR198" s="360"/>
      <c r="SNS198" s="360"/>
      <c r="SNT198" s="360"/>
      <c r="SNU198" s="360"/>
      <c r="SNV198" s="360"/>
      <c r="SNW198" s="360"/>
      <c r="SNX198" s="360"/>
      <c r="SNY198" s="360"/>
      <c r="SNZ198" s="360"/>
      <c r="SOA198" s="360"/>
      <c r="SOB198" s="360"/>
      <c r="SOC198" s="360"/>
      <c r="SOD198" s="360"/>
      <c r="SOE198" s="360"/>
      <c r="SOF198" s="360"/>
      <c r="SOG198" s="360"/>
      <c r="SOH198" s="360"/>
      <c r="SOI198" s="360"/>
      <c r="SOJ198" s="360"/>
      <c r="SOK198" s="360"/>
      <c r="SOL198" s="360"/>
      <c r="SOM198" s="360"/>
      <c r="SON198" s="360"/>
      <c r="SOO198" s="360"/>
      <c r="SOP198" s="360"/>
      <c r="SOQ198" s="360"/>
      <c r="SOR198" s="360"/>
      <c r="SOS198" s="360"/>
      <c r="SOT198" s="360"/>
      <c r="SOU198" s="360"/>
      <c r="SOV198" s="360"/>
      <c r="SOW198" s="360"/>
      <c r="SOX198" s="360"/>
      <c r="SOY198" s="360"/>
      <c r="SOZ198" s="360"/>
      <c r="SPA198" s="360"/>
      <c r="SPB198" s="360"/>
      <c r="SPC198" s="360"/>
      <c r="SPD198" s="360"/>
      <c r="SPE198" s="360"/>
      <c r="SPF198" s="360"/>
      <c r="SPG198" s="360"/>
      <c r="SPH198" s="360"/>
      <c r="SPI198" s="360"/>
      <c r="SPJ198" s="360"/>
      <c r="SPK198" s="360"/>
      <c r="SPL198" s="360"/>
      <c r="SPM198" s="360"/>
      <c r="SPN198" s="360"/>
      <c r="SPO198" s="360"/>
      <c r="SPP198" s="360"/>
      <c r="SPQ198" s="360"/>
      <c r="SPR198" s="360"/>
      <c r="SPS198" s="360"/>
      <c r="SPT198" s="360"/>
      <c r="SPU198" s="360"/>
      <c r="SPV198" s="360"/>
      <c r="SPW198" s="360"/>
      <c r="SPX198" s="360"/>
      <c r="SPY198" s="360"/>
      <c r="SPZ198" s="360"/>
      <c r="SQA198" s="360"/>
      <c r="SQB198" s="360"/>
      <c r="SQC198" s="360"/>
      <c r="SQD198" s="360"/>
      <c r="SQE198" s="360"/>
      <c r="SQF198" s="360"/>
      <c r="SQG198" s="360"/>
      <c r="SQH198" s="360"/>
      <c r="SQI198" s="360"/>
      <c r="SQJ198" s="360"/>
      <c r="SQK198" s="360"/>
      <c r="SQL198" s="360"/>
      <c r="SQM198" s="360"/>
      <c r="SQN198" s="360"/>
      <c r="SQO198" s="360"/>
      <c r="SQP198" s="360"/>
      <c r="SQQ198" s="360"/>
      <c r="SQR198" s="360"/>
      <c r="SQS198" s="360"/>
      <c r="SQT198" s="360"/>
      <c r="SQU198" s="360"/>
      <c r="SQV198" s="360"/>
      <c r="SQW198" s="360"/>
      <c r="SQX198" s="360"/>
      <c r="SQY198" s="360"/>
      <c r="SQZ198" s="360"/>
      <c r="SRA198" s="360"/>
      <c r="SRB198" s="360"/>
      <c r="SRC198" s="360"/>
      <c r="SRD198" s="360"/>
      <c r="SRE198" s="360"/>
      <c r="SRF198" s="360"/>
      <c r="SRG198" s="360"/>
      <c r="SRH198" s="360"/>
      <c r="SRI198" s="360"/>
      <c r="SRJ198" s="360"/>
      <c r="SRK198" s="360"/>
      <c r="SRL198" s="360"/>
      <c r="SRM198" s="360"/>
      <c r="SRN198" s="360"/>
      <c r="SRO198" s="360"/>
      <c r="SRP198" s="360"/>
      <c r="SRQ198" s="360"/>
      <c r="SRR198" s="360"/>
      <c r="SRS198" s="360"/>
      <c r="SRT198" s="360"/>
      <c r="SRU198" s="360"/>
      <c r="SRV198" s="360"/>
      <c r="SRW198" s="360"/>
      <c r="SRX198" s="360"/>
      <c r="SRY198" s="360"/>
      <c r="SRZ198" s="360"/>
      <c r="SSA198" s="360"/>
      <c r="SSB198" s="360"/>
      <c r="SSC198" s="360"/>
      <c r="SSD198" s="360"/>
      <c r="SSE198" s="360"/>
      <c r="SSF198" s="360"/>
      <c r="SSG198" s="360"/>
      <c r="SSH198" s="360"/>
      <c r="SSI198" s="360"/>
      <c r="SSJ198" s="360"/>
      <c r="SSK198" s="360"/>
      <c r="SSL198" s="360"/>
      <c r="SSM198" s="360"/>
      <c r="SSN198" s="360"/>
      <c r="SSO198" s="360"/>
      <c r="SSP198" s="360"/>
      <c r="SSQ198" s="360"/>
      <c r="SSR198" s="360"/>
      <c r="SSS198" s="360"/>
      <c r="SST198" s="360"/>
      <c r="SSU198" s="360"/>
      <c r="SSV198" s="360"/>
      <c r="SSW198" s="360"/>
      <c r="SSX198" s="360"/>
      <c r="SSY198" s="360"/>
      <c r="SSZ198" s="360"/>
      <c r="STA198" s="360"/>
      <c r="STB198" s="360"/>
      <c r="STC198" s="360"/>
      <c r="STD198" s="360"/>
      <c r="STE198" s="360"/>
      <c r="STF198" s="360"/>
      <c r="STG198" s="360"/>
      <c r="STH198" s="360"/>
      <c r="STI198" s="360"/>
      <c r="STJ198" s="360"/>
      <c r="STK198" s="360"/>
      <c r="STL198" s="360"/>
      <c r="STM198" s="360"/>
      <c r="STN198" s="360"/>
      <c r="STO198" s="360"/>
      <c r="STP198" s="360"/>
      <c r="STQ198" s="360"/>
      <c r="STR198" s="360"/>
      <c r="STS198" s="360"/>
      <c r="STT198" s="360"/>
      <c r="STU198" s="360"/>
      <c r="STV198" s="360"/>
      <c r="STW198" s="360"/>
      <c r="STX198" s="360"/>
      <c r="STY198" s="360"/>
      <c r="STZ198" s="360"/>
      <c r="SUA198" s="360"/>
      <c r="SUB198" s="360"/>
      <c r="SUC198" s="360"/>
      <c r="SUD198" s="360"/>
      <c r="SUE198" s="360"/>
      <c r="SUF198" s="360"/>
      <c r="SUG198" s="360"/>
      <c r="SUH198" s="360"/>
      <c r="SUI198" s="360"/>
      <c r="SUJ198" s="360"/>
      <c r="SUK198" s="360"/>
      <c r="SUL198" s="360"/>
      <c r="SUM198" s="360"/>
      <c r="SUN198" s="360"/>
      <c r="SUO198" s="360"/>
      <c r="SUP198" s="360"/>
      <c r="SUQ198" s="360"/>
      <c r="SUR198" s="360"/>
      <c r="SUS198" s="360"/>
      <c r="SUT198" s="360"/>
      <c r="SUU198" s="360"/>
      <c r="SUV198" s="360"/>
      <c r="SUW198" s="360"/>
      <c r="SUX198" s="360"/>
      <c r="SUY198" s="360"/>
      <c r="SUZ198" s="360"/>
      <c r="SVA198" s="360"/>
      <c r="SVB198" s="360"/>
      <c r="SVC198" s="360"/>
      <c r="SVD198" s="360"/>
      <c r="SVE198" s="360"/>
      <c r="SVF198" s="360"/>
      <c r="SVG198" s="360"/>
      <c r="SVH198" s="360"/>
      <c r="SVI198" s="360"/>
      <c r="SVJ198" s="360"/>
      <c r="SVK198" s="360"/>
      <c r="SVL198" s="360"/>
      <c r="SVM198" s="360"/>
      <c r="SVN198" s="360"/>
      <c r="SVO198" s="360"/>
      <c r="SVP198" s="360"/>
      <c r="SVQ198" s="360"/>
      <c r="SVR198" s="360"/>
      <c r="SVS198" s="360"/>
      <c r="SVT198" s="360"/>
      <c r="SVU198" s="360"/>
      <c r="SVV198" s="360"/>
      <c r="SVW198" s="360"/>
      <c r="SVX198" s="360"/>
      <c r="SVY198" s="360"/>
      <c r="SVZ198" s="360"/>
      <c r="SWA198" s="360"/>
      <c r="SWB198" s="360"/>
      <c r="SWC198" s="360"/>
      <c r="SWD198" s="360"/>
      <c r="SWE198" s="360"/>
      <c r="SWF198" s="360"/>
      <c r="SWG198" s="360"/>
      <c r="SWH198" s="360"/>
      <c r="SWI198" s="360"/>
      <c r="SWJ198" s="360"/>
      <c r="SWK198" s="360"/>
      <c r="SWL198" s="360"/>
      <c r="SWM198" s="360"/>
      <c r="SWN198" s="360"/>
      <c r="SWO198" s="360"/>
      <c r="SWP198" s="360"/>
      <c r="SWQ198" s="360"/>
      <c r="SWR198" s="360"/>
      <c r="SWS198" s="360"/>
      <c r="SWT198" s="360"/>
      <c r="SWU198" s="360"/>
      <c r="SWV198" s="360"/>
      <c r="SWW198" s="360"/>
      <c r="SWX198" s="360"/>
      <c r="SWY198" s="360"/>
      <c r="SWZ198" s="360"/>
      <c r="SXA198" s="360"/>
      <c r="SXB198" s="360"/>
      <c r="SXC198" s="360"/>
      <c r="SXD198" s="360"/>
      <c r="SXE198" s="360"/>
      <c r="SXF198" s="360"/>
      <c r="SXG198" s="360"/>
      <c r="SXH198" s="360"/>
      <c r="SXI198" s="360"/>
      <c r="SXJ198" s="360"/>
      <c r="SXK198" s="360"/>
      <c r="SXL198" s="360"/>
      <c r="SXM198" s="360"/>
      <c r="SXN198" s="360"/>
      <c r="SXO198" s="360"/>
      <c r="SXP198" s="360"/>
      <c r="SXQ198" s="360"/>
      <c r="SXR198" s="360"/>
      <c r="SXS198" s="360"/>
      <c r="SXT198" s="360"/>
      <c r="SXU198" s="360"/>
      <c r="SXV198" s="360"/>
      <c r="SXW198" s="360"/>
      <c r="SXX198" s="360"/>
      <c r="SXY198" s="360"/>
      <c r="SXZ198" s="360"/>
      <c r="SYA198" s="360"/>
      <c r="SYB198" s="360"/>
      <c r="SYC198" s="360"/>
      <c r="SYD198" s="360"/>
      <c r="SYE198" s="360"/>
      <c r="SYF198" s="360"/>
      <c r="SYG198" s="360"/>
      <c r="SYH198" s="360"/>
      <c r="SYI198" s="360"/>
      <c r="SYJ198" s="360"/>
      <c r="SYK198" s="360"/>
      <c r="SYL198" s="360"/>
      <c r="SYM198" s="360"/>
      <c r="SYN198" s="360"/>
      <c r="SYO198" s="360"/>
      <c r="SYP198" s="360"/>
      <c r="SYQ198" s="360"/>
      <c r="SYR198" s="360"/>
      <c r="SYS198" s="360"/>
      <c r="SYT198" s="360"/>
      <c r="SYU198" s="360"/>
      <c r="SYV198" s="360"/>
      <c r="SYW198" s="360"/>
      <c r="SYX198" s="360"/>
      <c r="SYY198" s="360"/>
      <c r="SYZ198" s="360"/>
      <c r="SZA198" s="360"/>
      <c r="SZB198" s="360"/>
      <c r="SZC198" s="360"/>
      <c r="SZD198" s="360"/>
      <c r="SZE198" s="360"/>
      <c r="SZF198" s="360"/>
      <c r="SZG198" s="360"/>
      <c r="SZH198" s="360"/>
      <c r="SZI198" s="360"/>
      <c r="SZJ198" s="360"/>
      <c r="SZK198" s="360"/>
      <c r="SZL198" s="360"/>
      <c r="SZM198" s="360"/>
      <c r="SZN198" s="360"/>
      <c r="SZO198" s="360"/>
      <c r="SZP198" s="360"/>
      <c r="SZQ198" s="360"/>
      <c r="SZR198" s="360"/>
      <c r="SZS198" s="360"/>
      <c r="SZT198" s="360"/>
      <c r="SZU198" s="360"/>
      <c r="SZV198" s="360"/>
      <c r="SZW198" s="360"/>
      <c r="SZX198" s="360"/>
      <c r="SZY198" s="360"/>
      <c r="SZZ198" s="360"/>
      <c r="TAA198" s="360"/>
      <c r="TAB198" s="360"/>
      <c r="TAC198" s="360"/>
      <c r="TAD198" s="360"/>
      <c r="TAE198" s="360"/>
      <c r="TAF198" s="360"/>
      <c r="TAG198" s="360"/>
      <c r="TAH198" s="360"/>
      <c r="TAI198" s="360"/>
      <c r="TAJ198" s="360"/>
      <c r="TAK198" s="360"/>
      <c r="TAL198" s="360"/>
      <c r="TAM198" s="360"/>
      <c r="TAN198" s="360"/>
      <c r="TAO198" s="360"/>
      <c r="TAP198" s="360"/>
      <c r="TAQ198" s="360"/>
      <c r="TAR198" s="360"/>
      <c r="TAS198" s="360"/>
      <c r="TAT198" s="360"/>
      <c r="TAU198" s="360"/>
      <c r="TAV198" s="360"/>
      <c r="TAW198" s="360"/>
      <c r="TAX198" s="360"/>
      <c r="TAY198" s="360"/>
      <c r="TAZ198" s="360"/>
      <c r="TBA198" s="360"/>
      <c r="TBB198" s="360"/>
      <c r="TBC198" s="360"/>
      <c r="TBD198" s="360"/>
      <c r="TBE198" s="360"/>
      <c r="TBF198" s="360"/>
      <c r="TBG198" s="360"/>
      <c r="TBH198" s="360"/>
      <c r="TBI198" s="360"/>
      <c r="TBJ198" s="360"/>
      <c r="TBK198" s="360"/>
      <c r="TBL198" s="360"/>
      <c r="TBM198" s="360"/>
      <c r="TBN198" s="360"/>
      <c r="TBO198" s="360"/>
      <c r="TBP198" s="360"/>
      <c r="TBQ198" s="360"/>
      <c r="TBR198" s="360"/>
      <c r="TBS198" s="360"/>
      <c r="TBT198" s="360"/>
      <c r="TBU198" s="360"/>
      <c r="TBV198" s="360"/>
      <c r="TBW198" s="360"/>
      <c r="TBX198" s="360"/>
      <c r="TBY198" s="360"/>
      <c r="TBZ198" s="360"/>
      <c r="TCA198" s="360"/>
      <c r="TCB198" s="360"/>
      <c r="TCC198" s="360"/>
      <c r="TCD198" s="360"/>
      <c r="TCE198" s="360"/>
      <c r="TCF198" s="360"/>
      <c r="TCG198" s="360"/>
      <c r="TCH198" s="360"/>
      <c r="TCI198" s="360"/>
      <c r="TCJ198" s="360"/>
      <c r="TCK198" s="360"/>
      <c r="TCL198" s="360"/>
      <c r="TCM198" s="360"/>
      <c r="TCN198" s="360"/>
      <c r="TCO198" s="360"/>
      <c r="TCP198" s="360"/>
      <c r="TCQ198" s="360"/>
      <c r="TCR198" s="360"/>
      <c r="TCS198" s="360"/>
      <c r="TCT198" s="360"/>
      <c r="TCU198" s="360"/>
      <c r="TCV198" s="360"/>
      <c r="TCW198" s="360"/>
      <c r="TCX198" s="360"/>
      <c r="TCY198" s="360"/>
      <c r="TCZ198" s="360"/>
      <c r="TDA198" s="360"/>
      <c r="TDB198" s="360"/>
      <c r="TDC198" s="360"/>
      <c r="TDD198" s="360"/>
      <c r="TDE198" s="360"/>
      <c r="TDF198" s="360"/>
      <c r="TDG198" s="360"/>
      <c r="TDH198" s="360"/>
      <c r="TDI198" s="360"/>
      <c r="TDJ198" s="360"/>
      <c r="TDK198" s="360"/>
      <c r="TDL198" s="360"/>
      <c r="TDM198" s="360"/>
      <c r="TDN198" s="360"/>
      <c r="TDO198" s="360"/>
      <c r="TDP198" s="360"/>
      <c r="TDQ198" s="360"/>
      <c r="TDR198" s="360"/>
      <c r="TDS198" s="360"/>
      <c r="TDT198" s="360"/>
      <c r="TDU198" s="360"/>
      <c r="TDV198" s="360"/>
      <c r="TDW198" s="360"/>
      <c r="TDX198" s="360"/>
      <c r="TDY198" s="360"/>
      <c r="TDZ198" s="360"/>
      <c r="TEA198" s="360"/>
      <c r="TEB198" s="360"/>
      <c r="TEC198" s="360"/>
      <c r="TED198" s="360"/>
      <c r="TEE198" s="360"/>
      <c r="TEF198" s="360"/>
      <c r="TEG198" s="360"/>
      <c r="TEH198" s="360"/>
      <c r="TEI198" s="360"/>
      <c r="TEJ198" s="360"/>
      <c r="TEK198" s="360"/>
      <c r="TEL198" s="360"/>
      <c r="TEM198" s="360"/>
      <c r="TEN198" s="360"/>
      <c r="TEO198" s="360"/>
      <c r="TEP198" s="360"/>
      <c r="TEQ198" s="360"/>
      <c r="TER198" s="360"/>
      <c r="TES198" s="360"/>
      <c r="TET198" s="360"/>
      <c r="TEU198" s="360"/>
      <c r="TEV198" s="360"/>
      <c r="TEW198" s="360"/>
      <c r="TEX198" s="360"/>
      <c r="TEY198" s="360"/>
      <c r="TEZ198" s="360"/>
      <c r="TFA198" s="360"/>
      <c r="TFB198" s="360"/>
      <c r="TFC198" s="360"/>
      <c r="TFD198" s="360"/>
      <c r="TFE198" s="360"/>
      <c r="TFF198" s="360"/>
      <c r="TFG198" s="360"/>
      <c r="TFH198" s="360"/>
      <c r="TFI198" s="360"/>
      <c r="TFJ198" s="360"/>
      <c r="TFK198" s="360"/>
      <c r="TFL198" s="360"/>
      <c r="TFM198" s="360"/>
      <c r="TFN198" s="360"/>
      <c r="TFO198" s="360"/>
      <c r="TFP198" s="360"/>
      <c r="TFQ198" s="360"/>
      <c r="TFR198" s="360"/>
      <c r="TFS198" s="360"/>
      <c r="TFT198" s="360"/>
      <c r="TFU198" s="360"/>
      <c r="TFV198" s="360"/>
      <c r="TFW198" s="360"/>
      <c r="TFX198" s="360"/>
      <c r="TFY198" s="360"/>
      <c r="TFZ198" s="360"/>
      <c r="TGA198" s="360"/>
      <c r="TGB198" s="360"/>
      <c r="TGC198" s="360"/>
      <c r="TGD198" s="360"/>
      <c r="TGE198" s="360"/>
      <c r="TGF198" s="360"/>
      <c r="TGG198" s="360"/>
      <c r="TGH198" s="360"/>
      <c r="TGI198" s="360"/>
      <c r="TGJ198" s="360"/>
      <c r="TGK198" s="360"/>
      <c r="TGL198" s="360"/>
      <c r="TGM198" s="360"/>
      <c r="TGN198" s="360"/>
      <c r="TGO198" s="360"/>
      <c r="TGP198" s="360"/>
      <c r="TGQ198" s="360"/>
      <c r="TGR198" s="360"/>
      <c r="TGS198" s="360"/>
      <c r="TGT198" s="360"/>
      <c r="TGU198" s="360"/>
      <c r="TGV198" s="360"/>
      <c r="TGW198" s="360"/>
      <c r="TGX198" s="360"/>
      <c r="TGY198" s="360"/>
      <c r="TGZ198" s="360"/>
      <c r="THA198" s="360"/>
      <c r="THB198" s="360"/>
      <c r="THC198" s="360"/>
      <c r="THD198" s="360"/>
      <c r="THE198" s="360"/>
      <c r="THF198" s="360"/>
      <c r="THG198" s="360"/>
      <c r="THH198" s="360"/>
      <c r="THI198" s="360"/>
      <c r="THJ198" s="360"/>
      <c r="THK198" s="360"/>
      <c r="THL198" s="360"/>
      <c r="THM198" s="360"/>
      <c r="THN198" s="360"/>
      <c r="THO198" s="360"/>
      <c r="THP198" s="360"/>
      <c r="THQ198" s="360"/>
      <c r="THR198" s="360"/>
      <c r="THS198" s="360"/>
      <c r="THT198" s="360"/>
      <c r="THU198" s="360"/>
      <c r="THV198" s="360"/>
      <c r="THW198" s="360"/>
      <c r="THX198" s="360"/>
      <c r="THY198" s="360"/>
      <c r="THZ198" s="360"/>
      <c r="TIA198" s="360"/>
      <c r="TIB198" s="360"/>
      <c r="TIC198" s="360"/>
      <c r="TID198" s="360"/>
      <c r="TIE198" s="360"/>
      <c r="TIF198" s="360"/>
      <c r="TIG198" s="360"/>
      <c r="TIH198" s="360"/>
      <c r="TII198" s="360"/>
      <c r="TIJ198" s="360"/>
      <c r="TIK198" s="360"/>
      <c r="TIL198" s="360"/>
      <c r="TIM198" s="360"/>
      <c r="TIN198" s="360"/>
      <c r="TIO198" s="360"/>
      <c r="TIP198" s="360"/>
      <c r="TIQ198" s="360"/>
      <c r="TIR198" s="360"/>
      <c r="TIS198" s="360"/>
      <c r="TIT198" s="360"/>
      <c r="TIU198" s="360"/>
      <c r="TIV198" s="360"/>
      <c r="TIW198" s="360"/>
      <c r="TIX198" s="360"/>
      <c r="TIY198" s="360"/>
      <c r="TIZ198" s="360"/>
      <c r="TJA198" s="360"/>
      <c r="TJB198" s="360"/>
      <c r="TJC198" s="360"/>
      <c r="TJD198" s="360"/>
      <c r="TJE198" s="360"/>
      <c r="TJF198" s="360"/>
      <c r="TJG198" s="360"/>
      <c r="TJH198" s="360"/>
      <c r="TJI198" s="360"/>
      <c r="TJJ198" s="360"/>
      <c r="TJK198" s="360"/>
      <c r="TJL198" s="360"/>
      <c r="TJM198" s="360"/>
      <c r="TJN198" s="360"/>
      <c r="TJO198" s="360"/>
      <c r="TJP198" s="360"/>
      <c r="TJQ198" s="360"/>
      <c r="TJR198" s="360"/>
      <c r="TJS198" s="360"/>
      <c r="TJT198" s="360"/>
      <c r="TJU198" s="360"/>
      <c r="TJV198" s="360"/>
      <c r="TJW198" s="360"/>
      <c r="TJX198" s="360"/>
      <c r="TJY198" s="360"/>
      <c r="TJZ198" s="360"/>
      <c r="TKA198" s="360"/>
      <c r="TKB198" s="360"/>
      <c r="TKC198" s="360"/>
      <c r="TKD198" s="360"/>
      <c r="TKE198" s="360"/>
      <c r="TKF198" s="360"/>
      <c r="TKG198" s="360"/>
      <c r="TKH198" s="360"/>
      <c r="TKI198" s="360"/>
      <c r="TKJ198" s="360"/>
      <c r="TKK198" s="360"/>
      <c r="TKL198" s="360"/>
      <c r="TKM198" s="360"/>
      <c r="TKN198" s="360"/>
      <c r="TKO198" s="360"/>
      <c r="TKP198" s="360"/>
      <c r="TKQ198" s="360"/>
      <c r="TKR198" s="360"/>
      <c r="TKS198" s="360"/>
      <c r="TKT198" s="360"/>
      <c r="TKU198" s="360"/>
      <c r="TKV198" s="360"/>
      <c r="TKW198" s="360"/>
      <c r="TKX198" s="360"/>
      <c r="TKY198" s="360"/>
      <c r="TKZ198" s="360"/>
      <c r="TLA198" s="360"/>
      <c r="TLB198" s="360"/>
      <c r="TLC198" s="360"/>
      <c r="TLD198" s="360"/>
      <c r="TLE198" s="360"/>
      <c r="TLF198" s="360"/>
      <c r="TLG198" s="360"/>
      <c r="TLH198" s="360"/>
      <c r="TLI198" s="360"/>
      <c r="TLJ198" s="360"/>
      <c r="TLK198" s="360"/>
      <c r="TLL198" s="360"/>
      <c r="TLM198" s="360"/>
      <c r="TLN198" s="360"/>
      <c r="TLO198" s="360"/>
      <c r="TLP198" s="360"/>
      <c r="TLQ198" s="360"/>
      <c r="TLR198" s="360"/>
      <c r="TLS198" s="360"/>
      <c r="TLT198" s="360"/>
      <c r="TLU198" s="360"/>
      <c r="TLV198" s="360"/>
      <c r="TLW198" s="360"/>
      <c r="TLX198" s="360"/>
      <c r="TLY198" s="360"/>
      <c r="TLZ198" s="360"/>
      <c r="TMA198" s="360"/>
      <c r="TMB198" s="360"/>
      <c r="TMC198" s="360"/>
      <c r="TMD198" s="360"/>
      <c r="TME198" s="360"/>
      <c r="TMF198" s="360"/>
      <c r="TMG198" s="360"/>
      <c r="TMH198" s="360"/>
      <c r="TMI198" s="360"/>
      <c r="TMJ198" s="360"/>
      <c r="TMK198" s="360"/>
      <c r="TML198" s="360"/>
      <c r="TMM198" s="360"/>
      <c r="TMN198" s="360"/>
      <c r="TMO198" s="360"/>
      <c r="TMP198" s="360"/>
      <c r="TMQ198" s="360"/>
      <c r="TMR198" s="360"/>
      <c r="TMS198" s="360"/>
      <c r="TMT198" s="360"/>
      <c r="TMU198" s="360"/>
      <c r="TMV198" s="360"/>
      <c r="TMW198" s="360"/>
      <c r="TMX198" s="360"/>
      <c r="TMY198" s="360"/>
      <c r="TMZ198" s="360"/>
      <c r="TNA198" s="360"/>
      <c r="TNB198" s="360"/>
      <c r="TNC198" s="360"/>
      <c r="TND198" s="360"/>
      <c r="TNE198" s="360"/>
      <c r="TNF198" s="360"/>
      <c r="TNG198" s="360"/>
      <c r="TNH198" s="360"/>
      <c r="TNI198" s="360"/>
      <c r="TNJ198" s="360"/>
      <c r="TNK198" s="360"/>
      <c r="TNL198" s="360"/>
      <c r="TNM198" s="360"/>
      <c r="TNN198" s="360"/>
      <c r="TNO198" s="360"/>
      <c r="TNP198" s="360"/>
      <c r="TNQ198" s="360"/>
      <c r="TNR198" s="360"/>
      <c r="TNS198" s="360"/>
      <c r="TNT198" s="360"/>
      <c r="TNU198" s="360"/>
      <c r="TNV198" s="360"/>
      <c r="TNW198" s="360"/>
      <c r="TNX198" s="360"/>
      <c r="TNY198" s="360"/>
      <c r="TNZ198" s="360"/>
      <c r="TOA198" s="360"/>
      <c r="TOB198" s="360"/>
      <c r="TOC198" s="360"/>
      <c r="TOD198" s="360"/>
      <c r="TOE198" s="360"/>
      <c r="TOF198" s="360"/>
      <c r="TOG198" s="360"/>
      <c r="TOH198" s="360"/>
      <c r="TOI198" s="360"/>
      <c r="TOJ198" s="360"/>
      <c r="TOK198" s="360"/>
      <c r="TOL198" s="360"/>
      <c r="TOM198" s="360"/>
      <c r="TON198" s="360"/>
      <c r="TOO198" s="360"/>
      <c r="TOP198" s="360"/>
      <c r="TOQ198" s="360"/>
      <c r="TOR198" s="360"/>
      <c r="TOS198" s="360"/>
      <c r="TOT198" s="360"/>
      <c r="TOU198" s="360"/>
      <c r="TOV198" s="360"/>
      <c r="TOW198" s="360"/>
      <c r="TOX198" s="360"/>
      <c r="TOY198" s="360"/>
      <c r="TOZ198" s="360"/>
      <c r="TPA198" s="360"/>
      <c r="TPB198" s="360"/>
      <c r="TPC198" s="360"/>
      <c r="TPD198" s="360"/>
      <c r="TPE198" s="360"/>
      <c r="TPF198" s="360"/>
      <c r="TPG198" s="360"/>
      <c r="TPH198" s="360"/>
      <c r="TPI198" s="360"/>
      <c r="TPJ198" s="360"/>
      <c r="TPK198" s="360"/>
      <c r="TPL198" s="360"/>
      <c r="TPM198" s="360"/>
      <c r="TPN198" s="360"/>
      <c r="TPO198" s="360"/>
      <c r="TPP198" s="360"/>
      <c r="TPQ198" s="360"/>
      <c r="TPR198" s="360"/>
      <c r="TPS198" s="360"/>
      <c r="TPT198" s="360"/>
      <c r="TPU198" s="360"/>
      <c r="TPV198" s="360"/>
      <c r="TPW198" s="360"/>
      <c r="TPX198" s="360"/>
      <c r="TPY198" s="360"/>
      <c r="TPZ198" s="360"/>
      <c r="TQA198" s="360"/>
      <c r="TQB198" s="360"/>
      <c r="TQC198" s="360"/>
      <c r="TQD198" s="360"/>
      <c r="TQE198" s="360"/>
      <c r="TQF198" s="360"/>
      <c r="TQG198" s="360"/>
      <c r="TQH198" s="360"/>
      <c r="TQI198" s="360"/>
      <c r="TQJ198" s="360"/>
      <c r="TQK198" s="360"/>
      <c r="TQL198" s="360"/>
      <c r="TQM198" s="360"/>
      <c r="TQN198" s="360"/>
      <c r="TQO198" s="360"/>
      <c r="TQP198" s="360"/>
      <c r="TQQ198" s="360"/>
      <c r="TQR198" s="360"/>
      <c r="TQS198" s="360"/>
      <c r="TQT198" s="360"/>
      <c r="TQU198" s="360"/>
      <c r="TQV198" s="360"/>
      <c r="TQW198" s="360"/>
      <c r="TQX198" s="360"/>
      <c r="TQY198" s="360"/>
      <c r="TQZ198" s="360"/>
      <c r="TRA198" s="360"/>
      <c r="TRB198" s="360"/>
      <c r="TRC198" s="360"/>
      <c r="TRD198" s="360"/>
      <c r="TRE198" s="360"/>
      <c r="TRF198" s="360"/>
      <c r="TRG198" s="360"/>
      <c r="TRH198" s="360"/>
      <c r="TRI198" s="360"/>
      <c r="TRJ198" s="360"/>
      <c r="TRK198" s="360"/>
      <c r="TRL198" s="360"/>
      <c r="TRM198" s="360"/>
      <c r="TRN198" s="360"/>
      <c r="TRO198" s="360"/>
      <c r="TRP198" s="360"/>
      <c r="TRQ198" s="360"/>
      <c r="TRR198" s="360"/>
      <c r="TRS198" s="360"/>
      <c r="TRT198" s="360"/>
      <c r="TRU198" s="360"/>
      <c r="TRV198" s="360"/>
      <c r="TRW198" s="360"/>
      <c r="TRX198" s="360"/>
      <c r="TRY198" s="360"/>
      <c r="TRZ198" s="360"/>
      <c r="TSA198" s="360"/>
      <c r="TSB198" s="360"/>
      <c r="TSC198" s="360"/>
      <c r="TSD198" s="360"/>
      <c r="TSE198" s="360"/>
      <c r="TSF198" s="360"/>
      <c r="TSG198" s="360"/>
      <c r="TSH198" s="360"/>
      <c r="TSI198" s="360"/>
      <c r="TSJ198" s="360"/>
      <c r="TSK198" s="360"/>
      <c r="TSL198" s="360"/>
      <c r="TSM198" s="360"/>
      <c r="TSN198" s="360"/>
      <c r="TSO198" s="360"/>
      <c r="TSP198" s="360"/>
      <c r="TSQ198" s="360"/>
      <c r="TSR198" s="360"/>
      <c r="TSS198" s="360"/>
      <c r="TST198" s="360"/>
      <c r="TSU198" s="360"/>
      <c r="TSV198" s="360"/>
      <c r="TSW198" s="360"/>
      <c r="TSX198" s="360"/>
      <c r="TSY198" s="360"/>
      <c r="TSZ198" s="360"/>
      <c r="TTA198" s="360"/>
      <c r="TTB198" s="360"/>
      <c r="TTC198" s="360"/>
      <c r="TTD198" s="360"/>
      <c r="TTE198" s="360"/>
      <c r="TTF198" s="360"/>
      <c r="TTG198" s="360"/>
      <c r="TTH198" s="360"/>
      <c r="TTI198" s="360"/>
      <c r="TTJ198" s="360"/>
      <c r="TTK198" s="360"/>
      <c r="TTL198" s="360"/>
      <c r="TTM198" s="360"/>
      <c r="TTN198" s="360"/>
      <c r="TTO198" s="360"/>
      <c r="TTP198" s="360"/>
      <c r="TTQ198" s="360"/>
      <c r="TTR198" s="360"/>
      <c r="TTS198" s="360"/>
      <c r="TTT198" s="360"/>
      <c r="TTU198" s="360"/>
      <c r="TTV198" s="360"/>
      <c r="TTW198" s="360"/>
      <c r="TTX198" s="360"/>
      <c r="TTY198" s="360"/>
      <c r="TTZ198" s="360"/>
      <c r="TUA198" s="360"/>
      <c r="TUB198" s="360"/>
      <c r="TUC198" s="360"/>
      <c r="TUD198" s="360"/>
      <c r="TUE198" s="360"/>
      <c r="TUF198" s="360"/>
      <c r="TUG198" s="360"/>
      <c r="TUH198" s="360"/>
      <c r="TUI198" s="360"/>
      <c r="TUJ198" s="360"/>
      <c r="TUK198" s="360"/>
      <c r="TUL198" s="360"/>
      <c r="TUM198" s="360"/>
      <c r="TUN198" s="360"/>
      <c r="TUO198" s="360"/>
      <c r="TUP198" s="360"/>
      <c r="TUQ198" s="360"/>
      <c r="TUR198" s="360"/>
      <c r="TUS198" s="360"/>
      <c r="TUT198" s="360"/>
      <c r="TUU198" s="360"/>
      <c r="TUV198" s="360"/>
      <c r="TUW198" s="360"/>
      <c r="TUX198" s="360"/>
      <c r="TUY198" s="360"/>
      <c r="TUZ198" s="360"/>
      <c r="TVA198" s="360"/>
      <c r="TVB198" s="360"/>
      <c r="TVC198" s="360"/>
      <c r="TVD198" s="360"/>
      <c r="TVE198" s="360"/>
      <c r="TVF198" s="360"/>
      <c r="TVG198" s="360"/>
      <c r="TVH198" s="360"/>
      <c r="TVI198" s="360"/>
      <c r="TVJ198" s="360"/>
      <c r="TVK198" s="360"/>
      <c r="TVL198" s="360"/>
      <c r="TVM198" s="360"/>
      <c r="TVN198" s="360"/>
      <c r="TVO198" s="360"/>
      <c r="TVP198" s="360"/>
      <c r="TVQ198" s="360"/>
      <c r="TVR198" s="360"/>
      <c r="TVS198" s="360"/>
      <c r="TVT198" s="360"/>
      <c r="TVU198" s="360"/>
      <c r="TVV198" s="360"/>
      <c r="TVW198" s="360"/>
      <c r="TVX198" s="360"/>
      <c r="TVY198" s="360"/>
      <c r="TVZ198" s="360"/>
      <c r="TWA198" s="360"/>
      <c r="TWB198" s="360"/>
      <c r="TWC198" s="360"/>
      <c r="TWD198" s="360"/>
      <c r="TWE198" s="360"/>
      <c r="TWF198" s="360"/>
      <c r="TWG198" s="360"/>
      <c r="TWH198" s="360"/>
      <c r="TWI198" s="360"/>
      <c r="TWJ198" s="360"/>
      <c r="TWK198" s="360"/>
      <c r="TWL198" s="360"/>
      <c r="TWM198" s="360"/>
      <c r="TWN198" s="360"/>
      <c r="TWO198" s="360"/>
      <c r="TWP198" s="360"/>
      <c r="TWQ198" s="360"/>
      <c r="TWR198" s="360"/>
      <c r="TWS198" s="360"/>
      <c r="TWT198" s="360"/>
      <c r="TWU198" s="360"/>
      <c r="TWV198" s="360"/>
      <c r="TWW198" s="360"/>
      <c r="TWX198" s="360"/>
      <c r="TWY198" s="360"/>
      <c r="TWZ198" s="360"/>
      <c r="TXA198" s="360"/>
      <c r="TXB198" s="360"/>
      <c r="TXC198" s="360"/>
      <c r="TXD198" s="360"/>
      <c r="TXE198" s="360"/>
      <c r="TXF198" s="360"/>
      <c r="TXG198" s="360"/>
      <c r="TXH198" s="360"/>
      <c r="TXI198" s="360"/>
      <c r="TXJ198" s="360"/>
      <c r="TXK198" s="360"/>
      <c r="TXL198" s="360"/>
      <c r="TXM198" s="360"/>
      <c r="TXN198" s="360"/>
      <c r="TXO198" s="360"/>
      <c r="TXP198" s="360"/>
      <c r="TXQ198" s="360"/>
      <c r="TXR198" s="360"/>
      <c r="TXS198" s="360"/>
      <c r="TXT198" s="360"/>
      <c r="TXU198" s="360"/>
      <c r="TXV198" s="360"/>
      <c r="TXW198" s="360"/>
      <c r="TXX198" s="360"/>
      <c r="TXY198" s="360"/>
      <c r="TXZ198" s="360"/>
      <c r="TYA198" s="360"/>
      <c r="TYB198" s="360"/>
      <c r="TYC198" s="360"/>
      <c r="TYD198" s="360"/>
      <c r="TYE198" s="360"/>
      <c r="TYF198" s="360"/>
      <c r="TYG198" s="360"/>
      <c r="TYH198" s="360"/>
      <c r="TYI198" s="360"/>
      <c r="TYJ198" s="360"/>
      <c r="TYK198" s="360"/>
      <c r="TYL198" s="360"/>
      <c r="TYM198" s="360"/>
      <c r="TYN198" s="360"/>
      <c r="TYO198" s="360"/>
      <c r="TYP198" s="360"/>
      <c r="TYQ198" s="360"/>
      <c r="TYR198" s="360"/>
      <c r="TYS198" s="360"/>
      <c r="TYT198" s="360"/>
      <c r="TYU198" s="360"/>
      <c r="TYV198" s="360"/>
      <c r="TYW198" s="360"/>
      <c r="TYX198" s="360"/>
      <c r="TYY198" s="360"/>
      <c r="TYZ198" s="360"/>
      <c r="TZA198" s="360"/>
      <c r="TZB198" s="360"/>
      <c r="TZC198" s="360"/>
      <c r="TZD198" s="360"/>
      <c r="TZE198" s="360"/>
      <c r="TZF198" s="360"/>
      <c r="TZG198" s="360"/>
      <c r="TZH198" s="360"/>
      <c r="TZI198" s="360"/>
      <c r="TZJ198" s="360"/>
      <c r="TZK198" s="360"/>
      <c r="TZL198" s="360"/>
      <c r="TZM198" s="360"/>
      <c r="TZN198" s="360"/>
      <c r="TZO198" s="360"/>
      <c r="TZP198" s="360"/>
      <c r="TZQ198" s="360"/>
      <c r="TZR198" s="360"/>
      <c r="TZS198" s="360"/>
      <c r="TZT198" s="360"/>
      <c r="TZU198" s="360"/>
      <c r="TZV198" s="360"/>
      <c r="TZW198" s="360"/>
      <c r="TZX198" s="360"/>
      <c r="TZY198" s="360"/>
      <c r="TZZ198" s="360"/>
      <c r="UAA198" s="360"/>
      <c r="UAB198" s="360"/>
      <c r="UAC198" s="360"/>
      <c r="UAD198" s="360"/>
      <c r="UAE198" s="360"/>
      <c r="UAF198" s="360"/>
      <c r="UAG198" s="360"/>
      <c r="UAH198" s="360"/>
      <c r="UAI198" s="360"/>
      <c r="UAJ198" s="360"/>
      <c r="UAK198" s="360"/>
      <c r="UAL198" s="360"/>
      <c r="UAM198" s="360"/>
      <c r="UAN198" s="360"/>
      <c r="UAO198" s="360"/>
      <c r="UAP198" s="360"/>
      <c r="UAQ198" s="360"/>
      <c r="UAR198" s="360"/>
      <c r="UAS198" s="360"/>
      <c r="UAT198" s="360"/>
      <c r="UAU198" s="360"/>
      <c r="UAV198" s="360"/>
      <c r="UAW198" s="360"/>
      <c r="UAX198" s="360"/>
      <c r="UAY198" s="360"/>
      <c r="UAZ198" s="360"/>
      <c r="UBA198" s="360"/>
      <c r="UBB198" s="360"/>
      <c r="UBC198" s="360"/>
      <c r="UBD198" s="360"/>
      <c r="UBE198" s="360"/>
      <c r="UBF198" s="360"/>
      <c r="UBG198" s="360"/>
      <c r="UBH198" s="360"/>
      <c r="UBI198" s="360"/>
      <c r="UBJ198" s="360"/>
      <c r="UBK198" s="360"/>
      <c r="UBL198" s="360"/>
      <c r="UBM198" s="360"/>
      <c r="UBN198" s="360"/>
      <c r="UBO198" s="360"/>
      <c r="UBP198" s="360"/>
      <c r="UBQ198" s="360"/>
      <c r="UBR198" s="360"/>
      <c r="UBS198" s="360"/>
      <c r="UBT198" s="360"/>
      <c r="UBU198" s="360"/>
      <c r="UBV198" s="360"/>
      <c r="UBW198" s="360"/>
      <c r="UBX198" s="360"/>
      <c r="UBY198" s="360"/>
      <c r="UBZ198" s="360"/>
      <c r="UCA198" s="360"/>
      <c r="UCB198" s="360"/>
      <c r="UCC198" s="360"/>
      <c r="UCD198" s="360"/>
      <c r="UCE198" s="360"/>
      <c r="UCF198" s="360"/>
      <c r="UCG198" s="360"/>
      <c r="UCH198" s="360"/>
      <c r="UCI198" s="360"/>
      <c r="UCJ198" s="360"/>
      <c r="UCK198" s="360"/>
      <c r="UCL198" s="360"/>
      <c r="UCM198" s="360"/>
      <c r="UCN198" s="360"/>
      <c r="UCO198" s="360"/>
      <c r="UCP198" s="360"/>
      <c r="UCQ198" s="360"/>
      <c r="UCR198" s="360"/>
      <c r="UCS198" s="360"/>
      <c r="UCT198" s="360"/>
      <c r="UCU198" s="360"/>
      <c r="UCV198" s="360"/>
      <c r="UCW198" s="360"/>
      <c r="UCX198" s="360"/>
      <c r="UCY198" s="360"/>
      <c r="UCZ198" s="360"/>
      <c r="UDA198" s="360"/>
      <c r="UDB198" s="360"/>
      <c r="UDC198" s="360"/>
      <c r="UDD198" s="360"/>
      <c r="UDE198" s="360"/>
      <c r="UDF198" s="360"/>
      <c r="UDG198" s="360"/>
      <c r="UDH198" s="360"/>
      <c r="UDI198" s="360"/>
      <c r="UDJ198" s="360"/>
      <c r="UDK198" s="360"/>
      <c r="UDL198" s="360"/>
      <c r="UDM198" s="360"/>
      <c r="UDN198" s="360"/>
      <c r="UDO198" s="360"/>
      <c r="UDP198" s="360"/>
      <c r="UDQ198" s="360"/>
      <c r="UDR198" s="360"/>
      <c r="UDS198" s="360"/>
      <c r="UDT198" s="360"/>
      <c r="UDU198" s="360"/>
      <c r="UDV198" s="360"/>
      <c r="UDW198" s="360"/>
      <c r="UDX198" s="360"/>
      <c r="UDY198" s="360"/>
      <c r="UDZ198" s="360"/>
      <c r="UEA198" s="360"/>
      <c r="UEB198" s="360"/>
      <c r="UEC198" s="360"/>
      <c r="UED198" s="360"/>
      <c r="UEE198" s="360"/>
      <c r="UEF198" s="360"/>
      <c r="UEG198" s="360"/>
      <c r="UEH198" s="360"/>
      <c r="UEI198" s="360"/>
      <c r="UEJ198" s="360"/>
      <c r="UEK198" s="360"/>
      <c r="UEL198" s="360"/>
      <c r="UEM198" s="360"/>
      <c r="UEN198" s="360"/>
      <c r="UEO198" s="360"/>
      <c r="UEP198" s="360"/>
      <c r="UEQ198" s="360"/>
      <c r="UER198" s="360"/>
      <c r="UES198" s="360"/>
      <c r="UET198" s="360"/>
      <c r="UEU198" s="360"/>
      <c r="UEV198" s="360"/>
      <c r="UEW198" s="360"/>
      <c r="UEX198" s="360"/>
      <c r="UEY198" s="360"/>
      <c r="UEZ198" s="360"/>
      <c r="UFA198" s="360"/>
      <c r="UFB198" s="360"/>
      <c r="UFC198" s="360"/>
      <c r="UFD198" s="360"/>
      <c r="UFE198" s="360"/>
      <c r="UFF198" s="360"/>
      <c r="UFG198" s="360"/>
      <c r="UFH198" s="360"/>
      <c r="UFI198" s="360"/>
      <c r="UFJ198" s="360"/>
      <c r="UFK198" s="360"/>
      <c r="UFL198" s="360"/>
      <c r="UFM198" s="360"/>
      <c r="UFN198" s="360"/>
      <c r="UFO198" s="360"/>
      <c r="UFP198" s="360"/>
      <c r="UFQ198" s="360"/>
      <c r="UFR198" s="360"/>
      <c r="UFS198" s="360"/>
      <c r="UFT198" s="360"/>
      <c r="UFU198" s="360"/>
      <c r="UFV198" s="360"/>
      <c r="UFW198" s="360"/>
      <c r="UFX198" s="360"/>
      <c r="UFY198" s="360"/>
      <c r="UFZ198" s="360"/>
      <c r="UGA198" s="360"/>
      <c r="UGB198" s="360"/>
      <c r="UGC198" s="360"/>
      <c r="UGD198" s="360"/>
      <c r="UGE198" s="360"/>
      <c r="UGF198" s="360"/>
      <c r="UGG198" s="360"/>
      <c r="UGH198" s="360"/>
      <c r="UGI198" s="360"/>
      <c r="UGJ198" s="360"/>
      <c r="UGK198" s="360"/>
      <c r="UGL198" s="360"/>
      <c r="UGM198" s="360"/>
      <c r="UGN198" s="360"/>
      <c r="UGO198" s="360"/>
      <c r="UGP198" s="360"/>
      <c r="UGQ198" s="360"/>
      <c r="UGR198" s="360"/>
      <c r="UGS198" s="360"/>
      <c r="UGT198" s="360"/>
      <c r="UGU198" s="360"/>
      <c r="UGV198" s="360"/>
      <c r="UGW198" s="360"/>
      <c r="UGX198" s="360"/>
      <c r="UGY198" s="360"/>
      <c r="UGZ198" s="360"/>
      <c r="UHA198" s="360"/>
      <c r="UHB198" s="360"/>
      <c r="UHC198" s="360"/>
      <c r="UHD198" s="360"/>
      <c r="UHE198" s="360"/>
      <c r="UHF198" s="360"/>
      <c r="UHG198" s="360"/>
      <c r="UHH198" s="360"/>
      <c r="UHI198" s="360"/>
      <c r="UHJ198" s="360"/>
      <c r="UHK198" s="360"/>
      <c r="UHL198" s="360"/>
      <c r="UHM198" s="360"/>
      <c r="UHN198" s="360"/>
      <c r="UHO198" s="360"/>
      <c r="UHP198" s="360"/>
      <c r="UHQ198" s="360"/>
      <c r="UHR198" s="360"/>
      <c r="UHS198" s="360"/>
      <c r="UHT198" s="360"/>
      <c r="UHU198" s="360"/>
      <c r="UHV198" s="360"/>
      <c r="UHW198" s="360"/>
      <c r="UHX198" s="360"/>
      <c r="UHY198" s="360"/>
      <c r="UHZ198" s="360"/>
      <c r="UIA198" s="360"/>
      <c r="UIB198" s="360"/>
      <c r="UIC198" s="360"/>
      <c r="UID198" s="360"/>
      <c r="UIE198" s="360"/>
      <c r="UIF198" s="360"/>
      <c r="UIG198" s="360"/>
      <c r="UIH198" s="360"/>
      <c r="UII198" s="360"/>
      <c r="UIJ198" s="360"/>
      <c r="UIK198" s="360"/>
      <c r="UIL198" s="360"/>
      <c r="UIM198" s="360"/>
      <c r="UIN198" s="360"/>
      <c r="UIO198" s="360"/>
      <c r="UIP198" s="360"/>
      <c r="UIQ198" s="360"/>
      <c r="UIR198" s="360"/>
      <c r="UIS198" s="360"/>
      <c r="UIT198" s="360"/>
      <c r="UIU198" s="360"/>
      <c r="UIV198" s="360"/>
      <c r="UIW198" s="360"/>
      <c r="UIX198" s="360"/>
      <c r="UIY198" s="360"/>
      <c r="UIZ198" s="360"/>
      <c r="UJA198" s="360"/>
      <c r="UJB198" s="360"/>
      <c r="UJC198" s="360"/>
      <c r="UJD198" s="360"/>
      <c r="UJE198" s="360"/>
      <c r="UJF198" s="360"/>
      <c r="UJG198" s="360"/>
      <c r="UJH198" s="360"/>
      <c r="UJI198" s="360"/>
      <c r="UJJ198" s="360"/>
      <c r="UJK198" s="360"/>
      <c r="UJL198" s="360"/>
      <c r="UJM198" s="360"/>
      <c r="UJN198" s="360"/>
      <c r="UJO198" s="360"/>
      <c r="UJP198" s="360"/>
      <c r="UJQ198" s="360"/>
      <c r="UJR198" s="360"/>
      <c r="UJS198" s="360"/>
      <c r="UJT198" s="360"/>
      <c r="UJU198" s="360"/>
      <c r="UJV198" s="360"/>
      <c r="UJW198" s="360"/>
      <c r="UJX198" s="360"/>
      <c r="UJY198" s="360"/>
      <c r="UJZ198" s="360"/>
      <c r="UKA198" s="360"/>
      <c r="UKB198" s="360"/>
      <c r="UKC198" s="360"/>
      <c r="UKD198" s="360"/>
      <c r="UKE198" s="360"/>
      <c r="UKF198" s="360"/>
      <c r="UKG198" s="360"/>
      <c r="UKH198" s="360"/>
      <c r="UKI198" s="360"/>
      <c r="UKJ198" s="360"/>
      <c r="UKK198" s="360"/>
      <c r="UKL198" s="360"/>
      <c r="UKM198" s="360"/>
      <c r="UKN198" s="360"/>
      <c r="UKO198" s="360"/>
      <c r="UKP198" s="360"/>
      <c r="UKQ198" s="360"/>
      <c r="UKR198" s="360"/>
      <c r="UKS198" s="360"/>
      <c r="UKT198" s="360"/>
      <c r="UKU198" s="360"/>
      <c r="UKV198" s="360"/>
      <c r="UKW198" s="360"/>
      <c r="UKX198" s="360"/>
      <c r="UKY198" s="360"/>
      <c r="UKZ198" s="360"/>
      <c r="ULA198" s="360"/>
      <c r="ULB198" s="360"/>
      <c r="ULC198" s="360"/>
      <c r="ULD198" s="360"/>
      <c r="ULE198" s="360"/>
      <c r="ULF198" s="360"/>
      <c r="ULG198" s="360"/>
      <c r="ULH198" s="360"/>
      <c r="ULI198" s="360"/>
      <c r="ULJ198" s="360"/>
      <c r="ULK198" s="360"/>
      <c r="ULL198" s="360"/>
      <c r="ULM198" s="360"/>
      <c r="ULN198" s="360"/>
      <c r="ULO198" s="360"/>
      <c r="ULP198" s="360"/>
      <c r="ULQ198" s="360"/>
      <c r="ULR198" s="360"/>
      <c r="ULS198" s="360"/>
      <c r="ULT198" s="360"/>
      <c r="ULU198" s="360"/>
      <c r="ULV198" s="360"/>
      <c r="ULW198" s="360"/>
      <c r="ULX198" s="360"/>
      <c r="ULY198" s="360"/>
      <c r="ULZ198" s="360"/>
      <c r="UMA198" s="360"/>
      <c r="UMB198" s="360"/>
      <c r="UMC198" s="360"/>
      <c r="UMD198" s="360"/>
      <c r="UME198" s="360"/>
      <c r="UMF198" s="360"/>
      <c r="UMG198" s="360"/>
      <c r="UMH198" s="360"/>
      <c r="UMI198" s="360"/>
      <c r="UMJ198" s="360"/>
      <c r="UMK198" s="360"/>
      <c r="UML198" s="360"/>
      <c r="UMM198" s="360"/>
      <c r="UMN198" s="360"/>
      <c r="UMO198" s="360"/>
      <c r="UMP198" s="360"/>
      <c r="UMQ198" s="360"/>
      <c r="UMR198" s="360"/>
      <c r="UMS198" s="360"/>
      <c r="UMT198" s="360"/>
      <c r="UMU198" s="360"/>
      <c r="UMV198" s="360"/>
      <c r="UMW198" s="360"/>
      <c r="UMX198" s="360"/>
      <c r="UMY198" s="360"/>
      <c r="UMZ198" s="360"/>
      <c r="UNA198" s="360"/>
      <c r="UNB198" s="360"/>
      <c r="UNC198" s="360"/>
      <c r="UND198" s="360"/>
      <c r="UNE198" s="360"/>
      <c r="UNF198" s="360"/>
      <c r="UNG198" s="360"/>
      <c r="UNH198" s="360"/>
      <c r="UNI198" s="360"/>
      <c r="UNJ198" s="360"/>
      <c r="UNK198" s="360"/>
      <c r="UNL198" s="360"/>
      <c r="UNM198" s="360"/>
      <c r="UNN198" s="360"/>
      <c r="UNO198" s="360"/>
      <c r="UNP198" s="360"/>
      <c r="UNQ198" s="360"/>
      <c r="UNR198" s="360"/>
      <c r="UNS198" s="360"/>
      <c r="UNT198" s="360"/>
      <c r="UNU198" s="360"/>
      <c r="UNV198" s="360"/>
      <c r="UNW198" s="360"/>
      <c r="UNX198" s="360"/>
      <c r="UNY198" s="360"/>
      <c r="UNZ198" s="360"/>
      <c r="UOA198" s="360"/>
      <c r="UOB198" s="360"/>
      <c r="UOC198" s="360"/>
      <c r="UOD198" s="360"/>
      <c r="UOE198" s="360"/>
      <c r="UOF198" s="360"/>
      <c r="UOG198" s="360"/>
      <c r="UOH198" s="360"/>
      <c r="UOI198" s="360"/>
      <c r="UOJ198" s="360"/>
      <c r="UOK198" s="360"/>
      <c r="UOL198" s="360"/>
      <c r="UOM198" s="360"/>
      <c r="UON198" s="360"/>
      <c r="UOO198" s="360"/>
      <c r="UOP198" s="360"/>
      <c r="UOQ198" s="360"/>
      <c r="UOR198" s="360"/>
      <c r="UOS198" s="360"/>
      <c r="UOT198" s="360"/>
      <c r="UOU198" s="360"/>
      <c r="UOV198" s="360"/>
      <c r="UOW198" s="360"/>
      <c r="UOX198" s="360"/>
      <c r="UOY198" s="360"/>
      <c r="UOZ198" s="360"/>
      <c r="UPA198" s="360"/>
      <c r="UPB198" s="360"/>
      <c r="UPC198" s="360"/>
      <c r="UPD198" s="360"/>
      <c r="UPE198" s="360"/>
      <c r="UPF198" s="360"/>
      <c r="UPG198" s="360"/>
      <c r="UPH198" s="360"/>
      <c r="UPI198" s="360"/>
      <c r="UPJ198" s="360"/>
      <c r="UPK198" s="360"/>
      <c r="UPL198" s="360"/>
      <c r="UPM198" s="360"/>
      <c r="UPN198" s="360"/>
      <c r="UPO198" s="360"/>
      <c r="UPP198" s="360"/>
      <c r="UPQ198" s="360"/>
      <c r="UPR198" s="360"/>
      <c r="UPS198" s="360"/>
      <c r="UPT198" s="360"/>
      <c r="UPU198" s="360"/>
      <c r="UPV198" s="360"/>
      <c r="UPW198" s="360"/>
      <c r="UPX198" s="360"/>
      <c r="UPY198" s="360"/>
      <c r="UPZ198" s="360"/>
      <c r="UQA198" s="360"/>
      <c r="UQB198" s="360"/>
      <c r="UQC198" s="360"/>
      <c r="UQD198" s="360"/>
      <c r="UQE198" s="360"/>
      <c r="UQF198" s="360"/>
      <c r="UQG198" s="360"/>
      <c r="UQH198" s="360"/>
      <c r="UQI198" s="360"/>
      <c r="UQJ198" s="360"/>
      <c r="UQK198" s="360"/>
      <c r="UQL198" s="360"/>
      <c r="UQM198" s="360"/>
      <c r="UQN198" s="360"/>
      <c r="UQO198" s="360"/>
      <c r="UQP198" s="360"/>
      <c r="UQQ198" s="360"/>
      <c r="UQR198" s="360"/>
      <c r="UQS198" s="360"/>
      <c r="UQT198" s="360"/>
      <c r="UQU198" s="360"/>
      <c r="UQV198" s="360"/>
      <c r="UQW198" s="360"/>
      <c r="UQX198" s="360"/>
      <c r="UQY198" s="360"/>
      <c r="UQZ198" s="360"/>
      <c r="URA198" s="360"/>
      <c r="URB198" s="360"/>
      <c r="URC198" s="360"/>
      <c r="URD198" s="360"/>
      <c r="URE198" s="360"/>
      <c r="URF198" s="360"/>
      <c r="URG198" s="360"/>
      <c r="URH198" s="360"/>
      <c r="URI198" s="360"/>
      <c r="URJ198" s="360"/>
      <c r="URK198" s="360"/>
      <c r="URL198" s="360"/>
      <c r="URM198" s="360"/>
      <c r="URN198" s="360"/>
      <c r="URO198" s="360"/>
      <c r="URP198" s="360"/>
      <c r="URQ198" s="360"/>
      <c r="URR198" s="360"/>
      <c r="URS198" s="360"/>
      <c r="URT198" s="360"/>
      <c r="URU198" s="360"/>
      <c r="URV198" s="360"/>
      <c r="URW198" s="360"/>
      <c r="URX198" s="360"/>
      <c r="URY198" s="360"/>
      <c r="URZ198" s="360"/>
      <c r="USA198" s="360"/>
      <c r="USB198" s="360"/>
      <c r="USC198" s="360"/>
      <c r="USD198" s="360"/>
      <c r="USE198" s="360"/>
      <c r="USF198" s="360"/>
      <c r="USG198" s="360"/>
      <c r="USH198" s="360"/>
      <c r="USI198" s="360"/>
      <c r="USJ198" s="360"/>
      <c r="USK198" s="360"/>
      <c r="USL198" s="360"/>
      <c r="USM198" s="360"/>
      <c r="USN198" s="360"/>
      <c r="USO198" s="360"/>
      <c r="USP198" s="360"/>
      <c r="USQ198" s="360"/>
      <c r="USR198" s="360"/>
      <c r="USS198" s="360"/>
      <c r="UST198" s="360"/>
      <c r="USU198" s="360"/>
      <c r="USV198" s="360"/>
      <c r="USW198" s="360"/>
      <c r="USX198" s="360"/>
      <c r="USY198" s="360"/>
      <c r="USZ198" s="360"/>
      <c r="UTA198" s="360"/>
      <c r="UTB198" s="360"/>
      <c r="UTC198" s="360"/>
      <c r="UTD198" s="360"/>
      <c r="UTE198" s="360"/>
      <c r="UTF198" s="360"/>
      <c r="UTG198" s="360"/>
      <c r="UTH198" s="360"/>
      <c r="UTI198" s="360"/>
      <c r="UTJ198" s="360"/>
      <c r="UTK198" s="360"/>
      <c r="UTL198" s="360"/>
      <c r="UTM198" s="360"/>
      <c r="UTN198" s="360"/>
      <c r="UTO198" s="360"/>
      <c r="UTP198" s="360"/>
      <c r="UTQ198" s="360"/>
      <c r="UTR198" s="360"/>
      <c r="UTS198" s="360"/>
      <c r="UTT198" s="360"/>
      <c r="UTU198" s="360"/>
      <c r="UTV198" s="360"/>
      <c r="UTW198" s="360"/>
      <c r="UTX198" s="360"/>
      <c r="UTY198" s="360"/>
      <c r="UTZ198" s="360"/>
      <c r="UUA198" s="360"/>
      <c r="UUB198" s="360"/>
      <c r="UUC198" s="360"/>
      <c r="UUD198" s="360"/>
      <c r="UUE198" s="360"/>
      <c r="UUF198" s="360"/>
      <c r="UUG198" s="360"/>
      <c r="UUH198" s="360"/>
      <c r="UUI198" s="360"/>
      <c r="UUJ198" s="360"/>
      <c r="UUK198" s="360"/>
      <c r="UUL198" s="360"/>
      <c r="UUM198" s="360"/>
      <c r="UUN198" s="360"/>
      <c r="UUO198" s="360"/>
      <c r="UUP198" s="360"/>
      <c r="UUQ198" s="360"/>
      <c r="UUR198" s="360"/>
      <c r="UUS198" s="360"/>
      <c r="UUT198" s="360"/>
      <c r="UUU198" s="360"/>
      <c r="UUV198" s="360"/>
      <c r="UUW198" s="360"/>
      <c r="UUX198" s="360"/>
      <c r="UUY198" s="360"/>
      <c r="UUZ198" s="360"/>
      <c r="UVA198" s="360"/>
      <c r="UVB198" s="360"/>
      <c r="UVC198" s="360"/>
      <c r="UVD198" s="360"/>
      <c r="UVE198" s="360"/>
      <c r="UVF198" s="360"/>
      <c r="UVG198" s="360"/>
      <c r="UVH198" s="360"/>
      <c r="UVI198" s="360"/>
      <c r="UVJ198" s="360"/>
      <c r="UVK198" s="360"/>
      <c r="UVL198" s="360"/>
      <c r="UVM198" s="360"/>
      <c r="UVN198" s="360"/>
      <c r="UVO198" s="360"/>
      <c r="UVP198" s="360"/>
      <c r="UVQ198" s="360"/>
      <c r="UVR198" s="360"/>
      <c r="UVS198" s="360"/>
      <c r="UVT198" s="360"/>
      <c r="UVU198" s="360"/>
      <c r="UVV198" s="360"/>
      <c r="UVW198" s="360"/>
      <c r="UVX198" s="360"/>
      <c r="UVY198" s="360"/>
      <c r="UVZ198" s="360"/>
      <c r="UWA198" s="360"/>
      <c r="UWB198" s="360"/>
      <c r="UWC198" s="360"/>
      <c r="UWD198" s="360"/>
      <c r="UWE198" s="360"/>
      <c r="UWF198" s="360"/>
      <c r="UWG198" s="360"/>
      <c r="UWH198" s="360"/>
      <c r="UWI198" s="360"/>
      <c r="UWJ198" s="360"/>
      <c r="UWK198" s="360"/>
      <c r="UWL198" s="360"/>
      <c r="UWM198" s="360"/>
      <c r="UWN198" s="360"/>
      <c r="UWO198" s="360"/>
      <c r="UWP198" s="360"/>
      <c r="UWQ198" s="360"/>
      <c r="UWR198" s="360"/>
      <c r="UWS198" s="360"/>
      <c r="UWT198" s="360"/>
      <c r="UWU198" s="360"/>
      <c r="UWV198" s="360"/>
      <c r="UWW198" s="360"/>
      <c r="UWX198" s="360"/>
      <c r="UWY198" s="360"/>
      <c r="UWZ198" s="360"/>
      <c r="UXA198" s="360"/>
      <c r="UXB198" s="360"/>
      <c r="UXC198" s="360"/>
      <c r="UXD198" s="360"/>
      <c r="UXE198" s="360"/>
      <c r="UXF198" s="360"/>
      <c r="UXG198" s="360"/>
      <c r="UXH198" s="360"/>
      <c r="UXI198" s="360"/>
      <c r="UXJ198" s="360"/>
      <c r="UXK198" s="360"/>
      <c r="UXL198" s="360"/>
      <c r="UXM198" s="360"/>
      <c r="UXN198" s="360"/>
      <c r="UXO198" s="360"/>
      <c r="UXP198" s="360"/>
      <c r="UXQ198" s="360"/>
      <c r="UXR198" s="360"/>
      <c r="UXS198" s="360"/>
      <c r="UXT198" s="360"/>
      <c r="UXU198" s="360"/>
      <c r="UXV198" s="360"/>
      <c r="UXW198" s="360"/>
      <c r="UXX198" s="360"/>
      <c r="UXY198" s="360"/>
      <c r="UXZ198" s="360"/>
      <c r="UYA198" s="360"/>
      <c r="UYB198" s="360"/>
      <c r="UYC198" s="360"/>
      <c r="UYD198" s="360"/>
      <c r="UYE198" s="360"/>
      <c r="UYF198" s="360"/>
      <c r="UYG198" s="360"/>
      <c r="UYH198" s="360"/>
      <c r="UYI198" s="360"/>
      <c r="UYJ198" s="360"/>
      <c r="UYK198" s="360"/>
      <c r="UYL198" s="360"/>
      <c r="UYM198" s="360"/>
      <c r="UYN198" s="360"/>
      <c r="UYO198" s="360"/>
      <c r="UYP198" s="360"/>
      <c r="UYQ198" s="360"/>
      <c r="UYR198" s="360"/>
      <c r="UYS198" s="360"/>
      <c r="UYT198" s="360"/>
      <c r="UYU198" s="360"/>
      <c r="UYV198" s="360"/>
      <c r="UYW198" s="360"/>
      <c r="UYX198" s="360"/>
      <c r="UYY198" s="360"/>
      <c r="UYZ198" s="360"/>
      <c r="UZA198" s="360"/>
      <c r="UZB198" s="360"/>
      <c r="UZC198" s="360"/>
      <c r="UZD198" s="360"/>
      <c r="UZE198" s="360"/>
      <c r="UZF198" s="360"/>
      <c r="UZG198" s="360"/>
      <c r="UZH198" s="360"/>
      <c r="UZI198" s="360"/>
      <c r="UZJ198" s="360"/>
      <c r="UZK198" s="360"/>
      <c r="UZL198" s="360"/>
      <c r="UZM198" s="360"/>
      <c r="UZN198" s="360"/>
      <c r="UZO198" s="360"/>
      <c r="UZP198" s="360"/>
      <c r="UZQ198" s="360"/>
      <c r="UZR198" s="360"/>
      <c r="UZS198" s="360"/>
      <c r="UZT198" s="360"/>
      <c r="UZU198" s="360"/>
      <c r="UZV198" s="360"/>
      <c r="UZW198" s="360"/>
      <c r="UZX198" s="360"/>
      <c r="UZY198" s="360"/>
      <c r="UZZ198" s="360"/>
      <c r="VAA198" s="360"/>
      <c r="VAB198" s="360"/>
      <c r="VAC198" s="360"/>
      <c r="VAD198" s="360"/>
      <c r="VAE198" s="360"/>
      <c r="VAF198" s="360"/>
      <c r="VAG198" s="360"/>
      <c r="VAH198" s="360"/>
      <c r="VAI198" s="360"/>
      <c r="VAJ198" s="360"/>
      <c r="VAK198" s="360"/>
      <c r="VAL198" s="360"/>
      <c r="VAM198" s="360"/>
      <c r="VAN198" s="360"/>
      <c r="VAO198" s="360"/>
      <c r="VAP198" s="360"/>
      <c r="VAQ198" s="360"/>
      <c r="VAR198" s="360"/>
      <c r="VAS198" s="360"/>
      <c r="VAT198" s="360"/>
      <c r="VAU198" s="360"/>
      <c r="VAV198" s="360"/>
      <c r="VAW198" s="360"/>
      <c r="VAX198" s="360"/>
      <c r="VAY198" s="360"/>
      <c r="VAZ198" s="360"/>
      <c r="VBA198" s="360"/>
      <c r="VBB198" s="360"/>
      <c r="VBC198" s="360"/>
      <c r="VBD198" s="360"/>
      <c r="VBE198" s="360"/>
      <c r="VBF198" s="360"/>
      <c r="VBG198" s="360"/>
      <c r="VBH198" s="360"/>
      <c r="VBI198" s="360"/>
      <c r="VBJ198" s="360"/>
      <c r="VBK198" s="360"/>
      <c r="VBL198" s="360"/>
      <c r="VBM198" s="360"/>
      <c r="VBN198" s="360"/>
      <c r="VBO198" s="360"/>
      <c r="VBP198" s="360"/>
      <c r="VBQ198" s="360"/>
      <c r="VBR198" s="360"/>
      <c r="VBS198" s="360"/>
      <c r="VBT198" s="360"/>
      <c r="VBU198" s="360"/>
      <c r="VBV198" s="360"/>
      <c r="VBW198" s="360"/>
      <c r="VBX198" s="360"/>
      <c r="VBY198" s="360"/>
      <c r="VBZ198" s="360"/>
      <c r="VCA198" s="360"/>
      <c r="VCB198" s="360"/>
      <c r="VCC198" s="360"/>
      <c r="VCD198" s="360"/>
      <c r="VCE198" s="360"/>
      <c r="VCF198" s="360"/>
      <c r="VCG198" s="360"/>
      <c r="VCH198" s="360"/>
      <c r="VCI198" s="360"/>
      <c r="VCJ198" s="360"/>
      <c r="VCK198" s="360"/>
      <c r="VCL198" s="360"/>
      <c r="VCM198" s="360"/>
      <c r="VCN198" s="360"/>
      <c r="VCO198" s="360"/>
      <c r="VCP198" s="360"/>
      <c r="VCQ198" s="360"/>
      <c r="VCR198" s="360"/>
      <c r="VCS198" s="360"/>
      <c r="VCT198" s="360"/>
      <c r="VCU198" s="360"/>
      <c r="VCV198" s="360"/>
      <c r="VCW198" s="360"/>
      <c r="VCX198" s="360"/>
      <c r="VCY198" s="360"/>
      <c r="VCZ198" s="360"/>
      <c r="VDA198" s="360"/>
      <c r="VDB198" s="360"/>
      <c r="VDC198" s="360"/>
      <c r="VDD198" s="360"/>
      <c r="VDE198" s="360"/>
      <c r="VDF198" s="360"/>
      <c r="VDG198" s="360"/>
      <c r="VDH198" s="360"/>
      <c r="VDI198" s="360"/>
      <c r="VDJ198" s="360"/>
      <c r="VDK198" s="360"/>
      <c r="VDL198" s="360"/>
      <c r="VDM198" s="360"/>
      <c r="VDN198" s="360"/>
      <c r="VDO198" s="360"/>
      <c r="VDP198" s="360"/>
      <c r="VDQ198" s="360"/>
      <c r="VDR198" s="360"/>
      <c r="VDS198" s="360"/>
      <c r="VDT198" s="360"/>
      <c r="VDU198" s="360"/>
      <c r="VDV198" s="360"/>
      <c r="VDW198" s="360"/>
      <c r="VDX198" s="360"/>
      <c r="VDY198" s="360"/>
      <c r="VDZ198" s="360"/>
      <c r="VEA198" s="360"/>
      <c r="VEB198" s="360"/>
      <c r="VEC198" s="360"/>
      <c r="VED198" s="360"/>
      <c r="VEE198" s="360"/>
      <c r="VEF198" s="360"/>
      <c r="VEG198" s="360"/>
      <c r="VEH198" s="360"/>
      <c r="VEI198" s="360"/>
      <c r="VEJ198" s="360"/>
      <c r="VEK198" s="360"/>
      <c r="VEL198" s="360"/>
      <c r="VEM198" s="360"/>
      <c r="VEN198" s="360"/>
      <c r="VEO198" s="360"/>
      <c r="VEP198" s="360"/>
      <c r="VEQ198" s="360"/>
      <c r="VER198" s="360"/>
      <c r="VES198" s="360"/>
      <c r="VET198" s="360"/>
      <c r="VEU198" s="360"/>
      <c r="VEV198" s="360"/>
      <c r="VEW198" s="360"/>
      <c r="VEX198" s="360"/>
      <c r="VEY198" s="360"/>
      <c r="VEZ198" s="360"/>
      <c r="VFA198" s="360"/>
      <c r="VFB198" s="360"/>
      <c r="VFC198" s="360"/>
      <c r="VFD198" s="360"/>
      <c r="VFE198" s="360"/>
      <c r="VFF198" s="360"/>
      <c r="VFG198" s="360"/>
      <c r="VFH198" s="360"/>
      <c r="VFI198" s="360"/>
      <c r="VFJ198" s="360"/>
      <c r="VFK198" s="360"/>
      <c r="VFL198" s="360"/>
      <c r="VFM198" s="360"/>
      <c r="VFN198" s="360"/>
      <c r="VFO198" s="360"/>
      <c r="VFP198" s="360"/>
      <c r="VFQ198" s="360"/>
      <c r="VFR198" s="360"/>
      <c r="VFS198" s="360"/>
      <c r="VFT198" s="360"/>
      <c r="VFU198" s="360"/>
      <c r="VFV198" s="360"/>
      <c r="VFW198" s="360"/>
      <c r="VFX198" s="360"/>
      <c r="VFY198" s="360"/>
      <c r="VFZ198" s="360"/>
      <c r="VGA198" s="360"/>
      <c r="VGB198" s="360"/>
      <c r="VGC198" s="360"/>
      <c r="VGD198" s="360"/>
      <c r="VGE198" s="360"/>
      <c r="VGF198" s="360"/>
      <c r="VGG198" s="360"/>
      <c r="VGH198" s="360"/>
      <c r="VGI198" s="360"/>
      <c r="VGJ198" s="360"/>
      <c r="VGK198" s="360"/>
      <c r="VGL198" s="360"/>
      <c r="VGM198" s="360"/>
      <c r="VGN198" s="360"/>
      <c r="VGO198" s="360"/>
      <c r="VGP198" s="360"/>
      <c r="VGQ198" s="360"/>
      <c r="VGR198" s="360"/>
      <c r="VGS198" s="360"/>
      <c r="VGT198" s="360"/>
      <c r="VGU198" s="360"/>
      <c r="VGV198" s="360"/>
      <c r="VGW198" s="360"/>
      <c r="VGX198" s="360"/>
      <c r="VGY198" s="360"/>
      <c r="VGZ198" s="360"/>
      <c r="VHA198" s="360"/>
      <c r="VHB198" s="360"/>
      <c r="VHC198" s="360"/>
      <c r="VHD198" s="360"/>
      <c r="VHE198" s="360"/>
      <c r="VHF198" s="360"/>
      <c r="VHG198" s="360"/>
      <c r="VHH198" s="360"/>
      <c r="VHI198" s="360"/>
      <c r="VHJ198" s="360"/>
      <c r="VHK198" s="360"/>
      <c r="VHL198" s="360"/>
      <c r="VHM198" s="360"/>
      <c r="VHN198" s="360"/>
      <c r="VHO198" s="360"/>
      <c r="VHP198" s="360"/>
      <c r="VHQ198" s="360"/>
      <c r="VHR198" s="360"/>
      <c r="VHS198" s="360"/>
      <c r="VHT198" s="360"/>
      <c r="VHU198" s="360"/>
      <c r="VHV198" s="360"/>
      <c r="VHW198" s="360"/>
      <c r="VHX198" s="360"/>
      <c r="VHY198" s="360"/>
      <c r="VHZ198" s="360"/>
      <c r="VIA198" s="360"/>
      <c r="VIB198" s="360"/>
      <c r="VIC198" s="360"/>
      <c r="VID198" s="360"/>
      <c r="VIE198" s="360"/>
      <c r="VIF198" s="360"/>
      <c r="VIG198" s="360"/>
      <c r="VIH198" s="360"/>
      <c r="VII198" s="360"/>
      <c r="VIJ198" s="360"/>
      <c r="VIK198" s="360"/>
      <c r="VIL198" s="360"/>
      <c r="VIM198" s="360"/>
      <c r="VIN198" s="360"/>
      <c r="VIO198" s="360"/>
      <c r="VIP198" s="360"/>
      <c r="VIQ198" s="360"/>
      <c r="VIR198" s="360"/>
      <c r="VIS198" s="360"/>
      <c r="VIT198" s="360"/>
      <c r="VIU198" s="360"/>
      <c r="VIV198" s="360"/>
      <c r="VIW198" s="360"/>
      <c r="VIX198" s="360"/>
      <c r="VIY198" s="360"/>
      <c r="VIZ198" s="360"/>
      <c r="VJA198" s="360"/>
      <c r="VJB198" s="360"/>
      <c r="VJC198" s="360"/>
      <c r="VJD198" s="360"/>
      <c r="VJE198" s="360"/>
      <c r="VJF198" s="360"/>
      <c r="VJG198" s="360"/>
      <c r="VJH198" s="360"/>
      <c r="VJI198" s="360"/>
      <c r="VJJ198" s="360"/>
      <c r="VJK198" s="360"/>
      <c r="VJL198" s="360"/>
      <c r="VJM198" s="360"/>
      <c r="VJN198" s="360"/>
      <c r="VJO198" s="360"/>
      <c r="VJP198" s="360"/>
      <c r="VJQ198" s="360"/>
      <c r="VJR198" s="360"/>
      <c r="VJS198" s="360"/>
      <c r="VJT198" s="360"/>
      <c r="VJU198" s="360"/>
      <c r="VJV198" s="360"/>
      <c r="VJW198" s="360"/>
      <c r="VJX198" s="360"/>
      <c r="VJY198" s="360"/>
      <c r="VJZ198" s="360"/>
      <c r="VKA198" s="360"/>
      <c r="VKB198" s="360"/>
      <c r="VKC198" s="360"/>
      <c r="VKD198" s="360"/>
      <c r="VKE198" s="360"/>
      <c r="VKF198" s="360"/>
      <c r="VKG198" s="360"/>
      <c r="VKH198" s="360"/>
      <c r="VKI198" s="360"/>
      <c r="VKJ198" s="360"/>
      <c r="VKK198" s="360"/>
      <c r="VKL198" s="360"/>
      <c r="VKM198" s="360"/>
      <c r="VKN198" s="360"/>
      <c r="VKO198" s="360"/>
      <c r="VKP198" s="360"/>
      <c r="VKQ198" s="360"/>
      <c r="VKR198" s="360"/>
      <c r="VKS198" s="360"/>
      <c r="VKT198" s="360"/>
      <c r="VKU198" s="360"/>
      <c r="VKV198" s="360"/>
      <c r="VKW198" s="360"/>
      <c r="VKX198" s="360"/>
      <c r="VKY198" s="360"/>
      <c r="VKZ198" s="360"/>
      <c r="VLA198" s="360"/>
      <c r="VLB198" s="360"/>
      <c r="VLC198" s="360"/>
      <c r="VLD198" s="360"/>
      <c r="VLE198" s="360"/>
      <c r="VLF198" s="360"/>
      <c r="VLG198" s="360"/>
      <c r="VLH198" s="360"/>
      <c r="VLI198" s="360"/>
      <c r="VLJ198" s="360"/>
      <c r="VLK198" s="360"/>
      <c r="VLL198" s="360"/>
      <c r="VLM198" s="360"/>
      <c r="VLN198" s="360"/>
      <c r="VLO198" s="360"/>
      <c r="VLP198" s="360"/>
      <c r="VLQ198" s="360"/>
      <c r="VLR198" s="360"/>
      <c r="VLS198" s="360"/>
      <c r="VLT198" s="360"/>
      <c r="VLU198" s="360"/>
      <c r="VLV198" s="360"/>
      <c r="VLW198" s="360"/>
      <c r="VLX198" s="360"/>
      <c r="VLY198" s="360"/>
      <c r="VLZ198" s="360"/>
      <c r="VMA198" s="360"/>
      <c r="VMB198" s="360"/>
      <c r="VMC198" s="360"/>
      <c r="VMD198" s="360"/>
      <c r="VME198" s="360"/>
      <c r="VMF198" s="360"/>
      <c r="VMG198" s="360"/>
      <c r="VMH198" s="360"/>
      <c r="VMI198" s="360"/>
      <c r="VMJ198" s="360"/>
      <c r="VMK198" s="360"/>
      <c r="VML198" s="360"/>
      <c r="VMM198" s="360"/>
      <c r="VMN198" s="360"/>
      <c r="VMO198" s="360"/>
      <c r="VMP198" s="360"/>
      <c r="VMQ198" s="360"/>
      <c r="VMR198" s="360"/>
      <c r="VMS198" s="360"/>
      <c r="VMT198" s="360"/>
      <c r="VMU198" s="360"/>
      <c r="VMV198" s="360"/>
      <c r="VMW198" s="360"/>
      <c r="VMX198" s="360"/>
      <c r="VMY198" s="360"/>
      <c r="VMZ198" s="360"/>
      <c r="VNA198" s="360"/>
      <c r="VNB198" s="360"/>
      <c r="VNC198" s="360"/>
      <c r="VND198" s="360"/>
      <c r="VNE198" s="360"/>
      <c r="VNF198" s="360"/>
      <c r="VNG198" s="360"/>
      <c r="VNH198" s="360"/>
      <c r="VNI198" s="360"/>
      <c r="VNJ198" s="360"/>
      <c r="VNK198" s="360"/>
      <c r="VNL198" s="360"/>
      <c r="VNM198" s="360"/>
      <c r="VNN198" s="360"/>
      <c r="VNO198" s="360"/>
      <c r="VNP198" s="360"/>
      <c r="VNQ198" s="360"/>
      <c r="VNR198" s="360"/>
      <c r="VNS198" s="360"/>
      <c r="VNT198" s="360"/>
      <c r="VNU198" s="360"/>
      <c r="VNV198" s="360"/>
      <c r="VNW198" s="360"/>
      <c r="VNX198" s="360"/>
      <c r="VNY198" s="360"/>
      <c r="VNZ198" s="360"/>
      <c r="VOA198" s="360"/>
      <c r="VOB198" s="360"/>
      <c r="VOC198" s="360"/>
      <c r="VOD198" s="360"/>
      <c r="VOE198" s="360"/>
      <c r="VOF198" s="360"/>
      <c r="VOG198" s="360"/>
      <c r="VOH198" s="360"/>
      <c r="VOI198" s="360"/>
      <c r="VOJ198" s="360"/>
      <c r="VOK198" s="360"/>
      <c r="VOL198" s="360"/>
      <c r="VOM198" s="360"/>
      <c r="VON198" s="360"/>
      <c r="VOO198" s="360"/>
      <c r="VOP198" s="360"/>
      <c r="VOQ198" s="360"/>
      <c r="VOR198" s="360"/>
      <c r="VOS198" s="360"/>
      <c r="VOT198" s="360"/>
      <c r="VOU198" s="360"/>
      <c r="VOV198" s="360"/>
      <c r="VOW198" s="360"/>
      <c r="VOX198" s="360"/>
      <c r="VOY198" s="360"/>
      <c r="VOZ198" s="360"/>
      <c r="VPA198" s="360"/>
      <c r="VPB198" s="360"/>
      <c r="VPC198" s="360"/>
      <c r="VPD198" s="360"/>
      <c r="VPE198" s="360"/>
      <c r="VPF198" s="360"/>
      <c r="VPG198" s="360"/>
      <c r="VPH198" s="360"/>
      <c r="VPI198" s="360"/>
      <c r="VPJ198" s="360"/>
      <c r="VPK198" s="360"/>
      <c r="VPL198" s="360"/>
      <c r="VPM198" s="360"/>
      <c r="VPN198" s="360"/>
      <c r="VPO198" s="360"/>
      <c r="VPP198" s="360"/>
      <c r="VPQ198" s="360"/>
      <c r="VPR198" s="360"/>
      <c r="VPS198" s="360"/>
      <c r="VPT198" s="360"/>
      <c r="VPU198" s="360"/>
      <c r="VPV198" s="360"/>
      <c r="VPW198" s="360"/>
      <c r="VPX198" s="360"/>
      <c r="VPY198" s="360"/>
      <c r="VPZ198" s="360"/>
      <c r="VQA198" s="360"/>
      <c r="VQB198" s="360"/>
      <c r="VQC198" s="360"/>
      <c r="VQD198" s="360"/>
      <c r="VQE198" s="360"/>
      <c r="VQF198" s="360"/>
      <c r="VQG198" s="360"/>
      <c r="VQH198" s="360"/>
      <c r="VQI198" s="360"/>
      <c r="VQJ198" s="360"/>
      <c r="VQK198" s="360"/>
      <c r="VQL198" s="360"/>
      <c r="VQM198" s="360"/>
      <c r="VQN198" s="360"/>
      <c r="VQO198" s="360"/>
      <c r="VQP198" s="360"/>
      <c r="VQQ198" s="360"/>
      <c r="VQR198" s="360"/>
      <c r="VQS198" s="360"/>
      <c r="VQT198" s="360"/>
      <c r="VQU198" s="360"/>
      <c r="VQV198" s="360"/>
      <c r="VQW198" s="360"/>
      <c r="VQX198" s="360"/>
      <c r="VQY198" s="360"/>
      <c r="VQZ198" s="360"/>
      <c r="VRA198" s="360"/>
      <c r="VRB198" s="360"/>
      <c r="VRC198" s="360"/>
      <c r="VRD198" s="360"/>
      <c r="VRE198" s="360"/>
      <c r="VRF198" s="360"/>
      <c r="VRG198" s="360"/>
      <c r="VRH198" s="360"/>
      <c r="VRI198" s="360"/>
      <c r="VRJ198" s="360"/>
      <c r="VRK198" s="360"/>
      <c r="VRL198" s="360"/>
      <c r="VRM198" s="360"/>
      <c r="VRN198" s="360"/>
      <c r="VRO198" s="360"/>
      <c r="VRP198" s="360"/>
      <c r="VRQ198" s="360"/>
      <c r="VRR198" s="360"/>
      <c r="VRS198" s="360"/>
      <c r="VRT198" s="360"/>
      <c r="VRU198" s="360"/>
      <c r="VRV198" s="360"/>
      <c r="VRW198" s="360"/>
      <c r="VRX198" s="360"/>
      <c r="VRY198" s="360"/>
      <c r="VRZ198" s="360"/>
      <c r="VSA198" s="360"/>
      <c r="VSB198" s="360"/>
      <c r="VSC198" s="360"/>
      <c r="VSD198" s="360"/>
      <c r="VSE198" s="360"/>
      <c r="VSF198" s="360"/>
      <c r="VSG198" s="360"/>
      <c r="VSH198" s="360"/>
      <c r="VSI198" s="360"/>
      <c r="VSJ198" s="360"/>
      <c r="VSK198" s="360"/>
      <c r="VSL198" s="360"/>
      <c r="VSM198" s="360"/>
      <c r="VSN198" s="360"/>
      <c r="VSO198" s="360"/>
      <c r="VSP198" s="360"/>
      <c r="VSQ198" s="360"/>
      <c r="VSR198" s="360"/>
      <c r="VSS198" s="360"/>
      <c r="VST198" s="360"/>
      <c r="VSU198" s="360"/>
      <c r="VSV198" s="360"/>
      <c r="VSW198" s="360"/>
      <c r="VSX198" s="360"/>
      <c r="VSY198" s="360"/>
      <c r="VSZ198" s="360"/>
      <c r="VTA198" s="360"/>
      <c r="VTB198" s="360"/>
      <c r="VTC198" s="360"/>
      <c r="VTD198" s="360"/>
      <c r="VTE198" s="360"/>
      <c r="VTF198" s="360"/>
      <c r="VTG198" s="360"/>
      <c r="VTH198" s="360"/>
      <c r="VTI198" s="360"/>
      <c r="VTJ198" s="360"/>
      <c r="VTK198" s="360"/>
      <c r="VTL198" s="360"/>
      <c r="VTM198" s="360"/>
      <c r="VTN198" s="360"/>
      <c r="VTO198" s="360"/>
      <c r="VTP198" s="360"/>
      <c r="VTQ198" s="360"/>
      <c r="VTR198" s="360"/>
      <c r="VTS198" s="360"/>
      <c r="VTT198" s="360"/>
      <c r="VTU198" s="360"/>
      <c r="VTV198" s="360"/>
      <c r="VTW198" s="360"/>
      <c r="VTX198" s="360"/>
      <c r="VTY198" s="360"/>
      <c r="VTZ198" s="360"/>
      <c r="VUA198" s="360"/>
      <c r="VUB198" s="360"/>
      <c r="VUC198" s="360"/>
      <c r="VUD198" s="360"/>
      <c r="VUE198" s="360"/>
      <c r="VUF198" s="360"/>
      <c r="VUG198" s="360"/>
      <c r="VUH198" s="360"/>
      <c r="VUI198" s="360"/>
      <c r="VUJ198" s="360"/>
      <c r="VUK198" s="360"/>
      <c r="VUL198" s="360"/>
      <c r="VUM198" s="360"/>
      <c r="VUN198" s="360"/>
      <c r="VUO198" s="360"/>
      <c r="VUP198" s="360"/>
      <c r="VUQ198" s="360"/>
      <c r="VUR198" s="360"/>
      <c r="VUS198" s="360"/>
      <c r="VUT198" s="360"/>
      <c r="VUU198" s="360"/>
      <c r="VUV198" s="360"/>
      <c r="VUW198" s="360"/>
      <c r="VUX198" s="360"/>
      <c r="VUY198" s="360"/>
      <c r="VUZ198" s="360"/>
      <c r="VVA198" s="360"/>
      <c r="VVB198" s="360"/>
      <c r="VVC198" s="360"/>
      <c r="VVD198" s="360"/>
      <c r="VVE198" s="360"/>
      <c r="VVF198" s="360"/>
      <c r="VVG198" s="360"/>
      <c r="VVH198" s="360"/>
      <c r="VVI198" s="360"/>
      <c r="VVJ198" s="360"/>
      <c r="VVK198" s="360"/>
      <c r="VVL198" s="360"/>
      <c r="VVM198" s="360"/>
      <c r="VVN198" s="360"/>
      <c r="VVO198" s="360"/>
      <c r="VVP198" s="360"/>
      <c r="VVQ198" s="360"/>
      <c r="VVR198" s="360"/>
      <c r="VVS198" s="360"/>
      <c r="VVT198" s="360"/>
      <c r="VVU198" s="360"/>
      <c r="VVV198" s="360"/>
      <c r="VVW198" s="360"/>
      <c r="VVX198" s="360"/>
      <c r="VVY198" s="360"/>
      <c r="VVZ198" s="360"/>
      <c r="VWA198" s="360"/>
      <c r="VWB198" s="360"/>
      <c r="VWC198" s="360"/>
      <c r="VWD198" s="360"/>
      <c r="VWE198" s="360"/>
      <c r="VWF198" s="360"/>
      <c r="VWG198" s="360"/>
      <c r="VWH198" s="360"/>
      <c r="VWI198" s="360"/>
      <c r="VWJ198" s="360"/>
      <c r="VWK198" s="360"/>
      <c r="VWL198" s="360"/>
      <c r="VWM198" s="360"/>
      <c r="VWN198" s="360"/>
      <c r="VWO198" s="360"/>
      <c r="VWP198" s="360"/>
      <c r="VWQ198" s="360"/>
      <c r="VWR198" s="360"/>
      <c r="VWS198" s="360"/>
      <c r="VWT198" s="360"/>
      <c r="VWU198" s="360"/>
      <c r="VWV198" s="360"/>
      <c r="VWW198" s="360"/>
      <c r="VWX198" s="360"/>
      <c r="VWY198" s="360"/>
      <c r="VWZ198" s="360"/>
      <c r="VXA198" s="360"/>
      <c r="VXB198" s="360"/>
      <c r="VXC198" s="360"/>
      <c r="VXD198" s="360"/>
      <c r="VXE198" s="360"/>
      <c r="VXF198" s="360"/>
      <c r="VXG198" s="360"/>
      <c r="VXH198" s="360"/>
      <c r="VXI198" s="360"/>
      <c r="VXJ198" s="360"/>
      <c r="VXK198" s="360"/>
      <c r="VXL198" s="360"/>
      <c r="VXM198" s="360"/>
      <c r="VXN198" s="360"/>
      <c r="VXO198" s="360"/>
      <c r="VXP198" s="360"/>
      <c r="VXQ198" s="360"/>
      <c r="VXR198" s="360"/>
      <c r="VXS198" s="360"/>
      <c r="VXT198" s="360"/>
      <c r="VXU198" s="360"/>
      <c r="VXV198" s="360"/>
      <c r="VXW198" s="360"/>
      <c r="VXX198" s="360"/>
      <c r="VXY198" s="360"/>
      <c r="VXZ198" s="360"/>
      <c r="VYA198" s="360"/>
      <c r="VYB198" s="360"/>
      <c r="VYC198" s="360"/>
      <c r="VYD198" s="360"/>
      <c r="VYE198" s="360"/>
      <c r="VYF198" s="360"/>
      <c r="VYG198" s="360"/>
      <c r="VYH198" s="360"/>
      <c r="VYI198" s="360"/>
      <c r="VYJ198" s="360"/>
      <c r="VYK198" s="360"/>
      <c r="VYL198" s="360"/>
      <c r="VYM198" s="360"/>
      <c r="VYN198" s="360"/>
      <c r="VYO198" s="360"/>
      <c r="VYP198" s="360"/>
      <c r="VYQ198" s="360"/>
      <c r="VYR198" s="360"/>
      <c r="VYS198" s="360"/>
      <c r="VYT198" s="360"/>
      <c r="VYU198" s="360"/>
      <c r="VYV198" s="360"/>
      <c r="VYW198" s="360"/>
      <c r="VYX198" s="360"/>
      <c r="VYY198" s="360"/>
      <c r="VYZ198" s="360"/>
      <c r="VZA198" s="360"/>
      <c r="VZB198" s="360"/>
      <c r="VZC198" s="360"/>
      <c r="VZD198" s="360"/>
      <c r="VZE198" s="360"/>
      <c r="VZF198" s="360"/>
      <c r="VZG198" s="360"/>
      <c r="VZH198" s="360"/>
      <c r="VZI198" s="360"/>
      <c r="VZJ198" s="360"/>
      <c r="VZK198" s="360"/>
      <c r="VZL198" s="360"/>
      <c r="VZM198" s="360"/>
      <c r="VZN198" s="360"/>
      <c r="VZO198" s="360"/>
      <c r="VZP198" s="360"/>
      <c r="VZQ198" s="360"/>
      <c r="VZR198" s="360"/>
      <c r="VZS198" s="360"/>
      <c r="VZT198" s="360"/>
      <c r="VZU198" s="360"/>
      <c r="VZV198" s="360"/>
      <c r="VZW198" s="360"/>
      <c r="VZX198" s="360"/>
      <c r="VZY198" s="360"/>
      <c r="VZZ198" s="360"/>
      <c r="WAA198" s="360"/>
      <c r="WAB198" s="360"/>
      <c r="WAC198" s="360"/>
      <c r="WAD198" s="360"/>
      <c r="WAE198" s="360"/>
      <c r="WAF198" s="360"/>
      <c r="WAG198" s="360"/>
      <c r="WAH198" s="360"/>
      <c r="WAI198" s="360"/>
      <c r="WAJ198" s="360"/>
      <c r="WAK198" s="360"/>
      <c r="WAL198" s="360"/>
      <c r="WAM198" s="360"/>
      <c r="WAN198" s="360"/>
      <c r="WAO198" s="360"/>
      <c r="WAP198" s="360"/>
      <c r="WAQ198" s="360"/>
      <c r="WAR198" s="360"/>
      <c r="WAS198" s="360"/>
      <c r="WAT198" s="360"/>
      <c r="WAU198" s="360"/>
      <c r="WAV198" s="360"/>
      <c r="WAW198" s="360"/>
      <c r="WAX198" s="360"/>
      <c r="WAY198" s="360"/>
      <c r="WAZ198" s="360"/>
      <c r="WBA198" s="360"/>
      <c r="WBB198" s="360"/>
      <c r="WBC198" s="360"/>
      <c r="WBD198" s="360"/>
      <c r="WBE198" s="360"/>
      <c r="WBF198" s="360"/>
      <c r="WBG198" s="360"/>
      <c r="WBH198" s="360"/>
      <c r="WBI198" s="360"/>
      <c r="WBJ198" s="360"/>
      <c r="WBK198" s="360"/>
      <c r="WBL198" s="360"/>
      <c r="WBM198" s="360"/>
      <c r="WBN198" s="360"/>
      <c r="WBO198" s="360"/>
      <c r="WBP198" s="360"/>
      <c r="WBQ198" s="360"/>
      <c r="WBR198" s="360"/>
      <c r="WBS198" s="360"/>
      <c r="WBT198" s="360"/>
      <c r="WBU198" s="360"/>
      <c r="WBV198" s="360"/>
      <c r="WBW198" s="360"/>
      <c r="WBX198" s="360"/>
      <c r="WBY198" s="360"/>
      <c r="WBZ198" s="360"/>
      <c r="WCA198" s="360"/>
      <c r="WCB198" s="360"/>
      <c r="WCC198" s="360"/>
      <c r="WCD198" s="360"/>
      <c r="WCE198" s="360"/>
      <c r="WCF198" s="360"/>
      <c r="WCG198" s="360"/>
      <c r="WCH198" s="360"/>
      <c r="WCI198" s="360"/>
      <c r="WCJ198" s="360"/>
      <c r="WCK198" s="360"/>
      <c r="WCL198" s="360"/>
      <c r="WCM198" s="360"/>
      <c r="WCN198" s="360"/>
      <c r="WCO198" s="360"/>
      <c r="WCP198" s="360"/>
      <c r="WCQ198" s="360"/>
      <c r="WCR198" s="360"/>
      <c r="WCS198" s="360"/>
      <c r="WCT198" s="360"/>
      <c r="WCU198" s="360"/>
      <c r="WCV198" s="360"/>
      <c r="WCW198" s="360"/>
      <c r="WCX198" s="360"/>
      <c r="WCY198" s="360"/>
      <c r="WCZ198" s="360"/>
      <c r="WDA198" s="360"/>
      <c r="WDB198" s="360"/>
      <c r="WDC198" s="360"/>
      <c r="WDD198" s="360"/>
      <c r="WDE198" s="360"/>
      <c r="WDF198" s="360"/>
      <c r="WDG198" s="360"/>
      <c r="WDH198" s="360"/>
      <c r="WDI198" s="360"/>
      <c r="WDJ198" s="360"/>
      <c r="WDK198" s="360"/>
      <c r="WDL198" s="360"/>
      <c r="WDM198" s="360"/>
      <c r="WDN198" s="360"/>
      <c r="WDO198" s="360"/>
      <c r="WDP198" s="360"/>
      <c r="WDQ198" s="360"/>
      <c r="WDR198" s="360"/>
      <c r="WDS198" s="360"/>
      <c r="WDT198" s="360"/>
      <c r="WDU198" s="360"/>
      <c r="WDV198" s="360"/>
      <c r="WDW198" s="360"/>
      <c r="WDX198" s="360"/>
      <c r="WDY198" s="360"/>
      <c r="WDZ198" s="360"/>
      <c r="WEA198" s="360"/>
      <c r="WEB198" s="360"/>
      <c r="WEC198" s="360"/>
      <c r="WED198" s="360"/>
      <c r="WEE198" s="360"/>
      <c r="WEF198" s="360"/>
      <c r="WEG198" s="360"/>
      <c r="WEH198" s="360"/>
      <c r="WEI198" s="360"/>
      <c r="WEJ198" s="360"/>
      <c r="WEK198" s="360"/>
      <c r="WEL198" s="360"/>
      <c r="WEM198" s="360"/>
      <c r="WEN198" s="360"/>
      <c r="WEO198" s="360"/>
      <c r="WEP198" s="360"/>
      <c r="WEQ198" s="360"/>
      <c r="WER198" s="360"/>
      <c r="WES198" s="360"/>
      <c r="WET198" s="360"/>
      <c r="WEU198" s="360"/>
      <c r="WEV198" s="360"/>
      <c r="WEW198" s="360"/>
      <c r="WEX198" s="360"/>
      <c r="WEY198" s="360"/>
      <c r="WEZ198" s="360"/>
      <c r="WFA198" s="360"/>
      <c r="WFB198" s="360"/>
      <c r="WFC198" s="360"/>
      <c r="WFD198" s="360"/>
      <c r="WFE198" s="360"/>
      <c r="WFF198" s="360"/>
      <c r="WFG198" s="360"/>
      <c r="WFH198" s="360"/>
      <c r="WFI198" s="360"/>
      <c r="WFJ198" s="360"/>
      <c r="WFK198" s="360"/>
      <c r="WFL198" s="360"/>
      <c r="WFM198" s="360"/>
      <c r="WFN198" s="360"/>
      <c r="WFO198" s="360"/>
      <c r="WFP198" s="360"/>
      <c r="WFQ198" s="360"/>
      <c r="WFR198" s="360"/>
      <c r="WFS198" s="360"/>
      <c r="WFT198" s="360"/>
      <c r="WFU198" s="360"/>
      <c r="WFV198" s="360"/>
      <c r="WFW198" s="360"/>
      <c r="WFX198" s="360"/>
      <c r="WFY198" s="360"/>
      <c r="WFZ198" s="360"/>
      <c r="WGA198" s="360"/>
      <c r="WGB198" s="360"/>
      <c r="WGC198" s="360"/>
      <c r="WGD198" s="360"/>
      <c r="WGE198" s="360"/>
      <c r="WGF198" s="360"/>
      <c r="WGG198" s="360"/>
      <c r="WGH198" s="360"/>
      <c r="WGI198" s="360"/>
      <c r="WGJ198" s="360"/>
      <c r="WGK198" s="360"/>
      <c r="WGL198" s="360"/>
      <c r="WGM198" s="360"/>
      <c r="WGN198" s="360"/>
      <c r="WGO198" s="360"/>
      <c r="WGP198" s="360"/>
      <c r="WGQ198" s="360"/>
      <c r="WGR198" s="360"/>
      <c r="WGS198" s="360"/>
      <c r="WGT198" s="360"/>
      <c r="WGU198" s="360"/>
      <c r="WGV198" s="360"/>
      <c r="WGW198" s="360"/>
      <c r="WGX198" s="360"/>
      <c r="WGY198" s="360"/>
      <c r="WGZ198" s="360"/>
      <c r="WHA198" s="360"/>
      <c r="WHB198" s="360"/>
      <c r="WHC198" s="360"/>
      <c r="WHD198" s="360"/>
      <c r="WHE198" s="360"/>
      <c r="WHF198" s="360"/>
      <c r="WHG198" s="360"/>
      <c r="WHH198" s="360"/>
      <c r="WHI198" s="360"/>
      <c r="WHJ198" s="360"/>
      <c r="WHK198" s="360"/>
      <c r="WHL198" s="360"/>
      <c r="WHM198" s="360"/>
      <c r="WHN198" s="360"/>
      <c r="WHO198" s="360"/>
      <c r="WHP198" s="360"/>
      <c r="WHQ198" s="360"/>
      <c r="WHR198" s="360"/>
      <c r="WHS198" s="360"/>
      <c r="WHT198" s="360"/>
      <c r="WHU198" s="360"/>
      <c r="WHV198" s="360"/>
      <c r="WHW198" s="360"/>
      <c r="WHX198" s="360"/>
      <c r="WHY198" s="360"/>
      <c r="WHZ198" s="360"/>
      <c r="WIA198" s="360"/>
      <c r="WIB198" s="360"/>
      <c r="WIC198" s="360"/>
      <c r="WID198" s="360"/>
      <c r="WIE198" s="360"/>
      <c r="WIF198" s="360"/>
      <c r="WIG198" s="360"/>
      <c r="WIH198" s="360"/>
      <c r="WII198" s="360"/>
      <c r="WIJ198" s="360"/>
      <c r="WIK198" s="360"/>
      <c r="WIL198" s="360"/>
      <c r="WIM198" s="360"/>
      <c r="WIN198" s="360"/>
      <c r="WIO198" s="360"/>
      <c r="WIP198" s="360"/>
      <c r="WIQ198" s="360"/>
      <c r="WIR198" s="360"/>
      <c r="WIS198" s="360"/>
      <c r="WIT198" s="360"/>
      <c r="WIU198" s="360"/>
      <c r="WIV198" s="360"/>
      <c r="WIW198" s="360"/>
      <c r="WIX198" s="360"/>
      <c r="WIY198" s="360"/>
      <c r="WIZ198" s="360"/>
      <c r="WJA198" s="360"/>
      <c r="WJB198" s="360"/>
      <c r="WJC198" s="360"/>
      <c r="WJD198" s="360"/>
      <c r="WJE198" s="360"/>
      <c r="WJF198" s="360"/>
      <c r="WJG198" s="360"/>
      <c r="WJH198" s="360"/>
      <c r="WJI198" s="360"/>
      <c r="WJJ198" s="360"/>
      <c r="WJK198" s="360"/>
      <c r="WJL198" s="360"/>
      <c r="WJM198" s="360"/>
      <c r="WJN198" s="360"/>
      <c r="WJO198" s="360"/>
      <c r="WJP198" s="360"/>
      <c r="WJQ198" s="360"/>
      <c r="WJR198" s="360"/>
      <c r="WJS198" s="360"/>
      <c r="WJT198" s="360"/>
      <c r="WJU198" s="360"/>
      <c r="WJV198" s="360"/>
      <c r="WJW198" s="360"/>
      <c r="WJX198" s="360"/>
      <c r="WJY198" s="360"/>
      <c r="WJZ198" s="360"/>
      <c r="WKA198" s="360"/>
      <c r="WKB198" s="360"/>
      <c r="WKC198" s="360"/>
      <c r="WKD198" s="360"/>
      <c r="WKE198" s="360"/>
      <c r="WKF198" s="360"/>
      <c r="WKG198" s="360"/>
      <c r="WKH198" s="360"/>
      <c r="WKI198" s="360"/>
      <c r="WKJ198" s="360"/>
      <c r="WKK198" s="360"/>
      <c r="WKL198" s="360"/>
      <c r="WKM198" s="360"/>
      <c r="WKN198" s="360"/>
      <c r="WKO198" s="360"/>
      <c r="WKP198" s="360"/>
      <c r="WKQ198" s="360"/>
      <c r="WKR198" s="360"/>
      <c r="WKS198" s="360"/>
      <c r="WKT198" s="360"/>
      <c r="WKU198" s="360"/>
      <c r="WKV198" s="360"/>
      <c r="WKW198" s="360"/>
      <c r="WKX198" s="360"/>
      <c r="WKY198" s="360"/>
      <c r="WKZ198" s="360"/>
      <c r="WLA198" s="360"/>
      <c r="WLB198" s="360"/>
      <c r="WLC198" s="360"/>
      <c r="WLD198" s="360"/>
      <c r="WLE198" s="360"/>
      <c r="WLF198" s="360"/>
      <c r="WLG198" s="360"/>
      <c r="WLH198" s="360"/>
      <c r="WLI198" s="360"/>
      <c r="WLJ198" s="360"/>
      <c r="WLK198" s="360"/>
      <c r="WLL198" s="360"/>
      <c r="WLM198" s="360"/>
      <c r="WLN198" s="360"/>
      <c r="WLO198" s="360"/>
      <c r="WLP198" s="360"/>
      <c r="WLQ198" s="360"/>
      <c r="WLR198" s="360"/>
      <c r="WLS198" s="360"/>
      <c r="WLT198" s="360"/>
      <c r="WLU198" s="360"/>
      <c r="WLV198" s="360"/>
      <c r="WLW198" s="360"/>
      <c r="WLX198" s="360"/>
      <c r="WLY198" s="360"/>
      <c r="WLZ198" s="360"/>
      <c r="WMA198" s="360"/>
      <c r="WMB198" s="360"/>
      <c r="WMC198" s="360"/>
      <c r="WMD198" s="360"/>
      <c r="WME198" s="360"/>
      <c r="WMF198" s="360"/>
      <c r="WMG198" s="360"/>
      <c r="WMH198" s="360"/>
      <c r="WMI198" s="360"/>
      <c r="WMJ198" s="360"/>
      <c r="WMK198" s="360"/>
      <c r="WML198" s="360"/>
      <c r="WMM198" s="360"/>
      <c r="WMN198" s="360"/>
      <c r="WMO198" s="360"/>
      <c r="WMP198" s="360"/>
      <c r="WMQ198" s="360"/>
      <c r="WMR198" s="360"/>
      <c r="WMS198" s="360"/>
      <c r="WMT198" s="360"/>
      <c r="WMU198" s="360"/>
      <c r="WMV198" s="360"/>
      <c r="WMW198" s="360"/>
      <c r="WMX198" s="360"/>
      <c r="WMY198" s="360"/>
      <c r="WMZ198" s="360"/>
      <c r="WNA198" s="360"/>
      <c r="WNB198" s="360"/>
      <c r="WNC198" s="360"/>
      <c r="WND198" s="360"/>
      <c r="WNE198" s="360"/>
      <c r="WNF198" s="360"/>
      <c r="WNG198" s="360"/>
      <c r="WNH198" s="360"/>
      <c r="WNI198" s="360"/>
      <c r="WNJ198" s="360"/>
      <c r="WNK198" s="360"/>
      <c r="WNL198" s="360"/>
      <c r="WNM198" s="360"/>
      <c r="WNN198" s="360"/>
      <c r="WNO198" s="360"/>
      <c r="WNP198" s="360"/>
      <c r="WNQ198" s="360"/>
      <c r="WNR198" s="360"/>
      <c r="WNS198" s="360"/>
      <c r="WNT198" s="360"/>
      <c r="WNU198" s="360"/>
      <c r="WNV198" s="360"/>
      <c r="WNW198" s="360"/>
      <c r="WNX198" s="360"/>
      <c r="WNY198" s="360"/>
      <c r="WNZ198" s="360"/>
      <c r="WOA198" s="360"/>
      <c r="WOB198" s="360"/>
      <c r="WOC198" s="360"/>
      <c r="WOD198" s="360"/>
      <c r="WOE198" s="360"/>
      <c r="WOF198" s="360"/>
      <c r="WOG198" s="360"/>
      <c r="WOH198" s="360"/>
      <c r="WOI198" s="360"/>
      <c r="WOJ198" s="360"/>
      <c r="WOK198" s="360"/>
      <c r="WOL198" s="360"/>
      <c r="WOM198" s="360"/>
      <c r="WON198" s="360"/>
      <c r="WOO198" s="360"/>
      <c r="WOP198" s="360"/>
      <c r="WOQ198" s="360"/>
      <c r="WOR198" s="360"/>
      <c r="WOS198" s="360"/>
      <c r="WOT198" s="360"/>
      <c r="WOU198" s="360"/>
      <c r="WOV198" s="360"/>
      <c r="WOW198" s="360"/>
      <c r="WOX198" s="360"/>
      <c r="WOY198" s="360"/>
      <c r="WOZ198" s="360"/>
      <c r="WPA198" s="360"/>
      <c r="WPB198" s="360"/>
      <c r="WPC198" s="360"/>
      <c r="WPD198" s="360"/>
      <c r="WPE198" s="360"/>
      <c r="WPF198" s="360"/>
      <c r="WPG198" s="360"/>
      <c r="WPH198" s="360"/>
      <c r="WPI198" s="360"/>
      <c r="WPJ198" s="360"/>
      <c r="WPK198" s="360"/>
      <c r="WPL198" s="360"/>
      <c r="WPM198" s="360"/>
      <c r="WPN198" s="360"/>
      <c r="WPO198" s="360"/>
      <c r="WPP198" s="360"/>
      <c r="WPQ198" s="360"/>
      <c r="WPR198" s="360"/>
      <c r="WPS198" s="360"/>
      <c r="WPT198" s="360"/>
      <c r="WPU198" s="360"/>
      <c r="WPV198" s="360"/>
      <c r="WPW198" s="360"/>
      <c r="WPX198" s="360"/>
      <c r="WPY198" s="360"/>
      <c r="WPZ198" s="360"/>
      <c r="WQA198" s="360"/>
      <c r="WQB198" s="360"/>
      <c r="WQC198" s="360"/>
      <c r="WQD198" s="360"/>
      <c r="WQE198" s="360"/>
      <c r="WQF198" s="360"/>
      <c r="WQG198" s="360"/>
      <c r="WQH198" s="360"/>
      <c r="WQI198" s="360"/>
      <c r="WQJ198" s="360"/>
      <c r="WQK198" s="360"/>
      <c r="WQL198" s="360"/>
      <c r="WQM198" s="360"/>
      <c r="WQN198" s="360"/>
      <c r="WQO198" s="360"/>
      <c r="WQP198" s="360"/>
      <c r="WQQ198" s="360"/>
      <c r="WQR198" s="360"/>
      <c r="WQS198" s="360"/>
      <c r="WQT198" s="360"/>
      <c r="WQU198" s="360"/>
      <c r="WQV198" s="360"/>
      <c r="WQW198" s="360"/>
      <c r="WQX198" s="360"/>
      <c r="WQY198" s="360"/>
      <c r="WQZ198" s="360"/>
      <c r="WRA198" s="360"/>
      <c r="WRB198" s="360"/>
      <c r="WRC198" s="360"/>
      <c r="WRD198" s="360"/>
      <c r="WRE198" s="360"/>
      <c r="WRF198" s="360"/>
      <c r="WRG198" s="360"/>
      <c r="WRH198" s="360"/>
      <c r="WRI198" s="360"/>
      <c r="WRJ198" s="360"/>
      <c r="WRK198" s="360"/>
      <c r="WRL198" s="360"/>
      <c r="WRM198" s="360"/>
      <c r="WRN198" s="360"/>
      <c r="WRO198" s="360"/>
      <c r="WRP198" s="360"/>
      <c r="WRQ198" s="360"/>
      <c r="WRR198" s="360"/>
      <c r="WRS198" s="360"/>
      <c r="WRT198" s="360"/>
      <c r="WRU198" s="360"/>
      <c r="WRV198" s="360"/>
      <c r="WRW198" s="360"/>
      <c r="WRX198" s="360"/>
      <c r="WRY198" s="360"/>
      <c r="WRZ198" s="360"/>
      <c r="WSA198" s="360"/>
      <c r="WSB198" s="360"/>
      <c r="WSC198" s="360"/>
      <c r="WSD198" s="360"/>
      <c r="WSE198" s="360"/>
      <c r="WSF198" s="360"/>
      <c r="WSG198" s="360"/>
      <c r="WSH198" s="360"/>
      <c r="WSI198" s="360"/>
      <c r="WSJ198" s="360"/>
      <c r="WSK198" s="360"/>
      <c r="WSL198" s="360"/>
      <c r="WSM198" s="360"/>
      <c r="WSN198" s="360"/>
      <c r="WSO198" s="360"/>
      <c r="WSP198" s="360"/>
      <c r="WSQ198" s="360"/>
      <c r="WSR198" s="360"/>
      <c r="WSS198" s="360"/>
      <c r="WST198" s="360"/>
      <c r="WSU198" s="360"/>
      <c r="WSV198" s="360"/>
      <c r="WSW198" s="360"/>
      <c r="WSX198" s="360"/>
      <c r="WSY198" s="360"/>
      <c r="WSZ198" s="360"/>
      <c r="WTA198" s="360"/>
      <c r="WTB198" s="360"/>
      <c r="WTC198" s="360"/>
      <c r="WTD198" s="360"/>
      <c r="WTE198" s="360"/>
      <c r="WTF198" s="360"/>
      <c r="WTG198" s="360"/>
      <c r="WTH198" s="360"/>
      <c r="WTI198" s="360"/>
      <c r="WTJ198" s="360"/>
      <c r="WTK198" s="360"/>
      <c r="WTL198" s="360"/>
      <c r="WTM198" s="360"/>
      <c r="WTN198" s="360"/>
      <c r="WTO198" s="360"/>
      <c r="WTP198" s="360"/>
      <c r="WTQ198" s="360"/>
      <c r="WTR198" s="360"/>
      <c r="WTS198" s="360"/>
      <c r="WTT198" s="360"/>
      <c r="WTU198" s="360"/>
      <c r="WTV198" s="360"/>
      <c r="WTW198" s="360"/>
      <c r="WTX198" s="360"/>
      <c r="WTY198" s="360"/>
      <c r="WTZ198" s="360"/>
      <c r="WUA198" s="360"/>
      <c r="WUB198" s="360"/>
      <c r="WUC198" s="360"/>
      <c r="WUD198" s="360"/>
      <c r="WUE198" s="360"/>
      <c r="WUF198" s="360"/>
      <c r="WUG198" s="360"/>
      <c r="WUH198" s="360"/>
      <c r="WUI198" s="360"/>
      <c r="WUJ198" s="360"/>
      <c r="WUK198" s="360"/>
      <c r="WUL198" s="360"/>
      <c r="WUM198" s="360"/>
      <c r="WUN198" s="360"/>
      <c r="WUO198" s="360"/>
      <c r="WUP198" s="360"/>
      <c r="WUQ198" s="360"/>
      <c r="WUR198" s="360"/>
      <c r="WUS198" s="360"/>
      <c r="WUT198" s="360"/>
      <c r="WUU198" s="360"/>
      <c r="WUV198" s="360"/>
      <c r="WUW198" s="360"/>
      <c r="WUX198" s="360"/>
      <c r="WUY198" s="360"/>
      <c r="WUZ198" s="360"/>
      <c r="WVA198" s="360"/>
      <c r="WVB198" s="360"/>
      <c r="WVC198" s="360"/>
      <c r="WVD198" s="360"/>
      <c r="WVE198" s="360"/>
      <c r="WVF198" s="360"/>
      <c r="WVG198" s="360"/>
      <c r="WVH198" s="360"/>
      <c r="WVI198" s="360"/>
      <c r="WVJ198" s="360"/>
      <c r="WVK198" s="360"/>
      <c r="WVL198" s="360"/>
      <c r="WVM198" s="360"/>
      <c r="WVN198" s="360"/>
      <c r="WVO198" s="360"/>
    </row>
    <row r="199" spans="1:16135" x14ac:dyDescent="0.25">
      <c r="F199" s="48"/>
      <c r="G199" s="48"/>
    </row>
    <row r="200" spans="1:16135" x14ac:dyDescent="0.25">
      <c r="F200" s="48"/>
      <c r="G200" s="48"/>
    </row>
    <row r="201" spans="1:16135" x14ac:dyDescent="0.25">
      <c r="F201" s="358"/>
      <c r="G201" s="358"/>
    </row>
    <row r="202" spans="1:16135" x14ac:dyDescent="0.25">
      <c r="F202" s="48"/>
      <c r="G202" s="357"/>
    </row>
    <row r="203" spans="1:16135" x14ac:dyDescent="0.25">
      <c r="F203" s="362"/>
      <c r="G203" s="362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85" max="6" man="1"/>
    <brk id="180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7C00-B3FF-4435-9687-6936D07AF9F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Zał.Nr1</vt:lpstr>
      <vt:lpstr>Zał.Nr2</vt:lpstr>
      <vt:lpstr>Zał.Nr3</vt:lpstr>
      <vt:lpstr>Zał.Nr4</vt:lpstr>
      <vt:lpstr>Zał.Nr5</vt:lpstr>
      <vt:lpstr>Zał.Nr6</vt:lpstr>
      <vt:lpstr>Zał.Nr7</vt:lpstr>
      <vt:lpstr>Arkusz1</vt:lpstr>
      <vt:lpstr>Zał.Nr1!Obszar_wydruku</vt:lpstr>
      <vt:lpstr>Zał.Nr2!Obszar_wydruku</vt:lpstr>
      <vt:lpstr>Zał.Nr7!Obszar_wydruku</vt:lpstr>
      <vt:lpstr>Zał.Nr1!Tytuły_wydruku</vt:lpstr>
      <vt:lpstr>Zał.Nr2!Tytuły_wydruku</vt:lpstr>
      <vt:lpstr>Zał.Nr3!Tytuły_wydruku</vt:lpstr>
      <vt:lpstr>Zał.Nr5!Tytuły_wydruku</vt:lpstr>
      <vt:lpstr>Zał.Nr7!Tytuły_wydruku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340/2023 Prezydenta Miasta Wlocławek z dn. 31 sierpnia 2023 r.</dc:title>
  <dc:creator>Beata Duszeńska</dc:creator>
  <cp:keywords>Załącznik do Zarządzenia PRezydenta Miasta Włocławek</cp:keywords>
  <cp:lastModifiedBy>Karolina Budziszewska</cp:lastModifiedBy>
  <cp:lastPrinted>2023-09-04T13:10:12Z</cp:lastPrinted>
  <dcterms:created xsi:type="dcterms:W3CDTF">2023-06-19T06:39:13Z</dcterms:created>
  <dcterms:modified xsi:type="dcterms:W3CDTF">2023-09-05T10:28:41Z</dcterms:modified>
</cp:coreProperties>
</file>