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1678FC80-470A-4482-811B-C1C1FC24955A}" xr6:coauthVersionLast="47" xr6:coauthVersionMax="47" xr10:uidLastSave="{00000000-0000-0000-0000-000000000000}"/>
  <bookViews>
    <workbookView xWindow="-120" yWindow="-120" windowWidth="29040" windowHeight="15840" xr2:uid="{90A1E660-DF61-471E-88EE-BAA580DE0607}"/>
  </bookViews>
  <sheets>
    <sheet name="Zał.Nr1" sheetId="4" r:id="rId1"/>
    <sheet name="Zał .Nr2" sheetId="5" r:id="rId2"/>
    <sheet name="Zał.Nr3" sheetId="6" r:id="rId3"/>
    <sheet name="Zał.Nr4" sheetId="7" r:id="rId4"/>
    <sheet name="Zał.Nr5" sheetId="8" r:id="rId5"/>
    <sheet name="Zał.Nr6" sheetId="9" r:id="rId6"/>
    <sheet name="Zał.Nr7" sheetId="10" r:id="rId7"/>
    <sheet name="Zał.Nr8" sheetId="11" r:id="rId8"/>
    <sheet name="Arkusz1" sheetId="1" r:id="rId9"/>
  </sheets>
  <definedNames>
    <definedName name="_xlnm._FilterDatabase" localSheetId="1" hidden="1">'Zał .Nr2'!$M$1:$M$41</definedName>
    <definedName name="_xlnm._FilterDatabase" localSheetId="0" hidden="1">Zał.Nr1!$A$10:$L$754</definedName>
    <definedName name="_xlnm.Print_Area" localSheetId="1">'Zał .Nr2'!$A$1:$M$20</definedName>
    <definedName name="_xlnm.Print_Area" localSheetId="0">Zał.Nr1!$A$1:$H$789</definedName>
    <definedName name="_xlnm.Print_Area" localSheetId="7">Zał.Nr8!$A$1:$G$216</definedName>
    <definedName name="_xlnm.Print_Titles" localSheetId="1">'Zał .Nr2'!$7:$14</definedName>
    <definedName name="_xlnm.Print_Titles" localSheetId="0">Zał.Nr1!$7:$9</definedName>
    <definedName name="_xlnm.Print_Titles" localSheetId="5">Zał.Nr6!$9:$10</definedName>
    <definedName name="_xlnm.Print_Titles" localSheetId="7">Zał.Nr8!$10:$11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3" i="11" l="1"/>
  <c r="G211" i="11"/>
  <c r="F210" i="11"/>
  <c r="G208" i="11"/>
  <c r="G206" i="11" s="1"/>
  <c r="G204" i="11" s="1"/>
  <c r="G207" i="11"/>
  <c r="G202" i="11"/>
  <c r="G201" i="11" s="1"/>
  <c r="G199" i="11" s="1"/>
  <c r="F196" i="11"/>
  <c r="G194" i="11"/>
  <c r="G193" i="11"/>
  <c r="G191" i="11"/>
  <c r="G189" i="11"/>
  <c r="G186" i="11" s="1"/>
  <c r="G184" i="11" s="1"/>
  <c r="G187" i="11"/>
  <c r="G182" i="11"/>
  <c r="G181" i="11" s="1"/>
  <c r="G179" i="11" s="1"/>
  <c r="G177" i="11"/>
  <c r="G176" i="11"/>
  <c r="G174" i="11" s="1"/>
  <c r="G172" i="11"/>
  <c r="G171" i="11"/>
  <c r="G170" i="11"/>
  <c r="G167" i="11" s="1"/>
  <c r="G165" i="11" s="1"/>
  <c r="G169" i="11"/>
  <c r="G168" i="11"/>
  <c r="G163" i="11"/>
  <c r="G162" i="11"/>
  <c r="G160" i="11"/>
  <c r="G158" i="11"/>
  <c r="G157" i="11"/>
  <c r="G156" i="11"/>
  <c r="G155" i="11"/>
  <c r="G154" i="11"/>
  <c r="G153" i="11" s="1"/>
  <c r="G151" i="11" s="1"/>
  <c r="G149" i="11"/>
  <c r="G148" i="11"/>
  <c r="G146" i="11" s="1"/>
  <c r="G144" i="11"/>
  <c r="G143" i="11"/>
  <c r="G142" i="11"/>
  <c r="G139" i="11" s="1"/>
  <c r="G137" i="11" s="1"/>
  <c r="G141" i="11"/>
  <c r="G140" i="11"/>
  <c r="G135" i="11"/>
  <c r="G134" i="11"/>
  <c r="G132" i="11"/>
  <c r="G130" i="11"/>
  <c r="G129" i="11"/>
  <c r="G128" i="11"/>
  <c r="G127" i="11"/>
  <c r="G126" i="11"/>
  <c r="G125" i="11" s="1"/>
  <c r="G123" i="11" s="1"/>
  <c r="G121" i="11"/>
  <c r="G120" i="11"/>
  <c r="G119" i="11"/>
  <c r="G118" i="11"/>
  <c r="G117" i="11"/>
  <c r="G116" i="11"/>
  <c r="G114" i="11" s="1"/>
  <c r="G112" i="11"/>
  <c r="G111" i="11"/>
  <c r="G109" i="11"/>
  <c r="G107" i="11"/>
  <c r="G106" i="11"/>
  <c r="G105" i="11"/>
  <c r="G104" i="11"/>
  <c r="G102" i="11" s="1"/>
  <c r="G100" i="11" s="1"/>
  <c r="G103" i="11"/>
  <c r="G98" i="11"/>
  <c r="G97" i="11"/>
  <c r="G96" i="11"/>
  <c r="G95" i="11"/>
  <c r="G94" i="11"/>
  <c r="G93" i="11" s="1"/>
  <c r="G91" i="11" s="1"/>
  <c r="G89" i="11"/>
  <c r="G88" i="11"/>
  <c r="G86" i="11" s="1"/>
  <c r="G84" i="11"/>
  <c r="G83" i="11"/>
  <c r="G82" i="11"/>
  <c r="G81" i="11"/>
  <c r="G80" i="11"/>
  <c r="G79" i="11"/>
  <c r="G78" i="11"/>
  <c r="G76" i="11" s="1"/>
  <c r="F73" i="11"/>
  <c r="G71" i="11"/>
  <c r="G70" i="11"/>
  <c r="G69" i="11"/>
  <c r="G67" i="11" s="1"/>
  <c r="F66" i="11"/>
  <c r="G64" i="11"/>
  <c r="G63" i="11"/>
  <c r="G61" i="11" s="1"/>
  <c r="F60" i="11"/>
  <c r="G58" i="11"/>
  <c r="G57" i="11"/>
  <c r="G55" i="11" s="1"/>
  <c r="G53" i="11" s="1"/>
  <c r="G56" i="11"/>
  <c r="F52" i="11"/>
  <c r="F216" i="11" s="1"/>
  <c r="G50" i="11"/>
  <c r="G49" i="11"/>
  <c r="G48" i="11"/>
  <c r="G46" i="11"/>
  <c r="G45" i="11" s="1"/>
  <c r="G43" i="11" s="1"/>
  <c r="F42" i="11"/>
  <c r="G40" i="11"/>
  <c r="G37" i="11" s="1"/>
  <c r="G35" i="11" s="1"/>
  <c r="G39" i="11"/>
  <c r="G38" i="11"/>
  <c r="F34" i="11"/>
  <c r="G32" i="11"/>
  <c r="G31" i="11"/>
  <c r="G30" i="11"/>
  <c r="G29" i="11" s="1"/>
  <c r="G27" i="11" s="1"/>
  <c r="F26" i="11"/>
  <c r="G24" i="11"/>
  <c r="G21" i="11" s="1"/>
  <c r="G19" i="11" s="1"/>
  <c r="G23" i="11"/>
  <c r="G22" i="11"/>
  <c r="F18" i="11"/>
  <c r="G16" i="11"/>
  <c r="G15" i="11"/>
  <c r="G13" i="11"/>
  <c r="F12" i="11"/>
  <c r="G74" i="11" l="1"/>
  <c r="G197" i="11"/>
  <c r="G216" i="11" s="1"/>
  <c r="G33" i="10" l="1"/>
  <c r="F33" i="10"/>
  <c r="E33" i="10"/>
  <c r="D33" i="10"/>
  <c r="F209" i="9" l="1"/>
  <c r="F206" i="9"/>
  <c r="F195" i="9"/>
  <c r="F193" i="9"/>
  <c r="F191" i="9"/>
  <c r="F184" i="9"/>
  <c r="F181" i="9"/>
  <c r="F176" i="9"/>
  <c r="F162" i="9"/>
  <c r="F152" i="9"/>
  <c r="F148" i="9"/>
  <c r="F137" i="9"/>
  <c r="F135" i="9"/>
  <c r="F133" i="9"/>
  <c r="F117" i="9"/>
  <c r="F114" i="9"/>
  <c r="F107" i="9"/>
  <c r="F211" i="9" s="1"/>
  <c r="F103" i="9"/>
  <c r="F102" i="9"/>
  <c r="F101" i="9"/>
  <c r="F100" i="9"/>
  <c r="F96" i="9"/>
  <c r="F95" i="9"/>
  <c r="F93" i="9"/>
  <c r="F91" i="9"/>
  <c r="F89" i="9"/>
  <c r="F88" i="9"/>
  <c r="F87" i="9"/>
  <c r="F86" i="9"/>
  <c r="F85" i="9"/>
  <c r="F84" i="9"/>
  <c r="F83" i="9"/>
  <c r="F82" i="9"/>
  <c r="F104" i="9" s="1"/>
  <c r="F81" i="9"/>
  <c r="F80" i="9"/>
  <c r="F79" i="9"/>
  <c r="F78" i="9"/>
  <c r="F72" i="9"/>
  <c r="F68" i="9"/>
  <c r="F58" i="9"/>
  <c r="F55" i="9"/>
  <c r="F43" i="9"/>
  <c r="F41" i="9"/>
  <c r="F39" i="9"/>
  <c r="F24" i="9"/>
  <c r="F17" i="9"/>
  <c r="F16" i="9"/>
  <c r="F15" i="9"/>
  <c r="F44" i="8"/>
  <c r="F43" i="8"/>
  <c r="F45" i="8" s="1"/>
  <c r="F42" i="8"/>
  <c r="F41" i="8"/>
  <c r="F40" i="8"/>
  <c r="F39" i="8"/>
  <c r="F38" i="8"/>
  <c r="F37" i="8"/>
  <c r="F36" i="8"/>
  <c r="F35" i="8"/>
  <c r="F32" i="8"/>
  <c r="F30" i="8"/>
  <c r="F28" i="8"/>
  <c r="F26" i="8"/>
  <c r="F25" i="8"/>
  <c r="F24" i="8" s="1"/>
  <c r="F22" i="8"/>
  <c r="F21" i="8"/>
  <c r="F20" i="8"/>
  <c r="F15" i="8"/>
  <c r="F14" i="8"/>
  <c r="J25" i="7"/>
  <c r="I25" i="7"/>
  <c r="H25" i="7"/>
  <c r="G25" i="7"/>
  <c r="D25" i="7"/>
  <c r="E24" i="7"/>
  <c r="E23" i="7"/>
  <c r="F22" i="7"/>
  <c r="E22" i="7" s="1"/>
  <c r="E21" i="7"/>
  <c r="F20" i="7"/>
  <c r="E20" i="7"/>
  <c r="F19" i="7"/>
  <c r="E19" i="7" s="1"/>
  <c r="I18" i="7"/>
  <c r="F18" i="7"/>
  <c r="E18" i="7" s="1"/>
  <c r="I17" i="7"/>
  <c r="F17" i="7"/>
  <c r="F25" i="7" s="1"/>
  <c r="E17" i="7"/>
  <c r="F16" i="7"/>
  <c r="E16" i="7" s="1"/>
  <c r="I20" i="6"/>
  <c r="H20" i="6"/>
  <c r="F19" i="6"/>
  <c r="E19" i="6"/>
  <c r="D19" i="6"/>
  <c r="E18" i="6"/>
  <c r="G17" i="6"/>
  <c r="F17" i="6"/>
  <c r="E17" i="6" s="1"/>
  <c r="D17" i="6"/>
  <c r="G16" i="6"/>
  <c r="F16" i="6"/>
  <c r="E16" i="6" s="1"/>
  <c r="D16" i="6"/>
  <c r="G15" i="6"/>
  <c r="G20" i="6" s="1"/>
  <c r="F15" i="6"/>
  <c r="E15" i="6" s="1"/>
  <c r="D15" i="6"/>
  <c r="F14" i="6"/>
  <c r="E14" i="6"/>
  <c r="D14" i="6"/>
  <c r="D20" i="6" s="1"/>
  <c r="H788" i="4"/>
  <c r="H787" i="4"/>
  <c r="H786" i="4"/>
  <c r="G786" i="4"/>
  <c r="F786" i="4"/>
  <c r="H785" i="4"/>
  <c r="H784" i="4"/>
  <c r="H783" i="4"/>
  <c r="G782" i="4"/>
  <c r="F782" i="4"/>
  <c r="H782" i="4" s="1"/>
  <c r="G781" i="4"/>
  <c r="G780" i="4"/>
  <c r="H779" i="4"/>
  <c r="G778" i="4"/>
  <c r="F778" i="4"/>
  <c r="H778" i="4" s="1"/>
  <c r="H777" i="4"/>
  <c r="G776" i="4"/>
  <c r="F776" i="4"/>
  <c r="G775" i="4"/>
  <c r="G772" i="4" s="1"/>
  <c r="H771" i="4"/>
  <c r="H770" i="4"/>
  <c r="H769" i="4"/>
  <c r="H768" i="4"/>
  <c r="G767" i="4"/>
  <c r="G766" i="4" s="1"/>
  <c r="G765" i="4" s="1"/>
  <c r="F767" i="4"/>
  <c r="F766" i="4"/>
  <c r="H764" i="4"/>
  <c r="G763" i="4"/>
  <c r="F763" i="4"/>
  <c r="G762" i="4"/>
  <c r="G761" i="4" s="1"/>
  <c r="H760" i="4"/>
  <c r="H759" i="4"/>
  <c r="H758" i="4"/>
  <c r="G757" i="4"/>
  <c r="F757" i="4"/>
  <c r="G756" i="4"/>
  <c r="G755" i="4" s="1"/>
  <c r="H753" i="4"/>
  <c r="H752" i="4"/>
  <c r="G752" i="4"/>
  <c r="F752" i="4"/>
  <c r="F751" i="4" s="1"/>
  <c r="G751" i="4"/>
  <c r="H748" i="4"/>
  <c r="G747" i="4"/>
  <c r="G746" i="4" s="1"/>
  <c r="G734" i="4" s="1"/>
  <c r="F747" i="4"/>
  <c r="F746" i="4"/>
  <c r="H745" i="4"/>
  <c r="H744" i="4"/>
  <c r="H743" i="4"/>
  <c r="G742" i="4"/>
  <c r="H742" i="4" s="1"/>
  <c r="F742" i="4"/>
  <c r="H741" i="4"/>
  <c r="F741" i="4"/>
  <c r="F738" i="4" s="1"/>
  <c r="H740" i="4"/>
  <c r="H739" i="4"/>
  <c r="G738" i="4"/>
  <c r="G737" i="4"/>
  <c r="H733" i="4"/>
  <c r="H732" i="4"/>
  <c r="H731" i="4"/>
  <c r="G730" i="4"/>
  <c r="G729" i="4" s="1"/>
  <c r="G728" i="4" s="1"/>
  <c r="F730" i="4"/>
  <c r="H730" i="4" s="1"/>
  <c r="F729" i="4"/>
  <c r="H727" i="4"/>
  <c r="F726" i="4"/>
  <c r="H726" i="4" s="1"/>
  <c r="G725" i="4"/>
  <c r="G724" i="4" s="1"/>
  <c r="H723" i="4"/>
  <c r="H722" i="4"/>
  <c r="G721" i="4"/>
  <c r="G720" i="4" s="1"/>
  <c r="G711" i="4" s="1"/>
  <c r="F721" i="4"/>
  <c r="F720" i="4"/>
  <c r="H720" i="4" s="1"/>
  <c r="H719" i="4"/>
  <c r="H718" i="4"/>
  <c r="H717" i="4"/>
  <c r="H716" i="4"/>
  <c r="H715" i="4"/>
  <c r="G714" i="4"/>
  <c r="F714" i="4"/>
  <c r="G712" i="4"/>
  <c r="H710" i="4"/>
  <c r="H709" i="4"/>
  <c r="G708" i="4"/>
  <c r="F708" i="4"/>
  <c r="H707" i="4"/>
  <c r="H706" i="4"/>
  <c r="G706" i="4"/>
  <c r="F706" i="4"/>
  <c r="F705" i="4"/>
  <c r="H701" i="4"/>
  <c r="H700" i="4"/>
  <c r="H699" i="4"/>
  <c r="G699" i="4"/>
  <c r="F699" i="4"/>
  <c r="H698" i="4"/>
  <c r="H697" i="4"/>
  <c r="G697" i="4"/>
  <c r="G692" i="4" s="1"/>
  <c r="G691" i="4" s="1"/>
  <c r="F697" i="4"/>
  <c r="H696" i="4"/>
  <c r="H695" i="4"/>
  <c r="H694" i="4"/>
  <c r="G693" i="4"/>
  <c r="F693" i="4"/>
  <c r="H693" i="4" s="1"/>
  <c r="H689" i="4"/>
  <c r="F689" i="4"/>
  <c r="H688" i="4"/>
  <c r="F688" i="4"/>
  <c r="H687" i="4"/>
  <c r="G687" i="4"/>
  <c r="F687" i="4"/>
  <c r="H686" i="4"/>
  <c r="H685" i="4"/>
  <c r="H684" i="4"/>
  <c r="G683" i="4"/>
  <c r="F683" i="4"/>
  <c r="G682" i="4"/>
  <c r="G681" i="4" s="1"/>
  <c r="H680" i="4"/>
  <c r="H679" i="4"/>
  <c r="G678" i="4"/>
  <c r="H678" i="4" s="1"/>
  <c r="F678" i="4"/>
  <c r="F677" i="4"/>
  <c r="F676" i="4" s="1"/>
  <c r="H674" i="4"/>
  <c r="H673" i="4"/>
  <c r="H672" i="4"/>
  <c r="F671" i="4"/>
  <c r="H671" i="4" s="1"/>
  <c r="G670" i="4"/>
  <c r="G669" i="4" s="1"/>
  <c r="G668" i="4" s="1"/>
  <c r="H667" i="4"/>
  <c r="H666" i="4"/>
  <c r="F665" i="4"/>
  <c r="G664" i="4"/>
  <c r="G663" i="4" s="1"/>
  <c r="G662" i="4" s="1"/>
  <c r="H661" i="4"/>
  <c r="H660" i="4"/>
  <c r="H659" i="4"/>
  <c r="H658" i="4"/>
  <c r="H657" i="4"/>
  <c r="H656" i="4"/>
  <c r="G656" i="4"/>
  <c r="F656" i="4"/>
  <c r="F655" i="4" s="1"/>
  <c r="G655" i="4"/>
  <c r="H654" i="4"/>
  <c r="G654" i="4"/>
  <c r="H653" i="4"/>
  <c r="G652" i="4"/>
  <c r="H652" i="4" s="1"/>
  <c r="F652" i="4"/>
  <c r="F651" i="4"/>
  <c r="H649" i="4"/>
  <c r="H648" i="4"/>
  <c r="H647" i="4"/>
  <c r="G646" i="4"/>
  <c r="F646" i="4"/>
  <c r="H645" i="4"/>
  <c r="H644" i="4"/>
  <c r="G643" i="4"/>
  <c r="G642" i="4" s="1"/>
  <c r="F643" i="4"/>
  <c r="H643" i="4" s="1"/>
  <c r="H641" i="4"/>
  <c r="H640" i="4"/>
  <c r="G639" i="4"/>
  <c r="F639" i="4"/>
  <c r="H638" i="4"/>
  <c r="H637" i="4"/>
  <c r="H636" i="4"/>
  <c r="G636" i="4"/>
  <c r="F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G621" i="4"/>
  <c r="H621" i="4" s="1"/>
  <c r="F621" i="4"/>
  <c r="F620" i="4"/>
  <c r="H619" i="4"/>
  <c r="H618" i="4"/>
  <c r="G617" i="4"/>
  <c r="H617" i="4" s="1"/>
  <c r="F617" i="4"/>
  <c r="F615" i="4"/>
  <c r="H614" i="4"/>
  <c r="H613" i="4"/>
  <c r="G612" i="4"/>
  <c r="H612" i="4" s="1"/>
  <c r="F612" i="4"/>
  <c r="F611" i="4"/>
  <c r="H609" i="4"/>
  <c r="H608" i="4"/>
  <c r="G608" i="4"/>
  <c r="F608" i="4"/>
  <c r="F607" i="4"/>
  <c r="H607" i="4" s="1"/>
  <c r="F606" i="4"/>
  <c r="F604" i="4" s="1"/>
  <c r="G605" i="4"/>
  <c r="H602" i="4"/>
  <c r="H601" i="4"/>
  <c r="G601" i="4"/>
  <c r="F601" i="4"/>
  <c r="F598" i="4" s="1"/>
  <c r="H598" i="4" s="1"/>
  <c r="H600" i="4"/>
  <c r="G599" i="4"/>
  <c r="H599" i="4" s="1"/>
  <c r="F599" i="4"/>
  <c r="G598" i="4"/>
  <c r="H597" i="4"/>
  <c r="G596" i="4"/>
  <c r="H596" i="4" s="1"/>
  <c r="F596" i="4"/>
  <c r="H595" i="4"/>
  <c r="G595" i="4"/>
  <c r="H594" i="4"/>
  <c r="G594" i="4"/>
  <c r="H593" i="4"/>
  <c r="G593" i="4"/>
  <c r="H592" i="4"/>
  <c r="F592" i="4"/>
  <c r="H591" i="4"/>
  <c r="G591" i="4"/>
  <c r="F591" i="4"/>
  <c r="H590" i="4"/>
  <c r="H589" i="4"/>
  <c r="G588" i="4"/>
  <c r="H588" i="4" s="1"/>
  <c r="F588" i="4"/>
  <c r="F587" i="4"/>
  <c r="G586" i="4"/>
  <c r="H586" i="4" s="1"/>
  <c r="G585" i="4"/>
  <c r="H585" i="4" s="1"/>
  <c r="F584" i="4"/>
  <c r="G583" i="4"/>
  <c r="H583" i="4" s="1"/>
  <c r="G582" i="4"/>
  <c r="H581" i="4"/>
  <c r="G580" i="4"/>
  <c r="F580" i="4"/>
  <c r="H580" i="4" s="1"/>
  <c r="F577" i="4"/>
  <c r="H577" i="4" s="1"/>
  <c r="G576" i="4"/>
  <c r="H576" i="4" s="1"/>
  <c r="G575" i="4"/>
  <c r="H575" i="4" s="1"/>
  <c r="H574" i="4"/>
  <c r="G574" i="4"/>
  <c r="G573" i="4" s="1"/>
  <c r="G572" i="4" s="1"/>
  <c r="F573" i="4"/>
  <c r="H571" i="4"/>
  <c r="G570" i="4"/>
  <c r="F570" i="4"/>
  <c r="G569" i="4"/>
  <c r="H567" i="4"/>
  <c r="H566" i="4"/>
  <c r="G565" i="4"/>
  <c r="F565" i="4"/>
  <c r="H564" i="4"/>
  <c r="H563" i="4"/>
  <c r="H562" i="4"/>
  <c r="G562" i="4"/>
  <c r="F562" i="4"/>
  <c r="H561" i="4"/>
  <c r="H560" i="4"/>
  <c r="G559" i="4"/>
  <c r="H559" i="4" s="1"/>
  <c r="F559" i="4"/>
  <c r="F557" i="4"/>
  <c r="F556" i="4"/>
  <c r="H555" i="4"/>
  <c r="H554" i="4"/>
  <c r="G553" i="4"/>
  <c r="H553" i="4" s="1"/>
  <c r="F553" i="4"/>
  <c r="H552" i="4"/>
  <c r="H551" i="4"/>
  <c r="G550" i="4"/>
  <c r="F550" i="4"/>
  <c r="G549" i="4"/>
  <c r="H548" i="4"/>
  <c r="G547" i="4"/>
  <c r="H547" i="4" s="1"/>
  <c r="F547" i="4"/>
  <c r="H546" i="4"/>
  <c r="G546" i="4"/>
  <c r="H545" i="4"/>
  <c r="G544" i="4"/>
  <c r="G543" i="4" s="1"/>
  <c r="F544" i="4"/>
  <c r="H544" i="4" s="1"/>
  <c r="F543" i="4"/>
  <c r="H543" i="4" s="1"/>
  <c r="H542" i="4"/>
  <c r="H541" i="4"/>
  <c r="G540" i="4"/>
  <c r="G539" i="4" s="1"/>
  <c r="F540" i="4"/>
  <c r="H540" i="4" s="1"/>
  <c r="F539" i="4"/>
  <c r="H538" i="4"/>
  <c r="H537" i="4"/>
  <c r="H536" i="4"/>
  <c r="H535" i="4"/>
  <c r="H534" i="4"/>
  <c r="H533" i="4"/>
  <c r="G532" i="4"/>
  <c r="G531" i="4" s="1"/>
  <c r="G499" i="4" s="1"/>
  <c r="F532" i="4"/>
  <c r="F531" i="4"/>
  <c r="H530" i="4"/>
  <c r="G529" i="4"/>
  <c r="F529" i="4"/>
  <c r="G528" i="4"/>
  <c r="H527" i="4"/>
  <c r="H526" i="4"/>
  <c r="G526" i="4"/>
  <c r="F526" i="4"/>
  <c r="H525" i="4"/>
  <c r="H524" i="4"/>
  <c r="G524" i="4"/>
  <c r="F524" i="4"/>
  <c r="H523" i="4"/>
  <c r="G523" i="4"/>
  <c r="F523" i="4"/>
  <c r="H521" i="4"/>
  <c r="H520" i="4"/>
  <c r="H519" i="4"/>
  <c r="G518" i="4"/>
  <c r="F518" i="4"/>
  <c r="G517" i="4"/>
  <c r="H516" i="4"/>
  <c r="H515" i="4"/>
  <c r="H514" i="4"/>
  <c r="H513" i="4"/>
  <c r="H512" i="4"/>
  <c r="H511" i="4"/>
  <c r="G510" i="4"/>
  <c r="F510" i="4"/>
  <c r="H510" i="4" s="1"/>
  <c r="H509" i="4"/>
  <c r="H508" i="4"/>
  <c r="H507" i="4"/>
  <c r="H506" i="4"/>
  <c r="H505" i="4"/>
  <c r="H504" i="4"/>
  <c r="H503" i="4"/>
  <c r="H502" i="4"/>
  <c r="G501" i="4"/>
  <c r="F501" i="4"/>
  <c r="G500" i="4"/>
  <c r="F500" i="4"/>
  <c r="H498" i="4"/>
  <c r="H497" i="4"/>
  <c r="G496" i="4"/>
  <c r="G495" i="4" s="1"/>
  <c r="F496" i="4"/>
  <c r="H496" i="4" s="1"/>
  <c r="F495" i="4"/>
  <c r="H494" i="4"/>
  <c r="H493" i="4"/>
  <c r="H492" i="4"/>
  <c r="H491" i="4"/>
  <c r="H490" i="4"/>
  <c r="G489" i="4"/>
  <c r="F489" i="4"/>
  <c r="H489" i="4" s="1"/>
  <c r="H488" i="4"/>
  <c r="H487" i="4"/>
  <c r="H486" i="4"/>
  <c r="H485" i="4"/>
  <c r="G485" i="4"/>
  <c r="G479" i="4" s="1"/>
  <c r="F485" i="4"/>
  <c r="H483" i="4"/>
  <c r="H482" i="4"/>
  <c r="H481" i="4"/>
  <c r="G480" i="4"/>
  <c r="F480" i="4"/>
  <c r="H478" i="4"/>
  <c r="H477" i="4"/>
  <c r="G476" i="4"/>
  <c r="F476" i="4"/>
  <c r="G475" i="4"/>
  <c r="H473" i="4"/>
  <c r="G473" i="4"/>
  <c r="G472" i="4" s="1"/>
  <c r="F472" i="4"/>
  <c r="H472" i="4" s="1"/>
  <c r="H471" i="4"/>
  <c r="F471" i="4"/>
  <c r="G470" i="4"/>
  <c r="F469" i="4"/>
  <c r="H467" i="4"/>
  <c r="H466" i="4"/>
  <c r="G466" i="4"/>
  <c r="G465" i="4"/>
  <c r="F465" i="4"/>
  <c r="H463" i="4"/>
  <c r="F463" i="4"/>
  <c r="H462" i="4"/>
  <c r="G462" i="4"/>
  <c r="G461" i="4" s="1"/>
  <c r="F461" i="4"/>
  <c r="H460" i="4"/>
  <c r="G460" i="4"/>
  <c r="G459" i="4"/>
  <c r="H459" i="4" s="1"/>
  <c r="H458" i="4"/>
  <c r="F458" i="4"/>
  <c r="G457" i="4"/>
  <c r="F456" i="4"/>
  <c r="H454" i="4"/>
  <c r="H453" i="4"/>
  <c r="G452" i="4"/>
  <c r="G449" i="4" s="1"/>
  <c r="H449" i="4" s="1"/>
  <c r="F452" i="4"/>
  <c r="H451" i="4"/>
  <c r="H450" i="4"/>
  <c r="G450" i="4"/>
  <c r="F450" i="4"/>
  <c r="F449" i="4"/>
  <c r="H446" i="4"/>
  <c r="F446" i="4"/>
  <c r="H445" i="4"/>
  <c r="G445" i="4"/>
  <c r="H444" i="4"/>
  <c r="F444" i="4"/>
  <c r="H443" i="4"/>
  <c r="F443" i="4"/>
  <c r="H442" i="4"/>
  <c r="G442" i="4"/>
  <c r="G441" i="4" s="1"/>
  <c r="F441" i="4"/>
  <c r="F440" i="4" s="1"/>
  <c r="H432" i="4"/>
  <c r="F432" i="4"/>
  <c r="F431" i="4"/>
  <c r="H431" i="4" s="1"/>
  <c r="H430" i="4"/>
  <c r="G430" i="4"/>
  <c r="F429" i="4"/>
  <c r="H429" i="4" s="1"/>
  <c r="G428" i="4"/>
  <c r="G427" i="4"/>
  <c r="F426" i="4"/>
  <c r="H426" i="4" s="1"/>
  <c r="H425" i="4"/>
  <c r="G425" i="4"/>
  <c r="G424" i="4"/>
  <c r="H424" i="4" s="1"/>
  <c r="H423" i="4"/>
  <c r="G423" i="4"/>
  <c r="G422" i="4"/>
  <c r="H422" i="4" s="1"/>
  <c r="H421" i="4"/>
  <c r="F421" i="4"/>
  <c r="G420" i="4"/>
  <c r="G419" i="4" s="1"/>
  <c r="F420" i="4"/>
  <c r="H416" i="4"/>
  <c r="F416" i="4"/>
  <c r="F412" i="4" s="1"/>
  <c r="F409" i="4" s="1"/>
  <c r="G415" i="4"/>
  <c r="H415" i="4" s="1"/>
  <c r="H414" i="4"/>
  <c r="G414" i="4"/>
  <c r="G413" i="4"/>
  <c r="G412" i="4" s="1"/>
  <c r="G409" i="4" s="1"/>
  <c r="H411" i="4"/>
  <c r="H410" i="4"/>
  <c r="G410" i="4"/>
  <c r="F410" i="4"/>
  <c r="G405" i="4"/>
  <c r="G400" i="4" s="1"/>
  <c r="H404" i="4"/>
  <c r="F404" i="4"/>
  <c r="F403" i="4"/>
  <c r="H403" i="4" s="1"/>
  <c r="H402" i="4"/>
  <c r="G402" i="4"/>
  <c r="F401" i="4"/>
  <c r="H401" i="4" s="1"/>
  <c r="G399" i="4"/>
  <c r="H398" i="4"/>
  <c r="G397" i="4"/>
  <c r="H397" i="4" s="1"/>
  <c r="F397" i="4"/>
  <c r="H396" i="4"/>
  <c r="H395" i="4"/>
  <c r="H394" i="4"/>
  <c r="G393" i="4"/>
  <c r="F393" i="4"/>
  <c r="H393" i="4" s="1"/>
  <c r="H392" i="4"/>
  <c r="F392" i="4"/>
  <c r="F390" i="4" s="1"/>
  <c r="F389" i="4" s="1"/>
  <c r="G391" i="4"/>
  <c r="G390" i="4" s="1"/>
  <c r="H390" i="4"/>
  <c r="G389" i="4"/>
  <c r="F388" i="4"/>
  <c r="H388" i="4" s="1"/>
  <c r="H387" i="4"/>
  <c r="G387" i="4"/>
  <c r="F386" i="4"/>
  <c r="H386" i="4" s="1"/>
  <c r="H385" i="4"/>
  <c r="G385" i="4"/>
  <c r="G384" i="4"/>
  <c r="G383" i="4" s="1"/>
  <c r="G382" i="4" s="1"/>
  <c r="H380" i="4"/>
  <c r="G379" i="4"/>
  <c r="H379" i="4" s="1"/>
  <c r="F379" i="4"/>
  <c r="G378" i="4"/>
  <c r="H378" i="4" s="1"/>
  <c r="H377" i="4"/>
  <c r="F377" i="4"/>
  <c r="F376" i="4"/>
  <c r="H376" i="4" s="1"/>
  <c r="H375" i="4"/>
  <c r="F375" i="4"/>
  <c r="G374" i="4"/>
  <c r="G373" i="4" s="1"/>
  <c r="F374" i="4"/>
  <c r="H372" i="4"/>
  <c r="H371" i="4"/>
  <c r="G370" i="4"/>
  <c r="F370" i="4"/>
  <c r="H370" i="4" s="1"/>
  <c r="H369" i="4"/>
  <c r="G369" i="4"/>
  <c r="F368" i="4"/>
  <c r="H368" i="4" s="1"/>
  <c r="H367" i="4"/>
  <c r="F367" i="4"/>
  <c r="F366" i="4"/>
  <c r="H365" i="4"/>
  <c r="G365" i="4"/>
  <c r="G364" i="4"/>
  <c r="H361" i="4"/>
  <c r="H360" i="4"/>
  <c r="G360" i="4"/>
  <c r="F360" i="4"/>
  <c r="H359" i="4"/>
  <c r="H358" i="4"/>
  <c r="H357" i="4"/>
  <c r="G356" i="4"/>
  <c r="F356" i="4"/>
  <c r="H356" i="4" s="1"/>
  <c r="H355" i="4"/>
  <c r="F355" i="4"/>
  <c r="G354" i="4"/>
  <c r="H354" i="4" s="1"/>
  <c r="H353" i="4"/>
  <c r="F353" i="4"/>
  <c r="G352" i="4"/>
  <c r="H352" i="4" s="1"/>
  <c r="H351" i="4"/>
  <c r="F351" i="4"/>
  <c r="G350" i="4"/>
  <c r="H350" i="4" s="1"/>
  <c r="H349" i="4"/>
  <c r="G349" i="4"/>
  <c r="F348" i="4"/>
  <c r="G347" i="4"/>
  <c r="G343" i="4" s="1"/>
  <c r="H346" i="4"/>
  <c r="H345" i="4"/>
  <c r="H344" i="4"/>
  <c r="G344" i="4"/>
  <c r="F344" i="4"/>
  <c r="H342" i="4"/>
  <c r="G341" i="4"/>
  <c r="G330" i="4" s="1"/>
  <c r="H330" i="4" s="1"/>
  <c r="F341" i="4"/>
  <c r="H340" i="4"/>
  <c r="H339" i="4"/>
  <c r="H338" i="4"/>
  <c r="H337" i="4"/>
  <c r="G337" i="4"/>
  <c r="F337" i="4"/>
  <c r="H336" i="4"/>
  <c r="G336" i="4"/>
  <c r="G335" i="4"/>
  <c r="H335" i="4" s="1"/>
  <c r="H334" i="4"/>
  <c r="G334" i="4"/>
  <c r="F334" i="4"/>
  <c r="H333" i="4"/>
  <c r="H332" i="4"/>
  <c r="H331" i="4"/>
  <c r="G331" i="4"/>
  <c r="F331" i="4"/>
  <c r="F330" i="4" s="1"/>
  <c r="F329" i="4"/>
  <c r="G328" i="4"/>
  <c r="H327" i="4"/>
  <c r="H326" i="4"/>
  <c r="G325" i="4"/>
  <c r="G324" i="4" s="1"/>
  <c r="F325" i="4"/>
  <c r="H323" i="4"/>
  <c r="H322" i="4"/>
  <c r="G322" i="4"/>
  <c r="F322" i="4"/>
  <c r="H321" i="4"/>
  <c r="H320" i="4"/>
  <c r="H319" i="4"/>
  <c r="G318" i="4"/>
  <c r="F318" i="4"/>
  <c r="H318" i="4" s="1"/>
  <c r="G317" i="4"/>
  <c r="H317" i="4" s="1"/>
  <c r="H316" i="4"/>
  <c r="F316" i="4"/>
  <c r="G315" i="4"/>
  <c r="H315" i="4" s="1"/>
  <c r="H314" i="4"/>
  <c r="F314" i="4"/>
  <c r="F313" i="4"/>
  <c r="H313" i="4" s="1"/>
  <c r="H312" i="4"/>
  <c r="G312" i="4"/>
  <c r="F311" i="4"/>
  <c r="H311" i="4" s="1"/>
  <c r="H310" i="4"/>
  <c r="G310" i="4"/>
  <c r="G309" i="4"/>
  <c r="H309" i="4" s="1"/>
  <c r="H308" i="4"/>
  <c r="G308" i="4"/>
  <c r="F307" i="4"/>
  <c r="H307" i="4" s="1"/>
  <c r="H306" i="4"/>
  <c r="G306" i="4"/>
  <c r="G305" i="4"/>
  <c r="H305" i="4" s="1"/>
  <c r="H304" i="4"/>
  <c r="G304" i="4"/>
  <c r="F303" i="4"/>
  <c r="H303" i="4" s="1"/>
  <c r="G302" i="4"/>
  <c r="H301" i="4"/>
  <c r="H300" i="4"/>
  <c r="G300" i="4"/>
  <c r="F300" i="4"/>
  <c r="G299" i="4"/>
  <c r="F298" i="4"/>
  <c r="H298" i="4" s="1"/>
  <c r="H297" i="4"/>
  <c r="F297" i="4"/>
  <c r="F295" i="4" s="1"/>
  <c r="F294" i="4" s="1"/>
  <c r="G296" i="4"/>
  <c r="H296" i="4" s="1"/>
  <c r="H295" i="4"/>
  <c r="G295" i="4"/>
  <c r="G294" i="4"/>
  <c r="G293" i="4"/>
  <c r="H293" i="4" s="1"/>
  <c r="H292" i="4"/>
  <c r="F292" i="4"/>
  <c r="G291" i="4"/>
  <c r="H291" i="4" s="1"/>
  <c r="H290" i="4"/>
  <c r="G290" i="4"/>
  <c r="F289" i="4"/>
  <c r="H289" i="4" s="1"/>
  <c r="G288" i="4"/>
  <c r="G287" i="4"/>
  <c r="H286" i="4"/>
  <c r="H285" i="4"/>
  <c r="H284" i="4"/>
  <c r="G284" i="4"/>
  <c r="F284" i="4"/>
  <c r="G283" i="4"/>
  <c r="F283" i="4"/>
  <c r="H283" i="4" s="1"/>
  <c r="H282" i="4"/>
  <c r="G281" i="4"/>
  <c r="F281" i="4"/>
  <c r="H281" i="4" s="1"/>
  <c r="H280" i="4"/>
  <c r="G280" i="4"/>
  <c r="H279" i="4"/>
  <c r="G279" i="4"/>
  <c r="H278" i="4"/>
  <c r="F278" i="4"/>
  <c r="H277" i="4"/>
  <c r="F277" i="4"/>
  <c r="F275" i="4" s="1"/>
  <c r="F274" i="4" s="1"/>
  <c r="H276" i="4"/>
  <c r="F276" i="4"/>
  <c r="G275" i="4"/>
  <c r="G274" i="4"/>
  <c r="H273" i="4"/>
  <c r="G272" i="4"/>
  <c r="F272" i="4"/>
  <c r="H272" i="4" s="1"/>
  <c r="H271" i="4"/>
  <c r="G270" i="4"/>
  <c r="G243" i="4" s="1"/>
  <c r="F270" i="4"/>
  <c r="H269" i="4"/>
  <c r="F269" i="4"/>
  <c r="H268" i="4"/>
  <c r="G268" i="4"/>
  <c r="H267" i="4"/>
  <c r="G267" i="4"/>
  <c r="H266" i="4"/>
  <c r="F266" i="4"/>
  <c r="H265" i="4"/>
  <c r="H264" i="4"/>
  <c r="H263" i="4"/>
  <c r="G263" i="4"/>
  <c r="H262" i="4"/>
  <c r="F262" i="4"/>
  <c r="H261" i="4"/>
  <c r="F261" i="4"/>
  <c r="H260" i="4"/>
  <c r="F260" i="4"/>
  <c r="H259" i="4"/>
  <c r="G259" i="4"/>
  <c r="H258" i="4"/>
  <c r="G258" i="4"/>
  <c r="H257" i="4"/>
  <c r="F257" i="4"/>
  <c r="F249" i="4" s="1"/>
  <c r="H249" i="4" s="1"/>
  <c r="H256" i="4"/>
  <c r="F256" i="4"/>
  <c r="H255" i="4"/>
  <c r="G255" i="4"/>
  <c r="H254" i="4"/>
  <c r="G254" i="4"/>
  <c r="H253" i="4"/>
  <c r="G253" i="4"/>
  <c r="H252" i="4"/>
  <c r="G252" i="4"/>
  <c r="H251" i="4"/>
  <c r="G251" i="4"/>
  <c r="H250" i="4"/>
  <c r="F250" i="4"/>
  <c r="G249" i="4"/>
  <c r="H248" i="4"/>
  <c r="H247" i="4"/>
  <c r="H246" i="4"/>
  <c r="H245" i="4"/>
  <c r="H244" i="4"/>
  <c r="G244" i="4"/>
  <c r="F244" i="4"/>
  <c r="F243" i="4" s="1"/>
  <c r="H242" i="4"/>
  <c r="F242" i="4"/>
  <c r="H241" i="4"/>
  <c r="G241" i="4"/>
  <c r="G240" i="4" s="1"/>
  <c r="G239" i="4" s="1"/>
  <c r="F240" i="4"/>
  <c r="H238" i="4"/>
  <c r="H237" i="4"/>
  <c r="G236" i="4"/>
  <c r="F236" i="4"/>
  <c r="H236" i="4" s="1"/>
  <c r="F235" i="4"/>
  <c r="H235" i="4" s="1"/>
  <c r="G234" i="4"/>
  <c r="H234" i="4" s="1"/>
  <c r="F233" i="4"/>
  <c r="H233" i="4" s="1"/>
  <c r="F232" i="4"/>
  <c r="H232" i="4" s="1"/>
  <c r="F231" i="4"/>
  <c r="H231" i="4" s="1"/>
  <c r="G230" i="4"/>
  <c r="H227" i="4"/>
  <c r="H226" i="4"/>
  <c r="H225" i="4"/>
  <c r="G224" i="4"/>
  <c r="F224" i="4"/>
  <c r="H224" i="4" s="1"/>
  <c r="H223" i="4"/>
  <c r="G223" i="4"/>
  <c r="H222" i="4"/>
  <c r="F222" i="4"/>
  <c r="H221" i="4"/>
  <c r="G221" i="4"/>
  <c r="H220" i="4"/>
  <c r="F220" i="4"/>
  <c r="H219" i="4"/>
  <c r="F219" i="4"/>
  <c r="H218" i="4"/>
  <c r="F218" i="4"/>
  <c r="H217" i="4"/>
  <c r="F217" i="4"/>
  <c r="H216" i="4"/>
  <c r="F216" i="4"/>
  <c r="H215" i="4"/>
  <c r="F215" i="4"/>
  <c r="H214" i="4"/>
  <c r="G214" i="4"/>
  <c r="H213" i="4"/>
  <c r="G213" i="4"/>
  <c r="H212" i="4"/>
  <c r="F212" i="4"/>
  <c r="H211" i="4"/>
  <c r="G211" i="4"/>
  <c r="H210" i="4"/>
  <c r="G210" i="4"/>
  <c r="H209" i="4"/>
  <c r="G209" i="4"/>
  <c r="H208" i="4"/>
  <c r="G208" i="4"/>
  <c r="H207" i="4"/>
  <c r="G207" i="4"/>
  <c r="H206" i="4"/>
  <c r="F206" i="4"/>
  <c r="H205" i="4"/>
  <c r="G205" i="4"/>
  <c r="F205" i="4"/>
  <c r="H204" i="4"/>
  <c r="H203" i="4"/>
  <c r="H202" i="4"/>
  <c r="G201" i="4"/>
  <c r="G200" i="4" s="1"/>
  <c r="F201" i="4"/>
  <c r="F200" i="4"/>
  <c r="H198" i="4"/>
  <c r="H197" i="4"/>
  <c r="H196" i="4"/>
  <c r="G196" i="4"/>
  <c r="F196" i="4"/>
  <c r="F195" i="4" s="1"/>
  <c r="G195" i="4"/>
  <c r="G194" i="4"/>
  <c r="H193" i="4"/>
  <c r="H192" i="4"/>
  <c r="H191" i="4"/>
  <c r="G190" i="4"/>
  <c r="H190" i="4" s="1"/>
  <c r="F190" i="4"/>
  <c r="H189" i="4"/>
  <c r="H188" i="4"/>
  <c r="H187" i="4"/>
  <c r="H186" i="4"/>
  <c r="H185" i="4"/>
  <c r="G184" i="4"/>
  <c r="H184" i="4" s="1"/>
  <c r="F184" i="4"/>
  <c r="G183" i="4"/>
  <c r="H183" i="4" s="1"/>
  <c r="F183" i="4"/>
  <c r="H182" i="4"/>
  <c r="H181" i="4"/>
  <c r="H180" i="4"/>
  <c r="H179" i="4"/>
  <c r="H178" i="4"/>
  <c r="G177" i="4"/>
  <c r="H177" i="4" s="1"/>
  <c r="F177" i="4"/>
  <c r="F176" i="4"/>
  <c r="F175" i="4"/>
  <c r="H173" i="4"/>
  <c r="H172" i="4"/>
  <c r="G171" i="4"/>
  <c r="H171" i="4" s="1"/>
  <c r="F171" i="4"/>
  <c r="F170" i="4"/>
  <c r="H169" i="4"/>
  <c r="H168" i="4"/>
  <c r="H167" i="4"/>
  <c r="H166" i="4"/>
  <c r="G165" i="4"/>
  <c r="G164" i="4" s="1"/>
  <c r="F165" i="4"/>
  <c r="F164" i="4"/>
  <c r="H163" i="4"/>
  <c r="H162" i="4"/>
  <c r="G161" i="4"/>
  <c r="F161" i="4"/>
  <c r="G160" i="4"/>
  <c r="F160" i="4"/>
  <c r="H160" i="4" s="1"/>
  <c r="H159" i="4"/>
  <c r="G158" i="4"/>
  <c r="F158" i="4"/>
  <c r="H158" i="4" s="1"/>
  <c r="G157" i="4"/>
  <c r="F157" i="4"/>
  <c r="H156" i="4"/>
  <c r="H155" i="4"/>
  <c r="H154" i="4"/>
  <c r="H153" i="4"/>
  <c r="G152" i="4"/>
  <c r="F152" i="4"/>
  <c r="G151" i="4"/>
  <c r="H149" i="4"/>
  <c r="H148" i="4"/>
  <c r="G147" i="4"/>
  <c r="F147" i="4"/>
  <c r="G146" i="4"/>
  <c r="G145" i="4"/>
  <c r="H144" i="4"/>
  <c r="H143" i="4"/>
  <c r="H142" i="4"/>
  <c r="G141" i="4"/>
  <c r="G140" i="4" s="1"/>
  <c r="F141" i="4"/>
  <c r="F140" i="4"/>
  <c r="H139" i="4"/>
  <c r="G138" i="4"/>
  <c r="F138" i="4"/>
  <c r="G137" i="4"/>
  <c r="H136" i="4"/>
  <c r="H135" i="4"/>
  <c r="H134" i="4"/>
  <c r="G133" i="4"/>
  <c r="G132" i="4" s="1"/>
  <c r="F133" i="4"/>
  <c r="H133" i="4" s="1"/>
  <c r="F132" i="4"/>
  <c r="H132" i="4" s="1"/>
  <c r="H131" i="4"/>
  <c r="H130" i="4"/>
  <c r="G129" i="4"/>
  <c r="F129" i="4"/>
  <c r="H129" i="4" s="1"/>
  <c r="G128" i="4"/>
  <c r="F128" i="4"/>
  <c r="H128" i="4" s="1"/>
  <c r="H127" i="4"/>
  <c r="H126" i="4"/>
  <c r="H125" i="4"/>
  <c r="H124" i="4"/>
  <c r="G124" i="4"/>
  <c r="F124" i="4"/>
  <c r="G123" i="4"/>
  <c r="H123" i="4" s="1"/>
  <c r="F123" i="4"/>
  <c r="H119" i="4"/>
  <c r="G118" i="4"/>
  <c r="G117" i="4" s="1"/>
  <c r="G116" i="4" s="1"/>
  <c r="F118" i="4"/>
  <c r="H118" i="4" s="1"/>
  <c r="F117" i="4"/>
  <c r="H115" i="4"/>
  <c r="H114" i="4"/>
  <c r="G114" i="4"/>
  <c r="F114" i="4"/>
  <c r="F113" i="4" s="1"/>
  <c r="F112" i="4" s="1"/>
  <c r="H113" i="4"/>
  <c r="H112" i="4" s="1"/>
  <c r="G113" i="4"/>
  <c r="G112" i="4"/>
  <c r="H111" i="4"/>
  <c r="H110" i="4"/>
  <c r="H109" i="4" s="1"/>
  <c r="H108" i="4" s="1"/>
  <c r="G110" i="4"/>
  <c r="F110" i="4"/>
  <c r="G109" i="4"/>
  <c r="G108" i="4" s="1"/>
  <c r="F109" i="4"/>
  <c r="F108" i="4"/>
  <c r="H106" i="4"/>
  <c r="G105" i="4"/>
  <c r="G104" i="4" s="1"/>
  <c r="G103" i="4" s="1"/>
  <c r="F105" i="4"/>
  <c r="H105" i="4" s="1"/>
  <c r="H101" i="4"/>
  <c r="H100" i="4"/>
  <c r="G100" i="4"/>
  <c r="F100" i="4"/>
  <c r="G99" i="4"/>
  <c r="G89" i="4" s="1"/>
  <c r="F99" i="4"/>
  <c r="H99" i="4" s="1"/>
  <c r="H96" i="4"/>
  <c r="G95" i="4"/>
  <c r="G94" i="4" s="1"/>
  <c r="F95" i="4"/>
  <c r="H95" i="4" s="1"/>
  <c r="F94" i="4"/>
  <c r="H94" i="4" s="1"/>
  <c r="H93" i="4"/>
  <c r="F92" i="4"/>
  <c r="H92" i="4" s="1"/>
  <c r="G91" i="4"/>
  <c r="G90" i="4"/>
  <c r="H88" i="4"/>
  <c r="G87" i="4"/>
  <c r="G86" i="4" s="1"/>
  <c r="G85" i="4" s="1"/>
  <c r="F87" i="4"/>
  <c r="H87" i="4" s="1"/>
  <c r="H84" i="4"/>
  <c r="H83" i="4"/>
  <c r="G83" i="4"/>
  <c r="F83" i="4"/>
  <c r="G82" i="4"/>
  <c r="F82" i="4"/>
  <c r="H82" i="4" s="1"/>
  <c r="H81" i="4"/>
  <c r="G80" i="4"/>
  <c r="G79" i="4" s="1"/>
  <c r="G78" i="4" s="1"/>
  <c r="F80" i="4"/>
  <c r="H80" i="4" s="1"/>
  <c r="F79" i="4"/>
  <c r="H77" i="4"/>
  <c r="H76" i="4"/>
  <c r="G76" i="4"/>
  <c r="F76" i="4"/>
  <c r="F75" i="4" s="1"/>
  <c r="G75" i="4"/>
  <c r="G72" i="4"/>
  <c r="H71" i="4"/>
  <c r="G70" i="4"/>
  <c r="F70" i="4"/>
  <c r="H70" i="4" s="1"/>
  <c r="F69" i="4"/>
  <c r="H69" i="4" s="1"/>
  <c r="G68" i="4"/>
  <c r="G67" i="4"/>
  <c r="G66" i="4" s="1"/>
  <c r="H65" i="4"/>
  <c r="F65" i="4"/>
  <c r="G64" i="4"/>
  <c r="F64" i="4"/>
  <c r="H64" i="4" s="1"/>
  <c r="H63" i="4"/>
  <c r="G62" i="4"/>
  <c r="G61" i="4" s="1"/>
  <c r="G60" i="4" s="1"/>
  <c r="G55" i="4" s="1"/>
  <c r="F62" i="4"/>
  <c r="H62" i="4" s="1"/>
  <c r="F61" i="4"/>
  <c r="H59" i="4"/>
  <c r="H58" i="4"/>
  <c r="G58" i="4"/>
  <c r="F58" i="4"/>
  <c r="F57" i="4" s="1"/>
  <c r="G57" i="4"/>
  <c r="G56" i="4"/>
  <c r="H54" i="4"/>
  <c r="G53" i="4"/>
  <c r="G52" i="4" s="1"/>
  <c r="G51" i="4" s="1"/>
  <c r="F53" i="4"/>
  <c r="H53" i="4" s="1"/>
  <c r="F52" i="4"/>
  <c r="H52" i="4" s="1"/>
  <c r="H50" i="4"/>
  <c r="H49" i="4"/>
  <c r="G49" i="4"/>
  <c r="F49" i="4"/>
  <c r="F48" i="4" s="1"/>
  <c r="G48" i="4"/>
  <c r="G47" i="4"/>
  <c r="H46" i="4"/>
  <c r="G45" i="4"/>
  <c r="G44" i="4" s="1"/>
  <c r="F45" i="4"/>
  <c r="H45" i="4" s="1"/>
  <c r="F44" i="4"/>
  <c r="H43" i="4"/>
  <c r="G42" i="4"/>
  <c r="G41" i="4" s="1"/>
  <c r="F42" i="4"/>
  <c r="H42" i="4" s="1"/>
  <c r="H40" i="4"/>
  <c r="H39" i="4"/>
  <c r="G39" i="4"/>
  <c r="F39" i="4"/>
  <c r="H38" i="4"/>
  <c r="H37" i="4"/>
  <c r="G37" i="4"/>
  <c r="F37" i="4"/>
  <c r="F36" i="4" s="1"/>
  <c r="G36" i="4"/>
  <c r="H34" i="4"/>
  <c r="G33" i="4"/>
  <c r="G32" i="4" s="1"/>
  <c r="F33" i="4"/>
  <c r="H33" i="4" s="1"/>
  <c r="F32" i="4"/>
  <c r="H30" i="4"/>
  <c r="F30" i="4"/>
  <c r="G29" i="4"/>
  <c r="G28" i="4" s="1"/>
  <c r="G22" i="4" s="1"/>
  <c r="F29" i="4"/>
  <c r="F28" i="4" s="1"/>
  <c r="H25" i="4"/>
  <c r="H24" i="4"/>
  <c r="G24" i="4"/>
  <c r="F24" i="4"/>
  <c r="F23" i="4" s="1"/>
  <c r="G23" i="4"/>
  <c r="F21" i="4"/>
  <c r="G20" i="4"/>
  <c r="G19" i="4"/>
  <c r="G18" i="4" s="1"/>
  <c r="H17" i="4"/>
  <c r="H16" i="4"/>
  <c r="G15" i="4"/>
  <c r="G14" i="4" s="1"/>
  <c r="G13" i="4" s="1"/>
  <c r="F15" i="4"/>
  <c r="H15" i="4" s="1"/>
  <c r="F14" i="4"/>
  <c r="F212" i="9" l="1"/>
  <c r="F33" i="8"/>
  <c r="F46" i="8"/>
  <c r="E25" i="7"/>
  <c r="E20" i="6"/>
  <c r="F20" i="6"/>
  <c r="H28" i="4"/>
  <c r="H32" i="4"/>
  <c r="H14" i="4"/>
  <c r="H44" i="4"/>
  <c r="F56" i="4"/>
  <c r="H57" i="4"/>
  <c r="H61" i="4"/>
  <c r="F72" i="4"/>
  <c r="H72" i="4" s="1"/>
  <c r="H75" i="4"/>
  <c r="H79" i="4"/>
  <c r="G102" i="4"/>
  <c r="H117" i="4"/>
  <c r="F47" i="4"/>
  <c r="H47" i="4" s="1"/>
  <c r="H48" i="4"/>
  <c r="F22" i="4"/>
  <c r="H22" i="4" s="1"/>
  <c r="H23" i="4"/>
  <c r="G31" i="4"/>
  <c r="G11" i="4" s="1"/>
  <c r="G10" i="4" s="1"/>
  <c r="H36" i="4"/>
  <c r="F31" i="4"/>
  <c r="H329" i="4"/>
  <c r="F328" i="4"/>
  <c r="H328" i="4" s="1"/>
  <c r="H29" i="4"/>
  <c r="F41" i="4"/>
  <c r="H41" i="4" s="1"/>
  <c r="F51" i="4"/>
  <c r="H51" i="4" s="1"/>
  <c r="F60" i="4"/>
  <c r="H60" i="4" s="1"/>
  <c r="F78" i="4"/>
  <c r="H78" i="4" s="1"/>
  <c r="F86" i="4"/>
  <c r="F104" i="4"/>
  <c r="F116" i="4"/>
  <c r="H116" i="4" s="1"/>
  <c r="G122" i="4"/>
  <c r="H152" i="4"/>
  <c r="F151" i="4"/>
  <c r="H200" i="4"/>
  <c r="F347" i="4"/>
  <c r="H348" i="4"/>
  <c r="G705" i="4"/>
  <c r="H243" i="4"/>
  <c r="H374" i="4"/>
  <c r="F373" i="4"/>
  <c r="H373" i="4" s="1"/>
  <c r="H409" i="4"/>
  <c r="H605" i="4"/>
  <c r="G604" i="4"/>
  <c r="G603" i="4" s="1"/>
  <c r="F13" i="4"/>
  <c r="F20" i="4"/>
  <c r="H21" i="4"/>
  <c r="F68" i="4"/>
  <c r="F91" i="4"/>
  <c r="H140" i="4"/>
  <c r="H161" i="4"/>
  <c r="H164" i="4"/>
  <c r="H201" i="4"/>
  <c r="H240" i="4"/>
  <c r="F239" i="4"/>
  <c r="H239" i="4" s="1"/>
  <c r="H274" i="4"/>
  <c r="H294" i="4"/>
  <c r="H366" i="4"/>
  <c r="F363" i="4"/>
  <c r="H420" i="4"/>
  <c r="F419" i="4"/>
  <c r="H419" i="4" s="1"/>
  <c r="H457" i="4"/>
  <c r="G456" i="4"/>
  <c r="F765" i="4"/>
  <c r="H765" i="4" s="1"/>
  <c r="H766" i="4"/>
  <c r="H230" i="4"/>
  <c r="G229" i="4"/>
  <c r="G228" i="4" s="1"/>
  <c r="H138" i="4"/>
  <c r="F137" i="4"/>
  <c r="H141" i="4"/>
  <c r="H147" i="4"/>
  <c r="F146" i="4"/>
  <c r="H157" i="4"/>
  <c r="H165" i="4"/>
  <c r="F194" i="4"/>
  <c r="H195" i="4"/>
  <c r="F229" i="4"/>
  <c r="H270" i="4"/>
  <c r="H275" i="4"/>
  <c r="H325" i="4"/>
  <c r="H341" i="4"/>
  <c r="G363" i="4"/>
  <c r="G362" i="4" s="1"/>
  <c r="H364" i="4"/>
  <c r="H389" i="4"/>
  <c r="H412" i="4"/>
  <c r="H441" i="4"/>
  <c r="G440" i="4"/>
  <c r="H646" i="4"/>
  <c r="F642" i="4"/>
  <c r="H470" i="4"/>
  <c r="G469" i="4"/>
  <c r="H469" i="4" s="1"/>
  <c r="F475" i="4"/>
  <c r="H476" i="4"/>
  <c r="F479" i="4"/>
  <c r="H479" i="4" s="1"/>
  <c r="H480" i="4"/>
  <c r="H500" i="4"/>
  <c r="G568" i="4"/>
  <c r="F572" i="4"/>
  <c r="H572" i="4" s="1"/>
  <c r="H573" i="4"/>
  <c r="H604" i="4"/>
  <c r="F603" i="4"/>
  <c r="H603" i="4" s="1"/>
  <c r="H665" i="4"/>
  <c r="F664" i="4"/>
  <c r="F682" i="4"/>
  <c r="H683" i="4"/>
  <c r="F692" i="4"/>
  <c r="F712" i="4"/>
  <c r="H714" i="4"/>
  <c r="H721" i="4"/>
  <c r="F728" i="4"/>
  <c r="H728" i="4" s="1"/>
  <c r="H729" i="4"/>
  <c r="G754" i="4"/>
  <c r="F762" i="4"/>
  <c r="H763" i="4"/>
  <c r="H767" i="4"/>
  <c r="F775" i="4"/>
  <c r="H776" i="4"/>
  <c r="F288" i="4"/>
  <c r="F302" i="4"/>
  <c r="F383" i="4"/>
  <c r="H384" i="4"/>
  <c r="H391" i="4"/>
  <c r="F400" i="4"/>
  <c r="H405" i="4"/>
  <c r="H413" i="4"/>
  <c r="F428" i="4"/>
  <c r="H440" i="4"/>
  <c r="H452" i="4"/>
  <c r="F455" i="4"/>
  <c r="H461" i="4"/>
  <c r="F517" i="4"/>
  <c r="H518" i="4"/>
  <c r="H531" i="4"/>
  <c r="F549" i="4"/>
  <c r="H549" i="4" s="1"/>
  <c r="H550" i="4"/>
  <c r="F569" i="4"/>
  <c r="H570" i="4"/>
  <c r="G579" i="4"/>
  <c r="H584" i="4"/>
  <c r="F582" i="4"/>
  <c r="H655" i="4"/>
  <c r="F650" i="4"/>
  <c r="F737" i="4"/>
  <c r="H738" i="4"/>
  <c r="H746" i="4"/>
  <c r="F756" i="4"/>
  <c r="H757" i="4"/>
  <c r="G170" i="4"/>
  <c r="H170" i="4" s="1"/>
  <c r="G175" i="4"/>
  <c r="H175" i="4" s="1"/>
  <c r="G176" i="4"/>
  <c r="H176" i="4" s="1"/>
  <c r="H465" i="4"/>
  <c r="G474" i="4"/>
  <c r="H495" i="4"/>
  <c r="H501" i="4"/>
  <c r="F528" i="4"/>
  <c r="H528" i="4" s="1"/>
  <c r="H529" i="4"/>
  <c r="H532" i="4"/>
  <c r="H539" i="4"/>
  <c r="H565" i="4"/>
  <c r="H639" i="4"/>
  <c r="H708" i="4"/>
  <c r="H747" i="4"/>
  <c r="H751" i="4"/>
  <c r="G557" i="4"/>
  <c r="G587" i="4"/>
  <c r="H587" i="4" s="1"/>
  <c r="H606" i="4"/>
  <c r="G611" i="4"/>
  <c r="G615" i="4"/>
  <c r="H615" i="4" s="1"/>
  <c r="G620" i="4"/>
  <c r="H620" i="4" s="1"/>
  <c r="G651" i="4"/>
  <c r="F670" i="4"/>
  <c r="G677" i="4"/>
  <c r="F702" i="4"/>
  <c r="F725" i="4"/>
  <c r="F781" i="4"/>
  <c r="H725" i="4" l="1"/>
  <c r="F724" i="4"/>
  <c r="H724" i="4" s="1"/>
  <c r="H569" i="4"/>
  <c r="F568" i="4"/>
  <c r="H31" i="4"/>
  <c r="F67" i="4"/>
  <c r="H68" i="4"/>
  <c r="H151" i="4"/>
  <c r="F150" i="4"/>
  <c r="H104" i="4"/>
  <c r="F103" i="4"/>
  <c r="G650" i="4"/>
  <c r="H651" i="4"/>
  <c r="H582" i="4"/>
  <c r="F579" i="4"/>
  <c r="H579" i="4" s="1"/>
  <c r="H146" i="4"/>
  <c r="F145" i="4"/>
  <c r="F90" i="4"/>
  <c r="H91" i="4"/>
  <c r="H705" i="4"/>
  <c r="G702" i="4"/>
  <c r="H702" i="4" s="1"/>
  <c r="F734" i="4"/>
  <c r="H737" i="4"/>
  <c r="H775" i="4"/>
  <c r="F772" i="4"/>
  <c r="H772" i="4" s="1"/>
  <c r="H762" i="4"/>
  <c r="F761" i="4"/>
  <c r="H761" i="4" s="1"/>
  <c r="H642" i="4"/>
  <c r="F610" i="4"/>
  <c r="H677" i="4"/>
  <c r="G676" i="4"/>
  <c r="G556" i="4"/>
  <c r="H557" i="4"/>
  <c r="H756" i="4"/>
  <c r="F755" i="4"/>
  <c r="H650" i="4"/>
  <c r="H517" i="4"/>
  <c r="F499" i="4"/>
  <c r="F399" i="4"/>
  <c r="H399" i="4" s="1"/>
  <c r="H400" i="4"/>
  <c r="F299" i="4"/>
  <c r="H299" i="4" s="1"/>
  <c r="H302" i="4"/>
  <c r="H664" i="4"/>
  <c r="F663" i="4"/>
  <c r="F474" i="4"/>
  <c r="H475" i="4"/>
  <c r="F324" i="4"/>
  <c r="H324" i="4" s="1"/>
  <c r="H229" i="4"/>
  <c r="F228" i="4"/>
  <c r="H456" i="4"/>
  <c r="G455" i="4"/>
  <c r="G199" i="4" s="1"/>
  <c r="G121" i="4" s="1"/>
  <c r="H363" i="4"/>
  <c r="F362" i="4"/>
  <c r="H362" i="4" s="1"/>
  <c r="F343" i="4"/>
  <c r="H343" i="4" s="1"/>
  <c r="H347" i="4"/>
  <c r="H86" i="4"/>
  <c r="F85" i="4"/>
  <c r="H85" i="4" s="1"/>
  <c r="G150" i="4"/>
  <c r="H194" i="4"/>
  <c r="H13" i="4"/>
  <c r="F382" i="4"/>
  <c r="H382" i="4" s="1"/>
  <c r="H383" i="4"/>
  <c r="F691" i="4"/>
  <c r="H691" i="4" s="1"/>
  <c r="H692" i="4"/>
  <c r="H781" i="4"/>
  <c r="F780" i="4"/>
  <c r="H670" i="4"/>
  <c r="F669" i="4"/>
  <c r="G610" i="4"/>
  <c r="H611" i="4"/>
  <c r="F427" i="4"/>
  <c r="H427" i="4" s="1"/>
  <c r="H428" i="4"/>
  <c r="F287" i="4"/>
  <c r="H287" i="4" s="1"/>
  <c r="H288" i="4"/>
  <c r="F711" i="4"/>
  <c r="H711" i="4" s="1"/>
  <c r="H712" i="4"/>
  <c r="H682" i="4"/>
  <c r="F681" i="4"/>
  <c r="H137" i="4"/>
  <c r="F122" i="4"/>
  <c r="F19" i="4"/>
  <c r="H20" i="4"/>
  <c r="H56" i="4"/>
  <c r="H669" i="4" l="1"/>
  <c r="F668" i="4"/>
  <c r="H499" i="4"/>
  <c r="G675" i="4"/>
  <c r="G120" i="4" s="1"/>
  <c r="H676" i="4"/>
  <c r="F66" i="4"/>
  <c r="H67" i="4"/>
  <c r="H474" i="4"/>
  <c r="H150" i="4"/>
  <c r="H780" i="4"/>
  <c r="F662" i="4"/>
  <c r="H663" i="4"/>
  <c r="H610" i="4"/>
  <c r="H734" i="4"/>
  <c r="F89" i="4"/>
  <c r="H89" i="4" s="1"/>
  <c r="H90" i="4"/>
  <c r="H455" i="4"/>
  <c r="H122" i="4"/>
  <c r="H228" i="4"/>
  <c r="F199" i="4"/>
  <c r="F121" i="4" s="1"/>
  <c r="F754" i="4"/>
  <c r="H755" i="4"/>
  <c r="H568" i="4"/>
  <c r="H681" i="4"/>
  <c r="F675" i="4"/>
  <c r="H19" i="4"/>
  <c r="F18" i="4"/>
  <c r="H556" i="4"/>
  <c r="H145" i="4"/>
  <c r="H103" i="4"/>
  <c r="F102" i="4"/>
  <c r="F120" i="4" l="1"/>
  <c r="H121" i="4"/>
  <c r="H675" i="4"/>
  <c r="H754" i="4"/>
  <c r="H668" i="4"/>
  <c r="H199" i="4"/>
  <c r="H102" i="4"/>
  <c r="H66" i="4"/>
  <c r="F55" i="4"/>
  <c r="H18" i="4"/>
  <c r="F11" i="4"/>
  <c r="H662" i="4"/>
  <c r="H120" i="4" l="1"/>
  <c r="H55" i="4"/>
  <c r="H11" i="4"/>
  <c r="F10" i="4"/>
  <c r="H10" i="4" l="1"/>
</calcChain>
</file>

<file path=xl/sharedStrings.xml><?xml version="1.0" encoding="utf-8"?>
<sst xmlns="http://schemas.openxmlformats.org/spreadsheetml/2006/main" count="1691" uniqueCount="605">
  <si>
    <t xml:space="preserve">Prezydenta Miasta Włocławek </t>
  </si>
  <si>
    <t>Zmiany w budżecie miasta Włocławek na 2023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</si>
  <si>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</si>
  <si>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</si>
  <si>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</si>
  <si>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</si>
  <si>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</si>
  <si>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</si>
  <si>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</si>
  <si>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</si>
  <si>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</si>
  <si>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</si>
  <si>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</si>
  <si>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</si>
  <si>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Administracja publiczna</t>
  </si>
  <si>
    <t>Pozostała działalność</t>
  </si>
  <si>
    <t>zakup usług pozostałych</t>
  </si>
  <si>
    <t>DOCHODY OGÓŁEM:</t>
  </si>
  <si>
    <t>Dochody na zadania zlecone:</t>
  </si>
  <si>
    <t>Organ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</si>
  <si>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</si>
  <si>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</si>
  <si>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Rodzina</t>
  </si>
  <si>
    <t xml:space="preserve">Składki na ubezpieczenie zdrowotne opłacane za osoby </t>
  </si>
  <si>
    <t>pobierające niektóre świadczenia rodzinne oraz za osoby</t>
  </si>
  <si>
    <t>Dochody na zadania rządowe:</t>
  </si>
  <si>
    <t xml:space="preserve">Bezpieczeństwo publiczne i ochrona </t>
  </si>
  <si>
    <t>przeciwpożarowa</t>
  </si>
  <si>
    <t>Komendy powiatowe Państwowej Straży Pożarnej</t>
  </si>
  <si>
    <t>dotacje celowe otrzymane z budżetu państwa na zadania bieżące z zakresu administracji rządowej oraz inne zadania zlecone ustawami realizowane przez powiat</t>
  </si>
  <si>
    <t>Pomoc społeczna</t>
  </si>
  <si>
    <t>75023</t>
  </si>
  <si>
    <t>Urzędy gmin (miast i miast na prawach powiatu)</t>
  </si>
  <si>
    <t>Wydział Organizacyjno-Prawny i Kadr</t>
  </si>
  <si>
    <t>wynagrodzenia osobowe pracowników</t>
  </si>
  <si>
    <t>dodatkowe wynagrodzenie roczne</t>
  </si>
  <si>
    <t xml:space="preserve">składki na ubezpieczenia społeczne </t>
  </si>
  <si>
    <t>składki na Fundusz Pracy oraz Fundusz Solidarnościowy</t>
  </si>
  <si>
    <t>wpłaty na Państwowy Fundusz Rehabilitacji Osób Niepełnosprawnych</t>
  </si>
  <si>
    <t>wpłaty na PPK finansowane przez podmiot zatrudniający</t>
  </si>
  <si>
    <t>Oświata i wychowanie</t>
  </si>
  <si>
    <t>Szkoły podstawowe</t>
  </si>
  <si>
    <t>Jednostki oświatowe zbiorczo</t>
  </si>
  <si>
    <t>wynagrodzenia osobowe nauczycieli</t>
  </si>
  <si>
    <t>Szkoły podstawowe specjalne</t>
  </si>
  <si>
    <t>Przedszkola</t>
  </si>
  <si>
    <t>Świetlice szkolne</t>
  </si>
  <si>
    <t>Technika</t>
  </si>
  <si>
    <t>Branżowe szkoły I i II stopnia</t>
  </si>
  <si>
    <t>Licea ogólnokształcące</t>
  </si>
  <si>
    <t>Szkoły artystyczne</t>
  </si>
  <si>
    <t>Szkoły zawodowe specjalne</t>
  </si>
  <si>
    <t xml:space="preserve">Placówki kształcenia ustawicznego i centra </t>
  </si>
  <si>
    <t xml:space="preserve"> kształcenia zawodowego</t>
  </si>
  <si>
    <t>Stołówki szkolne i przedszkolne</t>
  </si>
  <si>
    <t>Realizacja zadań wymagających stosowania specjalnej organizacji nauki i metod pracy dla dzieci i młodzieży w szkołach podstawowych</t>
  </si>
  <si>
    <t>Wydział Edukacji</t>
  </si>
  <si>
    <t>Kultura fizyczna</t>
  </si>
  <si>
    <t>4210</t>
  </si>
  <si>
    <t>zakup materiałów i wyposażenia</t>
  </si>
  <si>
    <t>zakup usług remontowych</t>
  </si>
  <si>
    <t>Wydatki na zadania zlecone:</t>
  </si>
  <si>
    <t xml:space="preserve">składki na Fundusz Pracy oraz Fundusz Solidarnościowy </t>
  </si>
  <si>
    <t>pobierające zasiki dla opiekunów</t>
  </si>
  <si>
    <t>Miejski Ośrodek Pomocy Rodzinie</t>
  </si>
  <si>
    <t xml:space="preserve">składki na ubezpieczenie zdrowotne </t>
  </si>
  <si>
    <t>Wydatki na zadania rządowe:</t>
  </si>
  <si>
    <t>Bezpieczeństwo publiczne i ochrona przeciwpożarowa</t>
  </si>
  <si>
    <t>Komenda Miejska Państwowej Straży Pożarnej</t>
  </si>
  <si>
    <t>wynagrodzenia bezosobowe</t>
  </si>
  <si>
    <t>podróże służbowe krajowe</t>
  </si>
  <si>
    <t>Pozostałe zadania w zakresie polityki społecznej</t>
  </si>
  <si>
    <t>Zespoły do spraw orzekania o niepełnosprawności</t>
  </si>
  <si>
    <t>Wydział Organizacyjno - Prawny i Kadr</t>
  </si>
  <si>
    <t>Załącznik Nr 1</t>
  </si>
  <si>
    <t>Dochody na zadania własne:</t>
  </si>
  <si>
    <t>Bezpieczeństwo publiczne i ochrona</t>
  </si>
  <si>
    <t xml:space="preserve">Komendy powiatowe Państwowej Straży Pożarnej </t>
  </si>
  <si>
    <t xml:space="preserve">Organ </t>
  </si>
  <si>
    <t>dotacje otrzymane z państwowych funduszy celowych na realizację zadań bieżących jednostek sektora finansów publicznych</t>
  </si>
  <si>
    <t>6260</t>
  </si>
  <si>
    <t>dotacje otrzymane z państwowych funduszy celowych na finansowanie lub dofinansowanie kosztów realizacji inwestycji i zakupów inwestycyjnych jednostek sektora finansów publicznych</t>
  </si>
  <si>
    <t>Różne rozliczenia</t>
  </si>
  <si>
    <t>75814</t>
  </si>
  <si>
    <t>Różne rozliczenia finansowe</t>
  </si>
  <si>
    <t>Organ - Fundusz Pomocy (realizacja dodatkowych zadań oświatowych)</t>
  </si>
  <si>
    <t>2100</t>
  </si>
  <si>
    <t>środki z Funduszu Pomocy na finansowanie lub dofinansowanie zadań bieżących w zakresie pomocy obywatelom Ukrainy</t>
  </si>
  <si>
    <t>Dokształcanie i doskonalenie nauczycieli</t>
  </si>
  <si>
    <t>2120</t>
  </si>
  <si>
    <t>dotacje celowe otrzymane z budżetu państwa na zadania bieżące realizowane przez powiat na podstawie porozumień z organami administracji rządowej</t>
  </si>
  <si>
    <t>Zapewnienie uczniom prawa do bezpłatnego dostępu</t>
  </si>
  <si>
    <t>do podręczników, materiałów edukacyjnych lub materiałów</t>
  </si>
  <si>
    <t>ćwiczeniowych</t>
  </si>
  <si>
    <t>Organ - Fundusz Pomocy (wyposażenie szkół w podręczniki, materiały edukacyjne lub materiały ćwiczeniowe dla uczniów będących obywatelami Ukrainy w roku szkolnym 2023/2024)</t>
  </si>
  <si>
    <t>Domy pomocy społecznej</t>
  </si>
  <si>
    <t>2130</t>
  </si>
  <si>
    <t>dotacje celowe otrzymane z budżetu państwa na realizację bieżących zadań własnych powiatu</t>
  </si>
  <si>
    <t xml:space="preserve">Zasiłki okresowe, celowe i pomoc w naturze oraz składki </t>
  </si>
  <si>
    <t>na ubezpieczenia emerytalne i rentowe</t>
  </si>
  <si>
    <t>2030</t>
  </si>
  <si>
    <t>dotacje celowe otrzymane z budżetu państwa na realizację własnych zadań bieżących gmin (związków gmin, związków powiatowo-gminnych)</t>
  </si>
  <si>
    <t>Organ - Fundusz Pomocy (zasiłki okresowe)</t>
  </si>
  <si>
    <t>Ośrodki pomocy społecznej</t>
  </si>
  <si>
    <t>dotacja celowa otrzymana z budżetu państwa na realizację własnych zadań bieżących gmin (związków gmin, związków powiatowo-gminnych)</t>
  </si>
  <si>
    <t>Pomoc w zakresie dożywiania</t>
  </si>
  <si>
    <t>Organ - Fundusz Pomocy (zapewnienie posiłku dzieciom i młodzieży)</t>
  </si>
  <si>
    <t>Edukacyjna opieka wychowawcza</t>
  </si>
  <si>
    <t>Pomoc materialna dla uczniów o charakterze socjalnym</t>
  </si>
  <si>
    <t>2040</t>
  </si>
  <si>
    <t>dotacja celowa otrzymana z budżetu państwa na realizację zadań bieżących gmin z zakresu edukacyjnej opieki wychowawczej finansowanych w całości przez budżet państwa w ramach programów rządowych</t>
  </si>
  <si>
    <t>Organ - Fundusz Pomocy (świadczenia rodzinne)</t>
  </si>
  <si>
    <t>010</t>
  </si>
  <si>
    <t>Rolnictwo i łowiectwo</t>
  </si>
  <si>
    <t>01095</t>
  </si>
  <si>
    <t xml:space="preserve">Pozostała działalność </t>
  </si>
  <si>
    <t>Urzędy wojewódzkie</t>
  </si>
  <si>
    <t>Organ - Fundusz Pomocy (nadanie numeru PESEL, potwierdzenie tożsamości obywateli Ukrainy i wprowadzenie danych do rejestru danych kontaktowych na wniosek oraz zarządzanie statusem UKR)</t>
  </si>
  <si>
    <t>Organ - Fundusz Pomocy (świadczenie pieniężne - 40 zł za osobę dziennie)</t>
  </si>
  <si>
    <t>Organ - Fundusz Pomocy (zapewnienie zakwaterowania i wyżywienia obywatelom Ukrainy)</t>
  </si>
  <si>
    <t>Usługi opiekuńcze i specjalistyczne usługi opiekuńcze</t>
  </si>
  <si>
    <t>Organ - Fundusz Pomocy (świadczenie pieniężne w wysokości 300 zł)</t>
  </si>
  <si>
    <t>Świadczenia rodzinne, świadczenie z funduszu alimentacyjnego oraz składki na ubezpieczenia emerytalne i rentowe z ubezpieczenia społecznego</t>
  </si>
  <si>
    <t>2060</t>
  </si>
  <si>
    <t>dotacje celowe otrzymane z budżetu państwa na zadania bieżące z zakresu administracji rządowej zlecone gminom (związkom gmin, związkom powiatowo - gminnym), związane z realizacją świadczenia wychowawczego stanowiącego pomoc państwa w wychowywaniu dzieci</t>
  </si>
  <si>
    <t>Karta Dużej Rodziny</t>
  </si>
  <si>
    <t>801</t>
  </si>
  <si>
    <t xml:space="preserve">Zapewnienie uczniom prawa do bezpłatnego dostępu do podręczników, materiałaów edukacyjnych lub materiałaów ćwiczeniowych </t>
  </si>
  <si>
    <t>Organ - Fundusz Pomocy (realizacja zadań przez Miejski Zespół do Spraw Orzekania o Niepełnosprawności na rzecz obywateli Ukrainy)</t>
  </si>
  <si>
    <t>Transport i łączność</t>
  </si>
  <si>
    <t>Lokalny transport zbiorowy</t>
  </si>
  <si>
    <t>Miejski Zarząd Infrastruktury Drogowej i Transportu</t>
  </si>
  <si>
    <t>koszty postępowania sądowego i prokuratorskiego</t>
  </si>
  <si>
    <t>Drogi publiczne w miastach na prawach powiatu</t>
  </si>
  <si>
    <t>Drogi wewnętrzne</t>
  </si>
  <si>
    <t>Płatne parkowanie</t>
  </si>
  <si>
    <t xml:space="preserve">różne opłaty i składki </t>
  </si>
  <si>
    <t>pozostałe odsetki</t>
  </si>
  <si>
    <t xml:space="preserve">szkolenia pracowników niebędących członkami korpusu służby cywilnej </t>
  </si>
  <si>
    <t>Gospodarka mieszkaniowa</t>
  </si>
  <si>
    <t>Gospodarka gruntami i nieruchomościami</t>
  </si>
  <si>
    <t>Wydział Gospodarowania Mieniem Komunalnym</t>
  </si>
  <si>
    <t>kary i odszkodowania wypłacane na rzecz osób fizycznych</t>
  </si>
  <si>
    <t>zakup energii</t>
  </si>
  <si>
    <t>opłaty za administrowanie i czynsze za budynki, lokale i pomieszczenia garażowe</t>
  </si>
  <si>
    <t xml:space="preserve">Działalność informacyjna i kulturalna prowadzona za granicą </t>
  </si>
  <si>
    <t>Wydział Kultury, Promocji i Komunikacji Społecznej</t>
  </si>
  <si>
    <t>podróże służbowe zagraniczne</t>
  </si>
  <si>
    <t>Promocja jednostek samorządu terytorialnego</t>
  </si>
  <si>
    <t>75085</t>
  </si>
  <si>
    <t>Wspólna obsługa jednostek samorządu terytorialnego</t>
  </si>
  <si>
    <t>Centrum Usług Wspólnych Placówek Oświatowych</t>
  </si>
  <si>
    <t>Wydział Rewitalizacji - projekt pn. "Latarnicy społeczni obszaru rewitalizacji"</t>
  </si>
  <si>
    <t>stypendia różne</t>
  </si>
  <si>
    <t>wydatki na zakupy inwestycyjne jednostek budżetowych</t>
  </si>
  <si>
    <t>Straż gminna (miejska)</t>
  </si>
  <si>
    <t>Straż Miejska</t>
  </si>
  <si>
    <t xml:space="preserve">zakup usług obejmujących wykonanie ekspertyz, analiz i opinii </t>
  </si>
  <si>
    <t>Obsługa Monitoringu</t>
  </si>
  <si>
    <t>Rezerwy ogólne i celowe</t>
  </si>
  <si>
    <t>4810</t>
  </si>
  <si>
    <t xml:space="preserve">rezerwy </t>
  </si>
  <si>
    <t xml:space="preserve"> - rezerwa ogólna</t>
  </si>
  <si>
    <t xml:space="preserve"> - rezerwa celowa</t>
  </si>
  <si>
    <t>dotacja podmiotowa z budżetu dla publicznej jednostki systemu oświaty prowadzonej przez osobę prawną inną niż jednostka samorządu terytorialnego lub przez osobę fizyczną</t>
  </si>
  <si>
    <t>dotacja celowa z budżetu na finansowanie lub dofinansowanie zadań zleconych do realizacji fundacjom</t>
  </si>
  <si>
    <t>dotacja celowa z budżetu na finansowanie lub dofinansowanie zadań zleconych do realizacji pozostałym jednostkom niezaliczanym do sektora finansów publicznych</t>
  </si>
  <si>
    <t>wydatki osobowe niezaliczone do wynagrodzeń</t>
  </si>
  <si>
    <t>nagrody o charakterze szczególnym  niezaliczone do wynagrodzeń</t>
  </si>
  <si>
    <t>zakup środków dydaktycznych i książek</t>
  </si>
  <si>
    <t>zakup usług zdrowotnych</t>
  </si>
  <si>
    <t>zakup usług telekomunikacyjnych</t>
  </si>
  <si>
    <t>wynagrodzenie osobowe nauczycieli</t>
  </si>
  <si>
    <t>dodatkowe wynagrodzenie roczne nauczycieli</t>
  </si>
  <si>
    <t>Jednostki oświatowe zbiorczo - Fundusz Pomocy (realizacja dodatkowych zadań oświatowych)</t>
  </si>
  <si>
    <t>4350</t>
  </si>
  <si>
    <t>zakup towarów (w szczególności materiałów, leków, żywności) w związku z pomocą obywatelom Ukrainy</t>
  </si>
  <si>
    <t>wynagrodzenia nauczycieli wypłacane w związku z pomocą obywatelom Ukrainy</t>
  </si>
  <si>
    <t>składki i inne pochodne od wynagrodzeń pracowników wypłacanych w związku z pomocą obywatelom Ukrainy</t>
  </si>
  <si>
    <t>Oddziały przedszkolne w szkołach podstawowych</t>
  </si>
  <si>
    <t>2310</t>
  </si>
  <si>
    <t>dotacje celowe przekazane gminie na zadania bieżące realizowane na podstawie porozumień (umów) między jednostkami samorządu terytorialnego</t>
  </si>
  <si>
    <t>dotacja podmiotowa z budżetu dla niepublicznej jednostki systemu oświaty</t>
  </si>
  <si>
    <t>2820</t>
  </si>
  <si>
    <t>dotacja celowa z budżetu na finansowanie lub dofinansowanie zadań zleconych do realizacji stowarzyszeniom</t>
  </si>
  <si>
    <t>opłaty z tytułu zakupu usług telekomunikacyjnych</t>
  </si>
  <si>
    <t>podatek od towarów i usług (VAT)</t>
  </si>
  <si>
    <t>Wydział Edukacji - Fundusz Pomocy (realizacja dodatkowych zadań oświatowych)</t>
  </si>
  <si>
    <t>2340</t>
  </si>
  <si>
    <t>dotacja celowa dla jednostki spoza sektora finansów publicznych na finansowanie lub dofinansowanie zadań bieżących związanych z pomocą obywatelom Ukrainy</t>
  </si>
  <si>
    <t>Przedszkola specjalne</t>
  </si>
  <si>
    <t>Inne formy wychowania przedszkolnego</t>
  </si>
  <si>
    <t>Dowożenie uczniów do szkół</t>
  </si>
  <si>
    <t>opłaty na rzecz budżetu państwa</t>
  </si>
  <si>
    <t>Szkoły policealne</t>
  </si>
  <si>
    <t xml:space="preserve">szkolenia pracowników  niebędących członkami korpusu służby cywilnej </t>
  </si>
  <si>
    <t>Jednostki oświatowe zbiorczo - program "Wektory życia"</t>
  </si>
  <si>
    <t>Wydział Edukacji - program "Wektory życia"</t>
  </si>
  <si>
    <t xml:space="preserve"> 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</si>
  <si>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</si>
  <si>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</si>
  <si>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</si>
  <si>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</si>
  <si>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organizacji nauki i metod pracy dla dzieci i młodzieży</t>
  </si>
  <si>
    <t>w szkołach podstawowych</t>
  </si>
  <si>
    <t>Kwalifikacyjne kursy zawodowe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</si>
  <si>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</si>
  <si>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</si>
  <si>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</si>
  <si>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</si>
  <si>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</si>
  <si>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</si>
  <si>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Jednostki oświatowe zbiorczo - Fundusz Pomocy (wyposażenie szkół w podręczniki, materiały edukacyjne lub materiały ćwiczeniowe dla uczniów będących obywatelami Ukrainy w roku szkolnym 2023/2024)</t>
  </si>
  <si>
    <t>Wydział Edukacji - Fundusz Pomocy (wyposażenie szkół w podręczniki, materiały edukacyjne lub materiały ćwiczeniowe dla uczniów będących obywatelami Ukrainy w roku szkolnym 2023/2024)</t>
  </si>
  <si>
    <t>Jednostki oświatowe zbiorczo - "Stop emisjom - moją misją"</t>
  </si>
  <si>
    <t xml:space="preserve">zakup materiałów i wyposażenia </t>
  </si>
  <si>
    <t xml:space="preserve">Zespół Szkół Nr 3 - Rządowy program kompleksowego </t>
  </si>
  <si>
    <t>wsparcia dla rodzin "Za życiem"</t>
  </si>
  <si>
    <t xml:space="preserve">Jednostki oświatowe zbiorczo  ( projekty z grantów Lokalnej </t>
  </si>
  <si>
    <t>Grupy Działania Miasta Włocławek)</t>
  </si>
  <si>
    <t>851</t>
  </si>
  <si>
    <t>Ochrona zdrowia</t>
  </si>
  <si>
    <t>Zwalczanie narkomanii</t>
  </si>
  <si>
    <t>Wydział Polityki Społecznej i Zdrowia Publicznego</t>
  </si>
  <si>
    <t>2360</t>
  </si>
  <si>
    <t>dotacja celowa z budżetu jednostki samorządu terytorialnego, udzielona w trybie art. 221 ustawy, na finansowanie lub dofinansowanie zadań zleconych do realizacji organizacjom prowadzącym działalność pożytku publicznego</t>
  </si>
  <si>
    <t>Przeciwdziałanie alkoholizmowi</t>
  </si>
  <si>
    <t>Włocławskie Centrum Organizacji Pozarządowych</t>
  </si>
  <si>
    <t xml:space="preserve">i Wolontariatu </t>
  </si>
  <si>
    <t>852</t>
  </si>
  <si>
    <t>Dom Pomocy Społecznej ul. Nowomiejska 19</t>
  </si>
  <si>
    <t>Dom Pomocy Społecznej ul. Dobrzyńska 102</t>
  </si>
  <si>
    <t>Ośrodki wsparcia</t>
  </si>
  <si>
    <t>Dom Pomocy Społecznej przy ul. Nowomiejskiej 19- Centrum Wsparcia Społecznego</t>
  </si>
  <si>
    <t xml:space="preserve">Miejski Ośrodek Pomocy Rodzinie </t>
  </si>
  <si>
    <t>świadczenia społeczne</t>
  </si>
  <si>
    <t>Miejski Ośrodek Pomocy Rodzinie - Fundusz Pomocy (zasiłki okresowe)</t>
  </si>
  <si>
    <t>świadczenia społeczne wypłacane obywatelom Ukrainy przebywającym na terytorium RP</t>
  </si>
  <si>
    <t>Dodatki mieszkaniowe</t>
  </si>
  <si>
    <t>Miejski Ośrodek Pomocy Rodzinie - Fundusz Pomocy (zapewnienie posiłku dzieciom i młodzieży)</t>
  </si>
  <si>
    <t>Miejska Jadłodajnia "U Świętego Antoniego"</t>
  </si>
  <si>
    <t>Specjalne ośrodki wychowawcze</t>
  </si>
  <si>
    <t>Wczesne wspomaganie rozwoju dziecka</t>
  </si>
  <si>
    <t>Poradnie psychologiczno - pedagogiczne, w tym</t>
  </si>
  <si>
    <t>poradnie specjalistyczne</t>
  </si>
  <si>
    <t>Internaty i bursy szkolne</t>
  </si>
  <si>
    <t>inne formy pomocy dla uczniów</t>
  </si>
  <si>
    <t>Inne formy pomocy dla uczniów</t>
  </si>
  <si>
    <t>Młodzieżowe ośrodki wychowawcze</t>
  </si>
  <si>
    <t>zakup leków, wyrobów medycznych i produktów biobójczych</t>
  </si>
  <si>
    <t>Rodziny zastępcze</t>
  </si>
  <si>
    <t>Miejski Ośrodek Pomocy Rodzinie - Zespół ds. pieczy</t>
  </si>
  <si>
    <t>zastępczej</t>
  </si>
  <si>
    <t>Działalność placówek opiekuńczo - wychowawczych</t>
  </si>
  <si>
    <t>Centrum Opieki nad Dzieckiem</t>
  </si>
  <si>
    <t>zakup usług obejmujących tłumaczenia</t>
  </si>
  <si>
    <t>opłaty na rzecz budżetów jednostek samorządu terytorialnego</t>
  </si>
  <si>
    <t xml:space="preserve">Placówka Opiekuńczo - Wychowawcza Nr 2 "Calineczka" </t>
  </si>
  <si>
    <t>4710</t>
  </si>
  <si>
    <t xml:space="preserve">Placówka Opiekuńczo - Wychowawcza Nr 1 "Maluch" </t>
  </si>
  <si>
    <t>Miejski Ośrodek Pomocy Rodzinie - Fundusz Pomocy (świadczenia rodzinne)</t>
  </si>
  <si>
    <t>wynagrodzenia i uposażenia wypłacane w związku z pomocą obywatelom Ukrainy</t>
  </si>
  <si>
    <t>Gospodarka komunalna i ochrona środowiska</t>
  </si>
  <si>
    <t>Oczyszczanie miast i wsi</t>
  </si>
  <si>
    <t>Miejski Zakład Zieleni i Usług Komunalnych</t>
  </si>
  <si>
    <t xml:space="preserve">Kultura i ochrona dziedzictwa narodowego </t>
  </si>
  <si>
    <t xml:space="preserve">Zadania w zakresie kultury fizycznej </t>
  </si>
  <si>
    <t>Wydział Sportu i Turystyki</t>
  </si>
  <si>
    <t>Wydział Finansów</t>
  </si>
  <si>
    <t>różne opłaty i składki</t>
  </si>
  <si>
    <t>Wydział Organizacyjno - Prawny i Kadr - Fundusz Pomocy (nadanie numeru PESEL, potwierdzenie tożsamości obywateli Ukrainy i wprowadzenie danych do rejestru danych kontaktowych na wniosek oraz zarządzanie statusem UKR)</t>
  </si>
  <si>
    <t>Miejski Ośrodek Pomocy Rodzinie - Fundusz Pomocy (świadczenie pieniężne - 40 zł za osobę dziennie)</t>
  </si>
  <si>
    <t>świadczenia związane z udzielaniem pomocy obywatelom Ukrainy</t>
  </si>
  <si>
    <t>Wydział Zarządzania Kryzysowego i Bezpieczeństwa - Fundusz Pomocy (zapewnienie zakwaterowania i wyżywienia obywatelom Ukrainy)</t>
  </si>
  <si>
    <t>zakup usług związanych z pomocą obywatelom Ukrainy</t>
  </si>
  <si>
    <t>Administracja Zasobów Komunalnych - Fundusz Pomocy (zapewnienie zakwaterowania i wyżywienia obywatelom Ukrainy)</t>
  </si>
  <si>
    <t>pozostałe wydatki bieżące na zadania związane z pomocą obywatelom Ukrainy</t>
  </si>
  <si>
    <t>Środowiskowy Dom Samopomocy - Klub Samopomocy</t>
  </si>
  <si>
    <t>"Rozumiem i wspieram"</t>
  </si>
  <si>
    <t>Miejski Ośrodek Pomocy Rodzinie - Fundusz Pomocy (świadczenie pieniężne w wysokości 300 zł)</t>
  </si>
  <si>
    <t>Świadczenia rodzinne, świadczenie z funduszu</t>
  </si>
  <si>
    <t>alimentacyjnego oraz składki na ubezpieczenia</t>
  </si>
  <si>
    <t>emerytalne i rentowe z ubezpieczenia społecznego</t>
  </si>
  <si>
    <t>Miejski Ośrodek Pomocy Rodzinie - świadczenie wychowawcze</t>
  </si>
  <si>
    <t>odpisy na zakładowy fundusz świadczeń socjalnych</t>
  </si>
  <si>
    <t>Wymiar sprawiedliwości</t>
  </si>
  <si>
    <t>Nieodpłatna pomoc prawna</t>
  </si>
  <si>
    <t xml:space="preserve">Miejski Zespół do Spraw Orzekania o Niepełnosprawności </t>
  </si>
  <si>
    <t>Miejski Zespół do Spraw Orzekania o Niepełnosprawności - Fundusz Pomocy (realizacja zadań przez Miejski Zespół do Spraw Orzekania o Niepełnosprawności na rzecz obywateli Ukrainy)</t>
  </si>
  <si>
    <t>do Zarządzenia NR 402/2023</t>
  </si>
  <si>
    <t>z dnia 31 października 2023 r.</t>
  </si>
  <si>
    <t>Załącznik Nr 2</t>
  </si>
  <si>
    <t>Zmiana planu wydatków majątkowych na 2023 rok</t>
  </si>
  <si>
    <t>Planowane wydatki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</si>
  <si>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</si>
  <si>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</si>
  <si>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</si>
  <si>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</si>
  <si>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</si>
  <si>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</si>
  <si>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</si>
  <si>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Dział</t>
  </si>
  <si>
    <t>Nazwa zadania inwestycyjnego</t>
  </si>
  <si>
    <t>koszty</t>
  </si>
  <si>
    <t>budżetowy</t>
  </si>
  <si>
    <t>środki</t>
  </si>
  <si>
    <t>wydzielone</t>
  </si>
  <si>
    <t>realizująca</t>
  </si>
  <si>
    <t>finansowe *</t>
  </si>
  <si>
    <t xml:space="preserve">pochodzące </t>
  </si>
  <si>
    <t>wymienione</t>
  </si>
  <si>
    <t>rachunki</t>
  </si>
  <si>
    <t>program lub</t>
  </si>
  <si>
    <t>(8+9+10)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</si>
  <si>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</si>
  <si>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</si>
  <si>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</si>
  <si>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</si>
  <si>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</si>
  <si>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</si>
  <si>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</si>
  <si>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</si>
  <si>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</si>
  <si>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</si>
  <si>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</si>
  <si>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</si>
  <si>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>BEZPIECZEŃSTWO PUBLICZNE I OCHRONA PRZECIWPOŻAROWA</t>
  </si>
  <si>
    <t>wprowadza się nowe zadanie:</t>
  </si>
  <si>
    <t>§ 6060</t>
  </si>
  <si>
    <t>Zakup rozpieracza ramieniowego wraz z akcesoriami</t>
  </si>
  <si>
    <t xml:space="preserve"> - </t>
  </si>
  <si>
    <t>*  - łączne koszty finansowe obejmują wydatki majątkowe i wydatki bieżące</t>
  </si>
  <si>
    <t>Załącznik Nr 3</t>
  </si>
  <si>
    <t>Dochody i wydatki związane z realizacją zadań z zakresu administracji rządowej wykonywanych na podstawie porozumień z organami administracji rządowej na 2023 rok</t>
  </si>
  <si>
    <t>z tego:</t>
  </si>
  <si>
    <t>Rozdział</t>
  </si>
  <si>
    <t>Dotacje
ogółem</t>
  </si>
  <si>
    <t>Wydatki
ogółem
(6+9)</t>
  </si>
  <si>
    <t>w tym:</t>
  </si>
  <si>
    <t>Wydatki
bieżące</t>
  </si>
  <si>
    <t>wynagrodzenia i składki od nich naliczane</t>
  </si>
  <si>
    <t>świadczenia na rzecz osób fizycznych</t>
  </si>
  <si>
    <t>Wydatki
majątkowe</t>
  </si>
  <si>
    <t>Ogółem:</t>
  </si>
  <si>
    <t>Załącznik Nr 4</t>
  </si>
  <si>
    <t xml:space="preserve">Dochody i wydatki związane z realizacją zadań wykonywanych na podstawie porozumień (umów) </t>
  </si>
  <si>
    <t>między jednostkami samorządu terytorialnego na 2023 rok</t>
  </si>
  <si>
    <t xml:space="preserve">Wydatki
</t>
  </si>
  <si>
    <t>Dotacje</t>
  </si>
  <si>
    <t>ogółem</t>
  </si>
  <si>
    <t>Wydatki</t>
  </si>
  <si>
    <t>(6 + 10)</t>
  </si>
  <si>
    <t>bieżące</t>
  </si>
  <si>
    <t>dotacje</t>
  </si>
  <si>
    <t>Wydatki majątkowe</t>
  </si>
  <si>
    <t>Załącznik Nr 5</t>
  </si>
  <si>
    <t xml:space="preserve">Dotacje udzielane z budżetu jednostki samorządu terytorialnego </t>
  </si>
  <si>
    <t>dla jednostek sektora finansów publicznych na 2023 rok</t>
  </si>
  <si>
    <t>Lp.</t>
  </si>
  <si>
    <t xml:space="preserve">§ </t>
  </si>
  <si>
    <t>Nazwa zadania</t>
  </si>
  <si>
    <t>Kwota dotacji</t>
  </si>
  <si>
    <t>dotacje celowe</t>
  </si>
  <si>
    <t>Urzędy gmin (miast i miast na prawach powiatu) - realizacja projektu "Infostrada Kujaw i Pomorza 2.0"</t>
  </si>
  <si>
    <t>Działalność informacyjna i kulturalna prowadzona za granicą - realizacja projektu "Invest in Bit CITY 2 - Promocja potencjału gospodarczego oraz promocja atrakcyjności inwestycyjnej miast prezydenckich województwa Kujawsko-Pomorskiego"</t>
  </si>
  <si>
    <t>Programy polityki zdrowotnej</t>
  </si>
  <si>
    <t>Przeciwdziałanie alkoholizmowi (dofinansowanie "Niebieskiej linii")</t>
  </si>
  <si>
    <t xml:space="preserve">Powiatowe urzędy pracy </t>
  </si>
  <si>
    <t>Pozostała działalność - SENIORALIA (BUDŻET OBYWATELSKI)</t>
  </si>
  <si>
    <t>Galerie i biura wystaw artystycznych</t>
  </si>
  <si>
    <t xml:space="preserve"> - Galeria Sztuki Współczesnej</t>
  </si>
  <si>
    <t>2006          2007</t>
  </si>
  <si>
    <t>Centra kultury i sztuki</t>
  </si>
  <si>
    <t xml:space="preserve"> - Centrum Kultury Browar B  (realizacja projektu pn. "Włocławek -Miasto Nowych Możliwości. Tutaj mieszkam, pracuję, inwestuję i tu wypoczywam"</t>
  </si>
  <si>
    <t xml:space="preserve"> - Centrum Kultury Browar B</t>
  </si>
  <si>
    <t>Pozostałe instytucje kultury (dotacja na inwestycje)</t>
  </si>
  <si>
    <t xml:space="preserve"> - Teatr Impresaryjny</t>
  </si>
  <si>
    <t>Biblioteki</t>
  </si>
  <si>
    <t xml:space="preserve"> - Miejska Biblioteka Publiczna</t>
  </si>
  <si>
    <t>Biblioteki (dotacja na inwestycje)</t>
  </si>
  <si>
    <t>Razem:</t>
  </si>
  <si>
    <t>dotacje podmiotowe</t>
  </si>
  <si>
    <t xml:space="preserve"> - Zakład Aktywności Zawodowej</t>
  </si>
  <si>
    <t>Pozostałe instytucje kultury</t>
  </si>
  <si>
    <t>Załącznik Nr 6</t>
  </si>
  <si>
    <t>dla jednostek spoza sektora finansów publicznych na 2023 rok</t>
  </si>
  <si>
    <t>Dotacja do zakupu rowerów dla mieszkańców Włocławka (dotacja na inwestycje)</t>
  </si>
  <si>
    <t>Dotacje do prac budowlanych w ramach rewitalizacji</t>
  </si>
  <si>
    <t>Pozostała działalność (prowadzenie Kawiarni Obywatelskiej "Śródmieście Cafe")</t>
  </si>
  <si>
    <t>2826        2827</t>
  </si>
  <si>
    <t xml:space="preserve">Realizacja projektu unijnego "WŁOCŁAWEK - MIASTO NOWYCH MOŻLIWOŚCI. Tutaj mieszkam, pracuję, inwestuję i tu wypoczywam" </t>
  </si>
  <si>
    <t>Nieodpłatna pomoc prawna - zadanie rządowe</t>
  </si>
  <si>
    <t>2340         2810       2830</t>
  </si>
  <si>
    <t>Szkoła Podstawowa z oddziałami dwujęzycznymi "Montessori-Schule"</t>
  </si>
  <si>
    <t>Akademicka Szkoła Podstawowa nr 1 im. "Obrońców Wisły 1920 roku" prow. przez KSW</t>
  </si>
  <si>
    <t>Akademicka Szkoła Podstawowa Mistrzostwa Sportowego nr 1 im. "Obrońców Wisły 1920 roku" prow. przez KSW</t>
  </si>
  <si>
    <t>Prywatna Szkoła Podstawowa Zespołu Edukacji "Wiedza"</t>
  </si>
  <si>
    <t>Publiczna Szkoła Podstawowa im. ks. J. Długosza</t>
  </si>
  <si>
    <t xml:space="preserve">Szkoła Podstawowa Nr 24 w Zespole Szkół WSO "Cogito" </t>
  </si>
  <si>
    <t>2340         2820         2830</t>
  </si>
  <si>
    <t>Przedszkole Niepubliczne "Chatka Puchatka"</t>
  </si>
  <si>
    <t>Niepubliczne Przedszkole "Smerfna Chata"</t>
  </si>
  <si>
    <t>Niepubliczne Przedszkole "Skakanka"</t>
  </si>
  <si>
    <t>Przedszkole Niepubliczne "Kujawiaczek"</t>
  </si>
  <si>
    <t>Niepubliczne Przedszkole "Domowe Przedszkole"</t>
  </si>
  <si>
    <t>Niepubliczne Przedszkole "Wesoła Biedronka"</t>
  </si>
  <si>
    <t>Niepubliczne Przedszkole "Happy Kids"</t>
  </si>
  <si>
    <t>Niepubliczne Przedszkole "Na Wspólnej"</t>
  </si>
  <si>
    <t>Przedszkole Publiczne nr 1</t>
  </si>
  <si>
    <t>Niepubliczne Przedszkole "Bajeczka"</t>
  </si>
  <si>
    <t>Przedszkole Niepubliczne "Megamocni"</t>
  </si>
  <si>
    <t>Przedszkole Niepubliczne "Tęczowa Kraina"</t>
  </si>
  <si>
    <t>Niepubliczne Przedszkole Centrum Malucha Piotruś Pan</t>
  </si>
  <si>
    <t>Katolickie Publiczne Przedszkole "Pod Aniołem Stróżem"</t>
  </si>
  <si>
    <t>Niepubliczny Punkt Przedszkolny "Kraina Bajek"</t>
  </si>
  <si>
    <t>2340    2830</t>
  </si>
  <si>
    <t>Akademickie Technikum Wojskowe im. "Obrońców Wisły                           1920 roku" we Włocławku</t>
  </si>
  <si>
    <t>2810            2830</t>
  </si>
  <si>
    <t>Szkoła Policealna "Cosinus Plus"</t>
  </si>
  <si>
    <t>Policealna Szkoła Techników Ochrony Fizycznej Osób i Mienia "Delta"</t>
  </si>
  <si>
    <t>Policealna Szkoła Futuro</t>
  </si>
  <si>
    <t>Akademicka Szkoła Policealna przy Kujawskiej Szkole Wyższej</t>
  </si>
  <si>
    <t>Zaoczna Policealna Szkoła Zawodowa "Pascal"</t>
  </si>
  <si>
    <t>Policealna Szkoła Kosmetyczna "Pascal"</t>
  </si>
  <si>
    <t>Stacjonarna Policealna Szkoła Medyczna "Pascal"</t>
  </si>
  <si>
    <t>Policealna Szkoła Medyczna "Pascal"</t>
  </si>
  <si>
    <t>Szkoła Policealna "Spectrum"</t>
  </si>
  <si>
    <t>Szkoła Policealna Centrum Nauki i Biznesu "Żak"</t>
  </si>
  <si>
    <t>Policealna Szkoła Opieki Medycznej "Żak"</t>
  </si>
  <si>
    <t>Branżowa Szkoła I Stopnia IMPULS</t>
  </si>
  <si>
    <t xml:space="preserve">Branżowa Szkoła I Stopnia nr 9 w Zespole Szkół Włocławskiego Stowarzyszenia Oświatowego "Cogito" </t>
  </si>
  <si>
    <t>2340         2830</t>
  </si>
  <si>
    <t>Akademickie Liceum Ogólnokształcące nr 1 im. "Obrońców Wisły 1920 roku" we Włocławku</t>
  </si>
  <si>
    <t>Akademickie Liceum Ogólnokształcące Mistrzostwa Sportowego nr 1 im. "Obrońców Wisły 1920 roku" we Włocławku</t>
  </si>
  <si>
    <t>Liceum Ogólnokształcące dla dorosłych "Futuro"</t>
  </si>
  <si>
    <t>Zaoczne Liceum Ogólnokształcące dla dorosłych "Cosinus Plus"</t>
  </si>
  <si>
    <t>Prywatne Liceum Ogólnokształcące dla dorosłych prow. przez Katarzynę Balcer</t>
  </si>
  <si>
    <t>Liceum Ogólnokształcące dla dorosłych "Pascal"</t>
  </si>
  <si>
    <t>Liceum Ogólnokształcące "Spectrum" dla dorosłych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</si>
  <si>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</si>
  <si>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</si>
  <si>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</si>
  <si>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"Zielony Słonik"</t>
  </si>
  <si>
    <t>Terapeutyczny Punkt Przedszkolny "Synapsik"</t>
  </si>
  <si>
    <t>Terapeutyczny Punkt Przedszkolny "Neuromind"</t>
  </si>
  <si>
    <t>2340       2830</t>
  </si>
  <si>
    <t>Zapewnienie uczniom prawa do bezpłatnego dostępu do podręczników, materiałów edukacyjnych lub materiałów ćwiczeniowych (zakup podręczników dla uczniów, w tym dla uczniów będących obywatelami Ukrainy)</t>
  </si>
  <si>
    <t>Zespół Szkół Katolickich im. Ks. J. Długosza</t>
  </si>
  <si>
    <t>Włocławskie Stowarzyszenie Oświatowe Cogito</t>
  </si>
  <si>
    <t>Szkoła Podstawowa z oddziałami dwujęzycznymi Monttessori-     Schule</t>
  </si>
  <si>
    <t xml:space="preserve">Zespół Szkół Akademickich im. Obrońców Wisły 1920 roku </t>
  </si>
  <si>
    <t>Realizacja projektu unijnego  "Zawodowcy z Włocławka"- podniesienie jakości nauczania i zwiększenie szans na zatrudnienie uczniów ZSS we Włocławku"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</si>
  <si>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</si>
  <si>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</si>
  <si>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ogółem, z tego:</t>
  </si>
  <si>
    <t>19.1</t>
  </si>
  <si>
    <t xml:space="preserve"> - zadania własne</t>
  </si>
  <si>
    <t>19.2</t>
  </si>
  <si>
    <t xml:space="preserve">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</si>
  <si>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</si>
  <si>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</si>
  <si>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Pozostała działalność (aktywizacja społeczna seniorów, poprawa warunków funkcjonowania seniorów)</t>
  </si>
  <si>
    <t>Specjalny Ośrodek Wychowawczy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</si>
  <si>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</si>
  <si>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</si>
  <si>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</si>
  <si>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Wymiana źródeł ciepła zasilanych paliwami stałymi ogółem, z tego:</t>
  </si>
  <si>
    <t>28.1</t>
  </si>
  <si>
    <t>- program dla osób fizycznych (dotacja na inwestycje)</t>
  </si>
  <si>
    <t>28.2</t>
  </si>
  <si>
    <t>- wymiana w budynkach wielorodzinnych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</si>
  <si>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</si>
  <si>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</si>
  <si>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 xml:space="preserve">Realizacja projektu "WŁOCŁAWEK - MIASTO NOWYCH MOŻLIWOŚCI. Tutaj mieszkam, pracuję, inwestuję i tu wypoczywam" </t>
  </si>
  <si>
    <t>Zadania w zakresie kultury fizycznej</t>
  </si>
  <si>
    <t>2816        2817    2826        2827</t>
  </si>
  <si>
    <t xml:space="preserve">Zadania w zakresie kultury fizycznej - realizacja projektu pn. "WŁOCŁAWEK - MIASTO NOWYCH MOŻLIWOŚCI. Tutaj mieszkam, pracuję, inwestuję i tu wypoczywam" </t>
  </si>
  <si>
    <t>Razem</t>
  </si>
  <si>
    <t>Nazwa placówki/nazwa podmiotu</t>
  </si>
  <si>
    <t>2540        2590</t>
  </si>
  <si>
    <t>Publiczna Szkoła Podstawowa im. Ks. J. Długosza</t>
  </si>
  <si>
    <t>Akademicka Szkoła Podstawowa Nr 1 im. Obrońców Wisły 1920 roku we Włocławku</t>
  </si>
  <si>
    <t>Akademicka Szkoła Podstawowa Mistrzostwa Sportowego Nr 1          im. Obrońców Wisły 1920 roku we Włocławku</t>
  </si>
  <si>
    <t>Przedszkole Akademickie przy Państwowej Akademii Nauk Stosowanych we Włocławku</t>
  </si>
  <si>
    <t>Centrum Malucha - "Piotruś Pan"- Przedszkole Niepubliczne</t>
  </si>
  <si>
    <t>Przedszkole Niepubliczne "Happy Kids"</t>
  </si>
  <si>
    <t>Przedszkole Niepubliczne Megamocni we Włocławku</t>
  </si>
  <si>
    <t xml:space="preserve">Przedszkole Publiczne Nr 1 </t>
  </si>
  <si>
    <t>Inne formy wychowania przedszkolnego - punkty przedszkolne</t>
  </si>
  <si>
    <t>Akademickie Technikum Wojskowe im. Obrońców Wisły 1920 roku we Włocławku</t>
  </si>
  <si>
    <t>Policealna Szkoła dla dorosłych "Cosinus Plus" we Włocławku</t>
  </si>
  <si>
    <t>Policealna Szkoła Techników Ochrony Fizycznej Osób i Mienia Elitarne Studium Służb Ochrony "Delta"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</si>
  <si>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</si>
  <si>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</si>
  <si>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</si>
  <si>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</si>
  <si>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</si>
  <si>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</si>
  <si>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</si>
  <si>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>Akademicka Szkoła Policealna przy Kujawskiej Szkole Wyższej we Włocławku</t>
  </si>
  <si>
    <t>Branżowa Szkoła I Stopnia (Stowarzyszenie Szkoła dla Włocławka)</t>
  </si>
  <si>
    <t>Akademicka Szkoła Branżowa I stopnia im. Obrońców Wisły 1920 roku</t>
  </si>
  <si>
    <t>Liceum Ogólnokształcące dla Dorosłych Futuro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</si>
  <si>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</si>
  <si>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</si>
  <si>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</si>
  <si>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dla Dorosłych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</si>
  <si>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</si>
  <si>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</si>
  <si>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</si>
  <si>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Przedszkole Akademickie przy Państwowej  Akademii Nauk Stosowanych we Włocławku</t>
  </si>
  <si>
    <t>Terapeutyczny Punkt Przedszkolny Neuromind</t>
  </si>
  <si>
    <t>Szkoła Podstawowa z oddziałami dwujęzycznymi Monttessori-      Schule</t>
  </si>
  <si>
    <t>Szkoła Policealna dla dorosłych "Cosinus Plus" we Włocławku</t>
  </si>
  <si>
    <t>Policealna Szkoła Centrum Nauki i Biznesu "Żak"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</si>
  <si>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</si>
  <si>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 xml:space="preserve">Branżowa Szkoła I Stopnia Start we Włocławku </t>
  </si>
  <si>
    <t>Rehabilitacja zawodowa i społeczna osób niepełnosprawnych</t>
  </si>
  <si>
    <t>Warsztaty Terapii Zajęciowej</t>
  </si>
  <si>
    <t>Specjalny Ośrodek Wychowawczy Zgromadzenia Sióstr Orionistek</t>
  </si>
  <si>
    <t>Niepubliczna Poradnia Psychologiczno - Pedagogiczna "Centrum Diagnozy, Terapii i Wspomagania Rozwoju" (Elżbieta Złowodzka Jetter)</t>
  </si>
  <si>
    <t>Załącznik Nr 7</t>
  </si>
  <si>
    <t xml:space="preserve">Plan </t>
  </si>
  <si>
    <t xml:space="preserve"> dochodów i wydatków wydzielonych rachunków dochodów oświatowych jednostek budżetowych na 2023 rok</t>
  </si>
  <si>
    <t>(zbiorczo)</t>
  </si>
  <si>
    <t>Stan środków</t>
  </si>
  <si>
    <t xml:space="preserve">Stan środków </t>
  </si>
  <si>
    <t>Wyszczególnienie</t>
  </si>
  <si>
    <t>pieniężnych</t>
  </si>
  <si>
    <t>na początek roku</t>
  </si>
  <si>
    <t>Dochody</t>
  </si>
  <si>
    <t>na koniec roku</t>
  </si>
  <si>
    <t>1.</t>
  </si>
  <si>
    <t>2.</t>
  </si>
  <si>
    <t>3.</t>
  </si>
  <si>
    <t>4.</t>
  </si>
  <si>
    <t>5.</t>
  </si>
  <si>
    <t>6.</t>
  </si>
  <si>
    <t xml:space="preserve">Szkoły artystyczne </t>
  </si>
  <si>
    <t>7.</t>
  </si>
  <si>
    <t>8.</t>
  </si>
  <si>
    <t>Placówki kształcenia ustawicznego i centra kształcenia zawodowego</t>
  </si>
  <si>
    <t>9.</t>
  </si>
  <si>
    <t>Ośrodki szkolenia, dokształcania i doskonalenia kadr</t>
  </si>
  <si>
    <t>10.</t>
  </si>
  <si>
    <t>Inne formy kształcenia osobno niewymienione</t>
  </si>
  <si>
    <t>11.</t>
  </si>
  <si>
    <t>Kolonie i obozy oraz inne formy wypoczynku dzieci</t>
  </si>
  <si>
    <t xml:space="preserve">i młodzieży szkolnej, a także szkolenia młodzieży </t>
  </si>
  <si>
    <t>Szkolne schroniska młodzieżowe</t>
  </si>
  <si>
    <t xml:space="preserve">Ogółem </t>
  </si>
  <si>
    <t>Załącznik Nr 8</t>
  </si>
  <si>
    <t>Plan dochodów i wydatków na wydzielonym rachunku Funduszu Pomocy</t>
  </si>
  <si>
    <t>dotyczącym realizacji zadań na rzecz pomocy Ukrainie</t>
  </si>
  <si>
    <t xml:space="preserve">Dział </t>
  </si>
  <si>
    <t>Dochody na 2023 rok</t>
  </si>
  <si>
    <t>Wydatki na 2023 rok</t>
  </si>
  <si>
    <t>Zapewnienie posiłku dzieciom i młodzieży</t>
  </si>
  <si>
    <t>85230</t>
  </si>
  <si>
    <t>3290</t>
  </si>
  <si>
    <t>Świadczenia rodzinne</t>
  </si>
  <si>
    <t>855</t>
  </si>
  <si>
    <t>85595</t>
  </si>
  <si>
    <t>4740</t>
  </si>
  <si>
    <t>4850</t>
  </si>
  <si>
    <t>Świadczenie pieniężne w wysokości          300 zł</t>
  </si>
  <si>
    <t>853</t>
  </si>
  <si>
    <t>85395</t>
  </si>
  <si>
    <t>Świadczenie pieniężne - 40 zł za osobę dziennie</t>
  </si>
  <si>
    <t>754</t>
  </si>
  <si>
    <t>75495</t>
  </si>
  <si>
    <t>3280</t>
  </si>
  <si>
    <t>Zapewnienie zakwaterowania i wyżywienia obywatelom Ukrainy</t>
  </si>
  <si>
    <t>Wydział Zarządzania Kryzysowego i Bezpieczeństwa</t>
  </si>
  <si>
    <t>4370</t>
  </si>
  <si>
    <t>Administracja Zasobów Komunalnych</t>
  </si>
  <si>
    <t>4860</t>
  </si>
  <si>
    <t>Realizacja zadań przez Miejski Zespół do Spraw Orzekania o Niepełnosprawności na rzecz obywateli Ukrainy</t>
  </si>
  <si>
    <t>85321</t>
  </si>
  <si>
    <t>Zasiłki okresowe</t>
  </si>
  <si>
    <t>85214</t>
  </si>
  <si>
    <t>Nadanie numeru PESEL, potwierdzenie tożsamości obywateli Ukrainy i wprowadzenie danych do rejestru danych kontaktowych na wniosek oraz zarządzanie statusem UKR</t>
  </si>
  <si>
    <t>750</t>
  </si>
  <si>
    <t>75011</t>
  </si>
  <si>
    <t>758</t>
  </si>
  <si>
    <t>Realizacja dodatkowych zadań oświatowych</t>
  </si>
  <si>
    <t>80101</t>
  </si>
  <si>
    <t>4750</t>
  </si>
  <si>
    <t>80102</t>
  </si>
  <si>
    <t>80104</t>
  </si>
  <si>
    <t>80105</t>
  </si>
  <si>
    <t>80115</t>
  </si>
  <si>
    <t>80117</t>
  </si>
  <si>
    <t>80120</t>
  </si>
  <si>
    <t>80132</t>
  </si>
  <si>
    <t>80134</t>
  </si>
  <si>
    <t>80148</t>
  </si>
  <si>
    <t>854</t>
  </si>
  <si>
    <t>85410</t>
  </si>
  <si>
    <t>85420</t>
  </si>
  <si>
    <t>80153</t>
  </si>
  <si>
    <t>Wyposażenie szkół w podręczniki, materiały edukacyjne lub materiały ćwiczeniowe dla uczniów będących obywatelami Ukrainy w roku szkolnym 2023/2024</t>
  </si>
  <si>
    <t>Stypendia i zasiłki dla uczniów z Ukrainy</t>
  </si>
  <si>
    <t>85415</t>
  </si>
  <si>
    <r>
      <t>Usługi opiekuńcze i specjalistyczne usługi opiekuńcze</t>
    </r>
    <r>
      <rPr>
        <sz val="8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</si>
</sst>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2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name val="Arial CE"/>
      <charset val="238"/>
    </font>
    <font>
      <u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7"/>
      <name val="Arial CE"/>
      <charset val="238"/>
    </font>
    <font>
      <b/>
      <sz val="9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6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6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10"/>
      <name val="Arial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sz val="10"/>
      <name val="Arial CE"/>
      <charset val="238"/>
    </font>
    <font>
      <b/>
      <sz val="6"/>
      <name val="Arial CE"/>
      <charset val="238"/>
    </font>
    <font>
      <u/>
      <sz val="7"/>
      <name val="Arial CE"/>
      <charset val="238"/>
    </font>
    <font>
      <sz val="6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2">
    <xf numFmtId="0" fontId="0" fillId="0" borderId="0"/>
    <xf numFmtId="0" fontId="12" fillId="0" borderId="0"/>
    <xf numFmtId="0" fontId="14" fillId="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/>
    <xf numFmtId="43" fontId="26" fillId="0" borderId="0" applyFill="0" applyBorder="0" applyAlignment="0" applyProtection="0"/>
    <xf numFmtId="0" fontId="26" fillId="0" borderId="0"/>
    <xf numFmtId="0" fontId="26" fillId="0" borderId="0"/>
    <xf numFmtId="0" fontId="35" fillId="0" borderId="0"/>
    <xf numFmtId="0" fontId="26" fillId="0" borderId="0"/>
  </cellStyleXfs>
  <cellXfs count="72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6" xfId="0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0" fontId="1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4" fontId="2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0" fontId="9" fillId="0" borderId="0" xfId="0" applyFont="1"/>
    <xf numFmtId="4" fontId="10" fillId="0" borderId="0" xfId="0" applyNumberFormat="1" applyFont="1"/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3" fontId="11" fillId="0" borderId="3" xfId="0" applyNumberFormat="1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horizontal="right"/>
    </xf>
    <xf numFmtId="3" fontId="2" fillId="0" borderId="6" xfId="0" applyNumberFormat="1" applyFont="1" applyBorder="1"/>
    <xf numFmtId="49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vertical="top" wrapText="1"/>
    </xf>
    <xf numFmtId="3" fontId="1" fillId="0" borderId="4" xfId="0" applyNumberFormat="1" applyFont="1" applyBorder="1"/>
    <xf numFmtId="4" fontId="5" fillId="0" borderId="3" xfId="0" applyNumberFormat="1" applyFont="1" applyBorder="1"/>
    <xf numFmtId="3" fontId="1" fillId="0" borderId="6" xfId="0" applyNumberFormat="1" applyFont="1" applyBorder="1"/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wrapText="1"/>
    </xf>
    <xf numFmtId="4" fontId="11" fillId="0" borderId="10" xfId="0" applyNumberFormat="1" applyFont="1" applyBorder="1"/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4" fontId="11" fillId="0" borderId="10" xfId="1" applyNumberFormat="1" applyFont="1" applyBorder="1"/>
    <xf numFmtId="3" fontId="5" fillId="0" borderId="5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4" fontId="2" fillId="0" borderId="5" xfId="0" applyNumberFormat="1" applyFont="1" applyBorder="1"/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0" fontId="2" fillId="0" borderId="5" xfId="1" applyFont="1" applyBorder="1"/>
    <xf numFmtId="3" fontId="2" fillId="0" borderId="4" xfId="0" applyNumberFormat="1" applyFont="1" applyBorder="1"/>
    <xf numFmtId="4" fontId="5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1" fillId="0" borderId="3" xfId="0" applyFont="1" applyBorder="1" applyAlignment="1">
      <alignment vertical="top"/>
    </xf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49" fontId="5" fillId="0" borderId="3" xfId="0" applyNumberFormat="1" applyFont="1" applyBorder="1"/>
    <xf numFmtId="3" fontId="2" fillId="0" borderId="3" xfId="0" applyNumberFormat="1" applyFont="1" applyBorder="1"/>
    <xf numFmtId="0" fontId="2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1" fillId="0" borderId="3" xfId="1" applyFont="1" applyBorder="1"/>
    <xf numFmtId="4" fontId="2" fillId="0" borderId="5" xfId="1" applyNumberFormat="1" applyFont="1" applyBorder="1"/>
    <xf numFmtId="0" fontId="7" fillId="0" borderId="5" xfId="0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4" fontId="15" fillId="0" borderId="0" xfId="0" applyNumberFormat="1" applyFont="1"/>
    <xf numFmtId="4" fontId="16" fillId="0" borderId="0" xfId="0" applyNumberFormat="1" applyFont="1"/>
    <xf numFmtId="3" fontId="2" fillId="0" borderId="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right" vertical="top"/>
    </xf>
    <xf numFmtId="0" fontId="5" fillId="0" borderId="3" xfId="0" applyFont="1" applyBorder="1"/>
    <xf numFmtId="0" fontId="5" fillId="0" borderId="4" xfId="0" applyFont="1" applyBorder="1"/>
    <xf numFmtId="4" fontId="1" fillId="0" borderId="0" xfId="0" applyNumberFormat="1" applyFont="1"/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15" xfId="0" applyNumberFormat="1" applyFont="1" applyBorder="1"/>
    <xf numFmtId="0" fontId="2" fillId="0" borderId="3" xfId="0" applyFont="1" applyBorder="1" applyAlignment="1">
      <alignment wrapText="1"/>
    </xf>
    <xf numFmtId="4" fontId="7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/>
    <xf numFmtId="0" fontId="1" fillId="0" borderId="3" xfId="0" applyFont="1" applyBorder="1" applyAlignment="1">
      <alignment wrapText="1"/>
    </xf>
    <xf numFmtId="3" fontId="5" fillId="0" borderId="5" xfId="0" applyNumberFormat="1" applyFont="1" applyBorder="1"/>
    <xf numFmtId="49" fontId="1" fillId="0" borderId="5" xfId="0" applyNumberFormat="1" applyFont="1" applyBorder="1" applyAlignment="1">
      <alignment horizontal="right" vertical="top"/>
    </xf>
    <xf numFmtId="0" fontId="1" fillId="0" borderId="6" xfId="0" applyFont="1" applyBorder="1" applyAlignment="1">
      <alignment vertical="top" wrapText="1"/>
    </xf>
    <xf numFmtId="49" fontId="11" fillId="0" borderId="4" xfId="0" applyNumberFormat="1" applyFont="1" applyBorder="1"/>
    <xf numFmtId="44" fontId="11" fillId="0" borderId="0" xfId="0" applyNumberFormat="1" applyFont="1"/>
    <xf numFmtId="0" fontId="1" fillId="0" borderId="4" xfId="0" applyFont="1" applyBorder="1" applyAlignment="1">
      <alignment vertical="center"/>
    </xf>
    <xf numFmtId="49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3" fontId="1" fillId="0" borderId="5" xfId="0" applyNumberFormat="1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4" fontId="1" fillId="0" borderId="16" xfId="0" applyNumberFormat="1" applyFont="1" applyBorder="1"/>
    <xf numFmtId="0" fontId="11" fillId="0" borderId="3" xfId="0" applyFont="1" applyBorder="1" applyAlignment="1">
      <alignment horizontal="right" vertical="top"/>
    </xf>
    <xf numFmtId="0" fontId="11" fillId="0" borderId="4" xfId="0" applyFont="1" applyBorder="1" applyAlignment="1">
      <alignment wrapText="1"/>
    </xf>
    <xf numFmtId="4" fontId="11" fillId="0" borderId="1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18" fillId="0" borderId="0" xfId="0" applyNumberFormat="1" applyFont="1"/>
    <xf numFmtId="0" fontId="1" fillId="0" borderId="4" xfId="0" applyFont="1" applyBorder="1" applyAlignment="1">
      <alignment horizontal="right"/>
    </xf>
    <xf numFmtId="0" fontId="19" fillId="0" borderId="3" xfId="0" applyFont="1" applyBorder="1"/>
    <xf numFmtId="0" fontId="2" fillId="0" borderId="4" xfId="0" applyFont="1" applyBorder="1" applyAlignment="1">
      <alignment vertical="top" wrapText="1"/>
    </xf>
    <xf numFmtId="4" fontId="20" fillId="0" borderId="0" xfId="0" applyNumberFormat="1" applyFont="1"/>
    <xf numFmtId="0" fontId="2" fillId="0" borderId="3" xfId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left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1" fillId="0" borderId="3" xfId="0" applyFont="1" applyBorder="1" applyAlignment="1">
      <alignment horizontal="right"/>
    </xf>
    <xf numFmtId="0" fontId="11" fillId="0" borderId="4" xfId="0" applyFont="1" applyBorder="1"/>
    <xf numFmtId="0" fontId="1" fillId="0" borderId="4" xfId="0" applyFont="1" applyBorder="1" applyAlignment="1">
      <alignment vertical="top"/>
    </xf>
    <xf numFmtId="4" fontId="2" fillId="0" borderId="3" xfId="1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 vertical="center"/>
    </xf>
    <xf numFmtId="4" fontId="21" fillId="0" borderId="0" xfId="0" applyNumberFormat="1" applyFont="1"/>
    <xf numFmtId="4" fontId="2" fillId="0" borderId="1" xfId="0" applyNumberFormat="1" applyFont="1" applyBorder="1"/>
    <xf numFmtId="0" fontId="1" fillId="0" borderId="4" xfId="0" applyFont="1" applyBorder="1" applyAlignment="1">
      <alignment vertical="center" wrapText="1"/>
    </xf>
    <xf numFmtId="4" fontId="2" fillId="0" borderId="3" xfId="1" applyNumberFormat="1" applyFont="1" applyBorder="1"/>
    <xf numFmtId="0" fontId="10" fillId="0" borderId="0" xfId="0" applyFont="1"/>
    <xf numFmtId="49" fontId="2" fillId="0" borderId="5" xfId="0" applyNumberFormat="1" applyFont="1" applyBorder="1" applyAlignment="1">
      <alignment horizontal="right" vertical="top"/>
    </xf>
    <xf numFmtId="0" fontId="2" fillId="0" borderId="6" xfId="0" applyFont="1" applyBorder="1" applyAlignment="1">
      <alignment wrapText="1"/>
    </xf>
    <xf numFmtId="0" fontId="10" fillId="0" borderId="17" xfId="0" applyFont="1" applyBorder="1"/>
    <xf numFmtId="49" fontId="2" fillId="0" borderId="5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3" xfId="1" applyFont="1" applyBorder="1" applyAlignment="1">
      <alignment horizontal="right"/>
    </xf>
    <xf numFmtId="0" fontId="2" fillId="0" borderId="15" xfId="1" applyFont="1" applyBorder="1"/>
    <xf numFmtId="4" fontId="1" fillId="0" borderId="18" xfId="0" applyNumberFormat="1" applyFont="1" applyBorder="1" applyAlignment="1">
      <alignment horizontal="right"/>
    </xf>
    <xf numFmtId="49" fontId="2" fillId="0" borderId="3" xfId="0" applyNumberFormat="1" applyFont="1" applyBorder="1"/>
    <xf numFmtId="0" fontId="1" fillId="0" borderId="3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wrapText="1"/>
    </xf>
    <xf numFmtId="0" fontId="2" fillId="0" borderId="5" xfId="5" applyNumberFormat="1" applyFont="1" applyBorder="1" applyAlignment="1">
      <alignment horizontal="left"/>
    </xf>
    <xf numFmtId="4" fontId="1" fillId="0" borderId="4" xfId="0" applyNumberFormat="1" applyFont="1" applyBorder="1"/>
    <xf numFmtId="49" fontId="11" fillId="0" borderId="4" xfId="0" applyNumberFormat="1" applyFont="1" applyBorder="1" applyAlignment="1">
      <alignment horizontal="center"/>
    </xf>
    <xf numFmtId="44" fontId="11" fillId="0" borderId="0" xfId="0" applyNumberFormat="1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1" fillId="0" borderId="3" xfId="1" applyFont="1" applyBorder="1" applyAlignment="1">
      <alignment horizontal="center"/>
    </xf>
    <xf numFmtId="0" fontId="11" fillId="0" borderId="3" xfId="1" applyFont="1" applyBorder="1" applyAlignment="1">
      <alignment horizontal="right"/>
    </xf>
    <xf numFmtId="0" fontId="2" fillId="0" borderId="3" xfId="1" applyFont="1" applyBorder="1" applyAlignment="1">
      <alignment horizontal="right" vertical="top"/>
    </xf>
    <xf numFmtId="4" fontId="1" fillId="0" borderId="3" xfId="0" applyNumberFormat="1" applyFont="1" applyBorder="1" applyAlignment="1">
      <alignment horizontal="center"/>
    </xf>
    <xf numFmtId="43" fontId="5" fillId="0" borderId="3" xfId="4" applyFont="1" applyBorder="1" applyAlignment="1">
      <alignment horizontal="right"/>
    </xf>
    <xf numFmtId="43" fontId="5" fillId="0" borderId="3" xfId="4" applyFont="1" applyBorder="1"/>
    <xf numFmtId="43" fontId="2" fillId="0" borderId="3" xfId="4" applyFont="1" applyBorder="1" applyAlignment="1">
      <alignment horizontal="right"/>
    </xf>
    <xf numFmtId="0" fontId="5" fillId="0" borderId="0" xfId="6" applyFont="1" applyAlignment="1">
      <alignment horizontal="center" vertical="center"/>
    </xf>
    <xf numFmtId="0" fontId="1" fillId="0" borderId="0" xfId="6" applyFont="1" applyAlignment="1">
      <alignment horizontal="center" vertical="center"/>
    </xf>
    <xf numFmtId="0" fontId="1" fillId="0" borderId="0" xfId="6" applyFont="1"/>
    <xf numFmtId="0" fontId="1" fillId="0" borderId="0" xfId="6" applyFont="1" applyAlignment="1">
      <alignment horizontal="right" vertical="center"/>
    </xf>
    <xf numFmtId="0" fontId="1" fillId="0" borderId="0" xfId="6" applyFont="1" applyAlignment="1">
      <alignment horizontal="left" vertical="center"/>
    </xf>
    <xf numFmtId="0" fontId="1" fillId="0" borderId="0" xfId="6" applyFont="1" applyAlignment="1">
      <alignment horizontal="center"/>
    </xf>
    <xf numFmtId="0" fontId="23" fillId="0" borderId="0" xfId="6" applyFont="1"/>
    <xf numFmtId="0" fontId="5" fillId="0" borderId="0" xfId="6" applyFont="1" applyAlignment="1">
      <alignment horizontal="centerContinuous" vertical="center"/>
    </xf>
    <xf numFmtId="0" fontId="5" fillId="0" borderId="0" xfId="6" applyFont="1" applyAlignment="1">
      <alignment horizontal="center"/>
    </xf>
    <xf numFmtId="0" fontId="24" fillId="0" borderId="0" xfId="6" applyFont="1" applyAlignment="1">
      <alignment horizontal="left"/>
    </xf>
    <xf numFmtId="0" fontId="5" fillId="3" borderId="19" xfId="6" applyFont="1" applyFill="1" applyBorder="1" applyAlignment="1">
      <alignment horizontal="center" vertical="center"/>
    </xf>
    <xf numFmtId="0" fontId="1" fillId="3" borderId="19" xfId="6" applyFont="1" applyFill="1" applyBorder="1" applyAlignment="1">
      <alignment horizontal="center" vertical="center"/>
    </xf>
    <xf numFmtId="0" fontId="5" fillId="0" borderId="19" xfId="6" applyFont="1" applyBorder="1" applyAlignment="1">
      <alignment horizontal="center" vertical="center"/>
    </xf>
    <xf numFmtId="0" fontId="5" fillId="3" borderId="20" xfId="6" applyFont="1" applyFill="1" applyBorder="1" applyAlignment="1">
      <alignment horizontal="centerContinuous" vertical="center"/>
    </xf>
    <xf numFmtId="0" fontId="5" fillId="3" borderId="21" xfId="6" applyFont="1" applyFill="1" applyBorder="1" applyAlignment="1">
      <alignment horizontal="centerContinuous" vertical="center"/>
    </xf>
    <xf numFmtId="0" fontId="5" fillId="3" borderId="22" xfId="6" applyFont="1" applyFill="1" applyBorder="1" applyAlignment="1">
      <alignment horizontal="centerContinuous" vertical="center"/>
    </xf>
    <xf numFmtId="0" fontId="5" fillId="3" borderId="23" xfId="6" applyFont="1" applyFill="1" applyBorder="1" applyAlignment="1">
      <alignment horizontal="centerContinuous" vertical="center"/>
    </xf>
    <xf numFmtId="0" fontId="25" fillId="3" borderId="23" xfId="6" applyFont="1" applyFill="1" applyBorder="1" applyAlignment="1">
      <alignment horizontal="center" vertical="center"/>
    </xf>
    <xf numFmtId="0" fontId="25" fillId="3" borderId="19" xfId="6" applyFont="1" applyFill="1" applyBorder="1" applyAlignment="1">
      <alignment horizontal="center" vertical="center"/>
    </xf>
    <xf numFmtId="0" fontId="23" fillId="0" borderId="0" xfId="6" applyFont="1" applyAlignment="1">
      <alignment horizontal="center" vertical="center"/>
    </xf>
    <xf numFmtId="0" fontId="5" fillId="3" borderId="24" xfId="6" applyFont="1" applyFill="1" applyBorder="1" applyAlignment="1">
      <alignment horizontal="center" vertical="center"/>
    </xf>
    <xf numFmtId="0" fontId="5" fillId="3" borderId="25" xfId="6" applyFont="1" applyFill="1" applyBorder="1" applyAlignment="1">
      <alignment horizontal="center" vertical="center"/>
    </xf>
    <xf numFmtId="0" fontId="1" fillId="3" borderId="25" xfId="6" applyFont="1" applyFill="1" applyBorder="1" applyAlignment="1">
      <alignment horizontal="center" vertical="center"/>
    </xf>
    <xf numFmtId="0" fontId="5" fillId="0" borderId="25" xfId="6" applyFont="1" applyBorder="1" applyAlignment="1">
      <alignment horizontal="center" vertical="center"/>
    </xf>
    <xf numFmtId="0" fontId="5" fillId="3" borderId="0" xfId="6" applyFont="1" applyFill="1" applyAlignment="1">
      <alignment horizontal="center" vertical="center"/>
    </xf>
    <xf numFmtId="0" fontId="5" fillId="3" borderId="20" xfId="6" applyFont="1" applyFill="1" applyBorder="1" applyAlignment="1">
      <alignment horizontal="center" vertical="center"/>
    </xf>
    <xf numFmtId="0" fontId="1" fillId="0" borderId="26" xfId="6" applyFont="1" applyBorder="1" applyAlignment="1">
      <alignment horizontal="center" vertical="center" wrapText="1"/>
    </xf>
    <xf numFmtId="0" fontId="25" fillId="3" borderId="0" xfId="6" applyFont="1" applyFill="1" applyAlignment="1">
      <alignment horizontal="center" vertical="center"/>
    </xf>
    <xf numFmtId="0" fontId="25" fillId="3" borderId="24" xfId="6" applyFont="1" applyFill="1" applyBorder="1" applyAlignment="1">
      <alignment horizontal="center" vertical="center"/>
    </xf>
    <xf numFmtId="0" fontId="5" fillId="3" borderId="23" xfId="6" applyFont="1" applyFill="1" applyBorder="1" applyAlignment="1">
      <alignment horizontal="center" vertical="center"/>
    </xf>
    <xf numFmtId="0" fontId="25" fillId="3" borderId="25" xfId="6" applyFont="1" applyFill="1" applyBorder="1" applyAlignment="1">
      <alignment horizontal="center" vertical="center"/>
    </xf>
    <xf numFmtId="0" fontId="5" fillId="3" borderId="27" xfId="6" applyFont="1" applyFill="1" applyBorder="1" applyAlignment="1">
      <alignment horizontal="center" vertical="center"/>
    </xf>
    <xf numFmtId="0" fontId="5" fillId="3" borderId="28" xfId="6" applyFont="1" applyFill="1" applyBorder="1" applyAlignment="1">
      <alignment horizontal="center" vertical="center"/>
    </xf>
    <xf numFmtId="0" fontId="1" fillId="3" borderId="28" xfId="6" applyFont="1" applyFill="1" applyBorder="1" applyAlignment="1">
      <alignment horizontal="center" vertical="center"/>
    </xf>
    <xf numFmtId="0" fontId="5" fillId="0" borderId="28" xfId="6" applyFont="1" applyBorder="1" applyAlignment="1">
      <alignment horizontal="center" vertical="center"/>
    </xf>
    <xf numFmtId="0" fontId="1" fillId="3" borderId="29" xfId="6" applyFont="1" applyFill="1" applyBorder="1" applyAlignment="1" applyProtection="1">
      <alignment horizontal="center" vertical="center"/>
      <protection locked="0"/>
    </xf>
    <xf numFmtId="0" fontId="1" fillId="0" borderId="29" xfId="6" applyFont="1" applyBorder="1" applyAlignment="1" applyProtection="1">
      <alignment horizontal="center" vertical="center"/>
      <protection locked="0"/>
    </xf>
    <xf numFmtId="0" fontId="1" fillId="0" borderId="20" xfId="6" applyFont="1" applyBorder="1" applyAlignment="1" applyProtection="1">
      <alignment horizontal="center" vertical="center"/>
      <protection locked="0"/>
    </xf>
    <xf numFmtId="0" fontId="1" fillId="3" borderId="23" xfId="6" applyFont="1" applyFill="1" applyBorder="1" applyAlignment="1" applyProtection="1">
      <alignment horizontal="center" vertical="center"/>
      <protection locked="0"/>
    </xf>
    <xf numFmtId="0" fontId="1" fillId="3" borderId="26" xfId="6" applyFont="1" applyFill="1" applyBorder="1" applyAlignment="1" applyProtection="1">
      <alignment horizontal="center" vertical="center"/>
      <protection locked="0"/>
    </xf>
    <xf numFmtId="0" fontId="1" fillId="3" borderId="22" xfId="6" applyFont="1" applyFill="1" applyBorder="1" applyAlignment="1" applyProtection="1">
      <alignment horizontal="center" vertical="center"/>
      <protection locked="0"/>
    </xf>
    <xf numFmtId="0" fontId="23" fillId="0" borderId="0" xfId="6" applyFont="1" applyProtection="1">
      <protection locked="0"/>
    </xf>
    <xf numFmtId="4" fontId="27" fillId="0" borderId="29" xfId="7" applyNumberFormat="1" applyFont="1" applyFill="1" applyBorder="1" applyAlignment="1">
      <alignment horizontal="right" vertical="center"/>
    </xf>
    <xf numFmtId="0" fontId="28" fillId="0" borderId="19" xfId="6" applyFont="1" applyBorder="1" applyAlignment="1">
      <alignment horizontal="center" vertical="center"/>
    </xf>
    <xf numFmtId="0" fontId="1" fillId="0" borderId="19" xfId="6" applyFont="1" applyBorder="1" applyAlignment="1">
      <alignment horizontal="center" vertical="center"/>
    </xf>
    <xf numFmtId="0" fontId="28" fillId="0" borderId="27" xfId="6" applyFont="1" applyBorder="1" applyAlignment="1">
      <alignment vertical="center" wrapText="1"/>
    </xf>
    <xf numFmtId="43" fontId="27" fillId="0" borderId="19" xfId="7" applyFont="1" applyBorder="1" applyAlignment="1">
      <alignment horizontal="right" vertical="center"/>
    </xf>
    <xf numFmtId="2" fontId="27" fillId="0" borderId="19" xfId="7" applyNumberFormat="1" applyFont="1" applyBorder="1" applyAlignment="1">
      <alignment horizontal="right" vertical="center"/>
    </xf>
    <xf numFmtId="0" fontId="11" fillId="0" borderId="27" xfId="6" applyFont="1" applyBorder="1" applyAlignment="1">
      <alignment vertical="center" wrapText="1"/>
    </xf>
    <xf numFmtId="43" fontId="27" fillId="0" borderId="29" xfId="7" applyFont="1" applyBorder="1" applyAlignment="1">
      <alignment horizontal="right" vertical="center"/>
    </xf>
    <xf numFmtId="2" fontId="27" fillId="0" borderId="29" xfId="7" applyNumberFormat="1" applyFont="1" applyBorder="1" applyAlignment="1">
      <alignment horizontal="right" vertical="center"/>
    </xf>
    <xf numFmtId="0" fontId="2" fillId="0" borderId="19" xfId="6" applyFont="1" applyBorder="1" applyAlignment="1">
      <alignment horizontal="center" vertical="center"/>
    </xf>
    <xf numFmtId="0" fontId="15" fillId="0" borderId="19" xfId="6" applyFont="1" applyBorder="1" applyAlignment="1">
      <alignment horizontal="center" vertical="center"/>
    </xf>
    <xf numFmtId="43" fontId="19" fillId="0" borderId="19" xfId="7" applyFont="1" applyBorder="1" applyAlignment="1">
      <alignment horizontal="right" vertical="center"/>
    </xf>
    <xf numFmtId="43" fontId="19" fillId="0" borderId="19" xfId="7" applyFont="1" applyBorder="1" applyAlignment="1">
      <alignment horizontal="center" vertical="center"/>
    </xf>
    <xf numFmtId="2" fontId="19" fillId="0" borderId="19" xfId="7" applyNumberFormat="1" applyFont="1" applyBorder="1" applyAlignment="1">
      <alignment horizontal="right" vertical="center"/>
    </xf>
    <xf numFmtId="0" fontId="2" fillId="0" borderId="24" xfId="6" applyFont="1" applyBorder="1" applyAlignment="1">
      <alignment horizontal="center" vertical="center"/>
    </xf>
    <xf numFmtId="0" fontId="15" fillId="0" borderId="27" xfId="6" applyFont="1" applyBorder="1" applyAlignment="1">
      <alignment horizontal="center" vertical="center"/>
    </xf>
    <xf numFmtId="0" fontId="15" fillId="0" borderId="24" xfId="6" applyFont="1" applyBorder="1" applyAlignment="1">
      <alignment horizontal="center" vertical="center"/>
    </xf>
    <xf numFmtId="0" fontId="2" fillId="0" borderId="27" xfId="6" applyFont="1" applyBorder="1" applyAlignment="1">
      <alignment vertical="center" wrapText="1"/>
    </xf>
    <xf numFmtId="43" fontId="19" fillId="0" borderId="27" xfId="7" applyFont="1" applyBorder="1" applyAlignment="1">
      <alignment horizontal="right" vertical="center"/>
    </xf>
    <xf numFmtId="43" fontId="19" fillId="0" borderId="27" xfId="7" applyFont="1" applyBorder="1" applyAlignment="1">
      <alignment horizontal="center" vertical="center"/>
    </xf>
    <xf numFmtId="2" fontId="19" fillId="0" borderId="27" xfId="7" applyNumberFormat="1" applyFont="1" applyBorder="1" applyAlignment="1">
      <alignment horizontal="right" vertical="center"/>
    </xf>
    <xf numFmtId="0" fontId="1" fillId="0" borderId="21" xfId="6" applyFont="1" applyBorder="1" applyAlignment="1">
      <alignment horizontal="center" vertical="center"/>
    </xf>
    <xf numFmtId="0" fontId="1" fillId="0" borderId="0" xfId="6" applyFont="1" applyAlignment="1">
      <alignment horizontal="left" vertical="center" wrapText="1"/>
    </xf>
    <xf numFmtId="4" fontId="1" fillId="0" borderId="0" xfId="6" applyNumberFormat="1" applyFont="1" applyAlignment="1">
      <alignment horizontal="right" vertical="center"/>
    </xf>
    <xf numFmtId="0" fontId="24" fillId="0" borderId="0" xfId="6" applyFont="1" applyAlignment="1">
      <alignment horizontal="center" vertical="center"/>
    </xf>
    <xf numFmtId="4" fontId="23" fillId="0" borderId="0" xfId="6" applyNumberFormat="1" applyFont="1" applyAlignment="1">
      <alignment horizontal="right" vertical="center"/>
    </xf>
    <xf numFmtId="0" fontId="23" fillId="0" borderId="0" xfId="6" applyFont="1" applyAlignment="1">
      <alignment horizontal="center"/>
    </xf>
    <xf numFmtId="0" fontId="23" fillId="0" borderId="0" xfId="6" applyFont="1" applyAlignment="1">
      <alignment horizontal="right" vertical="center"/>
    </xf>
    <xf numFmtId="0" fontId="2" fillId="3" borderId="29" xfId="6" applyFont="1" applyFill="1" applyBorder="1" applyAlignment="1" applyProtection="1">
      <alignment horizontal="center" vertical="center"/>
      <protection locked="0"/>
    </xf>
    <xf numFmtId="0" fontId="1" fillId="0" borderId="0" xfId="8" applyFont="1"/>
    <xf numFmtId="0" fontId="1" fillId="0" borderId="0" xfId="8" applyFont="1" applyAlignment="1">
      <alignment horizontal="left"/>
    </xf>
    <xf numFmtId="0" fontId="29" fillId="0" borderId="0" xfId="8" applyFont="1"/>
    <xf numFmtId="0" fontId="4" fillId="0" borderId="0" xfId="8" applyFont="1" applyAlignment="1">
      <alignment horizontal="centerContinuous" vertical="center" wrapText="1"/>
    </xf>
    <xf numFmtId="0" fontId="4" fillId="0" borderId="0" xfId="8" applyFont="1" applyAlignment="1">
      <alignment horizontal="center" vertical="center" wrapText="1"/>
    </xf>
    <xf numFmtId="0" fontId="19" fillId="0" borderId="0" xfId="8" applyFont="1" applyAlignment="1">
      <alignment horizontal="center" vertical="center"/>
    </xf>
    <xf numFmtId="0" fontId="30" fillId="4" borderId="1" xfId="8" applyFont="1" applyFill="1" applyBorder="1" applyAlignment="1">
      <alignment horizontal="center" vertical="center"/>
    </xf>
    <xf numFmtId="0" fontId="30" fillId="4" borderId="1" xfId="8" applyFont="1" applyFill="1" applyBorder="1" applyAlignment="1">
      <alignment horizontal="center" vertical="center" wrapText="1"/>
    </xf>
    <xf numFmtId="0" fontId="30" fillId="4" borderId="30" xfId="8" applyFont="1" applyFill="1" applyBorder="1" applyAlignment="1">
      <alignment horizontal="centerContinuous" vertical="center" wrapText="1"/>
    </xf>
    <xf numFmtId="0" fontId="30" fillId="4" borderId="31" xfId="8" applyFont="1" applyFill="1" applyBorder="1" applyAlignment="1">
      <alignment horizontal="centerContinuous" vertical="center" wrapText="1"/>
    </xf>
    <xf numFmtId="0" fontId="30" fillId="4" borderId="32" xfId="8" applyFont="1" applyFill="1" applyBorder="1" applyAlignment="1">
      <alignment horizontal="centerContinuous" vertical="center" wrapText="1"/>
    </xf>
    <xf numFmtId="0" fontId="30" fillId="4" borderId="3" xfId="8" applyFont="1" applyFill="1" applyBorder="1" applyAlignment="1">
      <alignment horizontal="center" vertical="center"/>
    </xf>
    <xf numFmtId="0" fontId="30" fillId="4" borderId="3" xfId="8" applyFont="1" applyFill="1" applyBorder="1" applyAlignment="1">
      <alignment horizontal="center" vertical="center" wrapText="1"/>
    </xf>
    <xf numFmtId="0" fontId="30" fillId="4" borderId="5" xfId="8" applyFont="1" applyFill="1" applyBorder="1" applyAlignment="1">
      <alignment horizontal="center" vertical="center"/>
    </xf>
    <xf numFmtId="0" fontId="30" fillId="4" borderId="5" xfId="8" applyFont="1" applyFill="1" applyBorder="1" applyAlignment="1">
      <alignment horizontal="center" vertical="center" wrapText="1"/>
    </xf>
    <xf numFmtId="0" fontId="30" fillId="4" borderId="5" xfId="8" applyFont="1" applyFill="1" applyBorder="1" applyAlignment="1">
      <alignment horizontal="center" vertical="top" wrapText="1"/>
    </xf>
    <xf numFmtId="0" fontId="30" fillId="4" borderId="33" xfId="8" applyFont="1" applyFill="1" applyBorder="1" applyAlignment="1">
      <alignment horizontal="center" vertical="center" wrapText="1"/>
    </xf>
    <xf numFmtId="0" fontId="31" fillId="0" borderId="33" xfId="8" applyFont="1" applyBorder="1" applyAlignment="1">
      <alignment horizontal="center" vertical="center"/>
    </xf>
    <xf numFmtId="0" fontId="32" fillId="0" borderId="33" xfId="8" applyFont="1" applyBorder="1" applyAlignment="1">
      <alignment vertical="center"/>
    </xf>
    <xf numFmtId="4" fontId="32" fillId="0" borderId="33" xfId="8" applyNumberFormat="1" applyFont="1" applyBorder="1" applyAlignment="1">
      <alignment vertical="center"/>
    </xf>
    <xf numFmtId="0" fontId="32" fillId="0" borderId="0" xfId="8" applyFont="1"/>
    <xf numFmtId="0" fontId="32" fillId="0" borderId="0" xfId="8" applyFont="1" applyAlignment="1">
      <alignment vertical="center"/>
    </xf>
    <xf numFmtId="0" fontId="32" fillId="0" borderId="34" xfId="8" applyFont="1" applyBorder="1" applyAlignment="1">
      <alignment vertical="center"/>
    </xf>
    <xf numFmtId="4" fontId="32" fillId="0" borderId="5" xfId="8" applyNumberFormat="1" applyFont="1" applyBorder="1" applyAlignment="1">
      <alignment vertical="center"/>
    </xf>
    <xf numFmtId="4" fontId="32" fillId="0" borderId="0" xfId="8" applyNumberFormat="1" applyFont="1"/>
    <xf numFmtId="0" fontId="4" fillId="0" borderId="0" xfId="8" applyFont="1" applyAlignment="1">
      <alignment horizontal="centerContinuous" vertical="center"/>
    </xf>
    <xf numFmtId="0" fontId="33" fillId="0" borderId="0" xfId="8" applyFont="1" applyAlignment="1">
      <alignment horizontal="centerContinuous" vertical="center" wrapText="1"/>
    </xf>
    <xf numFmtId="0" fontId="4" fillId="0" borderId="0" xfId="8" applyFont="1" applyAlignment="1">
      <alignment horizontal="left" vertical="center"/>
    </xf>
    <xf numFmtId="0" fontId="33" fillId="0" borderId="0" xfId="8" applyFont="1" applyAlignment="1">
      <alignment horizontal="left" vertical="center" wrapText="1"/>
    </xf>
    <xf numFmtId="0" fontId="30" fillId="4" borderId="1" xfId="8" applyFont="1" applyFill="1" applyBorder="1" applyAlignment="1">
      <alignment horizontal="center" vertical="top" wrapText="1"/>
    </xf>
    <xf numFmtId="0" fontId="30" fillId="4" borderId="30" xfId="8" applyFont="1" applyFill="1" applyBorder="1" applyAlignment="1">
      <alignment horizontal="center" vertical="center" wrapText="1"/>
    </xf>
    <xf numFmtId="0" fontId="30" fillId="4" borderId="31" xfId="8" applyFont="1" applyFill="1" applyBorder="1" applyAlignment="1">
      <alignment horizontal="center" vertical="center" wrapText="1"/>
    </xf>
    <xf numFmtId="0" fontId="30" fillId="4" borderId="31" xfId="8" applyFont="1" applyFill="1" applyBorder="1" applyAlignment="1">
      <alignment horizontal="left" vertical="center" wrapText="1"/>
    </xf>
    <xf numFmtId="0" fontId="30" fillId="4" borderId="32" xfId="8" applyFont="1" applyFill="1" applyBorder="1" applyAlignment="1">
      <alignment horizontal="center" vertical="center" wrapText="1"/>
    </xf>
    <xf numFmtId="0" fontId="30" fillId="4" borderId="5" xfId="8" applyFont="1" applyFill="1" applyBorder="1" applyAlignment="1">
      <alignment horizontal="center" vertical="top"/>
    </xf>
    <xf numFmtId="0" fontId="6" fillId="0" borderId="33" xfId="8" applyFont="1" applyBorder="1" applyAlignment="1">
      <alignment horizontal="center" vertical="center"/>
    </xf>
    <xf numFmtId="0" fontId="20" fillId="0" borderId="0" xfId="8" applyFont="1"/>
    <xf numFmtId="0" fontId="20" fillId="0" borderId="0" xfId="8" applyFont="1" applyAlignment="1">
      <alignment vertical="center"/>
    </xf>
    <xf numFmtId="0" fontId="32" fillId="0" borderId="35" xfId="8" applyFont="1" applyBorder="1" applyAlignment="1">
      <alignment vertical="center"/>
    </xf>
    <xf numFmtId="4" fontId="32" fillId="0" borderId="36" xfId="8" applyNumberFormat="1" applyFont="1" applyBorder="1" applyAlignment="1">
      <alignment vertical="center"/>
    </xf>
    <xf numFmtId="0" fontId="34" fillId="0" borderId="0" xfId="8" applyFont="1"/>
    <xf numFmtId="0" fontId="19" fillId="0" borderId="0" xfId="8" applyFont="1"/>
    <xf numFmtId="0" fontId="19" fillId="0" borderId="0" xfId="8" applyFont="1" applyAlignment="1">
      <alignment vertical="center"/>
    </xf>
    <xf numFmtId="4" fontId="32" fillId="0" borderId="35" xfId="8" applyNumberFormat="1" applyFont="1" applyBorder="1" applyAlignment="1">
      <alignment vertical="center"/>
    </xf>
    <xf numFmtId="0" fontId="32" fillId="0" borderId="36" xfId="8" applyFont="1" applyBorder="1" applyAlignment="1">
      <alignment vertical="center"/>
    </xf>
    <xf numFmtId="0" fontId="30" fillId="0" borderId="30" xfId="8" applyFont="1" applyBorder="1" applyAlignment="1">
      <alignment horizontal="centerContinuous" vertical="center"/>
    </xf>
    <xf numFmtId="4" fontId="30" fillId="0" borderId="33" xfId="8" applyNumberFormat="1" applyFont="1" applyBorder="1" applyAlignment="1">
      <alignment vertical="center"/>
    </xf>
    <xf numFmtId="0" fontId="32" fillId="0" borderId="0" xfId="9" applyFont="1"/>
    <xf numFmtId="0" fontId="32" fillId="0" borderId="0" xfId="9" applyFont="1" applyAlignment="1">
      <alignment horizontal="center" vertical="top"/>
    </xf>
    <xf numFmtId="0" fontId="1" fillId="0" borderId="0" xfId="10" applyFont="1" applyAlignment="1">
      <alignment horizontal="left"/>
    </xf>
    <xf numFmtId="0" fontId="29" fillId="0" borderId="0" xfId="9" applyFont="1" applyAlignment="1">
      <alignment horizontal="left"/>
    </xf>
    <xf numFmtId="0" fontId="30" fillId="0" borderId="0" xfId="9" applyFont="1" applyAlignment="1">
      <alignment horizontal="center" vertical="center"/>
    </xf>
    <xf numFmtId="0" fontId="32" fillId="0" borderId="0" xfId="9" applyFont="1" applyAlignment="1">
      <alignment vertical="center"/>
    </xf>
    <xf numFmtId="0" fontId="6" fillId="0" borderId="0" xfId="9" applyFont="1" applyAlignment="1">
      <alignment horizontal="right"/>
    </xf>
    <xf numFmtId="0" fontId="30" fillId="4" borderId="33" xfId="9" applyFont="1" applyFill="1" applyBorder="1" applyAlignment="1">
      <alignment horizontal="center" vertical="center"/>
    </xf>
    <xf numFmtId="0" fontId="30" fillId="0" borderId="33" xfId="9" applyFont="1" applyBorder="1" applyAlignment="1">
      <alignment horizontal="center" vertical="center"/>
    </xf>
    <xf numFmtId="0" fontId="31" fillId="0" borderId="33" xfId="9" applyFont="1" applyBorder="1" applyAlignment="1">
      <alignment horizontal="center" vertical="center"/>
    </xf>
    <xf numFmtId="0" fontId="31" fillId="0" borderId="33" xfId="9" applyFont="1" applyBorder="1" applyAlignment="1">
      <alignment horizontal="center" vertical="top"/>
    </xf>
    <xf numFmtId="0" fontId="31" fillId="0" borderId="0" xfId="9" applyFont="1"/>
    <xf numFmtId="0" fontId="36" fillId="0" borderId="30" xfId="9" applyFont="1" applyBorder="1" applyAlignment="1">
      <alignment horizontal="left" vertical="center"/>
    </xf>
    <xf numFmtId="0" fontId="36" fillId="0" borderId="31" xfId="9" applyFont="1" applyBorder="1" applyAlignment="1">
      <alignment horizontal="left" vertical="center"/>
    </xf>
    <xf numFmtId="0" fontId="36" fillId="0" borderId="31" xfId="9" applyFont="1" applyBorder="1" applyAlignment="1">
      <alignment horizontal="center" vertical="top"/>
    </xf>
    <xf numFmtId="0" fontId="36" fillId="0" borderId="32" xfId="9" applyFont="1" applyBorder="1" applyAlignment="1">
      <alignment horizontal="left" vertical="center"/>
    </xf>
    <xf numFmtId="0" fontId="37" fillId="0" borderId="33" xfId="9" applyFont="1" applyBorder="1" applyAlignment="1">
      <alignment horizontal="center" vertical="center"/>
    </xf>
    <xf numFmtId="0" fontId="37" fillId="0" borderId="33" xfId="9" applyFont="1" applyBorder="1" applyAlignment="1">
      <alignment horizontal="left" vertical="center" wrapText="1"/>
    </xf>
    <xf numFmtId="4" fontId="29" fillId="0" borderId="33" xfId="9" applyNumberFormat="1" applyFont="1" applyBorder="1" applyAlignment="1">
      <alignment vertical="center"/>
    </xf>
    <xf numFmtId="0" fontId="37" fillId="0" borderId="33" xfId="9" applyFont="1" applyBorder="1" applyAlignment="1">
      <alignment horizontal="center" vertical="top"/>
    </xf>
    <xf numFmtId="0" fontId="29" fillId="0" borderId="33" xfId="9" applyFont="1" applyBorder="1" applyAlignment="1">
      <alignment vertical="top" wrapText="1"/>
    </xf>
    <xf numFmtId="4" fontId="32" fillId="0" borderId="0" xfId="9" applyNumberFormat="1" applyFont="1"/>
    <xf numFmtId="0" fontId="37" fillId="0" borderId="1" xfId="9" applyFont="1" applyBorder="1" applyAlignment="1">
      <alignment horizontal="center" vertical="top"/>
    </xf>
    <xf numFmtId="0" fontId="29" fillId="0" borderId="1" xfId="9" applyFont="1" applyBorder="1" applyAlignment="1">
      <alignment horizontal="center" vertical="top"/>
    </xf>
    <xf numFmtId="0" fontId="29" fillId="0" borderId="33" xfId="9" applyFont="1" applyBorder="1" applyAlignment="1">
      <alignment horizontal="center" vertical="top"/>
    </xf>
    <xf numFmtId="0" fontId="37" fillId="0" borderId="1" xfId="9" applyFont="1" applyBorder="1" applyAlignment="1">
      <alignment horizontal="center"/>
    </xf>
    <xf numFmtId="0" fontId="29" fillId="0" borderId="1" xfId="9" applyFont="1" applyBorder="1" applyAlignment="1">
      <alignment horizontal="center"/>
    </xf>
    <xf numFmtId="0" fontId="29" fillId="0" borderId="33" xfId="9" applyFont="1" applyBorder="1"/>
    <xf numFmtId="4" fontId="29" fillId="0" borderId="33" xfId="9" applyNumberFormat="1" applyFont="1" applyBorder="1"/>
    <xf numFmtId="0" fontId="37" fillId="0" borderId="1" xfId="9" applyFont="1" applyBorder="1" applyAlignment="1">
      <alignment horizontal="center" vertical="center"/>
    </xf>
    <xf numFmtId="0" fontId="29" fillId="5" borderId="33" xfId="10" applyFont="1" applyFill="1" applyBorder="1" applyAlignment="1">
      <alignment horizontal="center" vertical="center"/>
    </xf>
    <xf numFmtId="0" fontId="32" fillId="5" borderId="33" xfId="2" applyFont="1" applyFill="1" applyBorder="1" applyAlignment="1">
      <alignment horizontal="center" vertical="center"/>
    </xf>
    <xf numFmtId="0" fontId="29" fillId="5" borderId="30" xfId="10" applyFont="1" applyFill="1" applyBorder="1" applyAlignment="1">
      <alignment vertical="center" wrapText="1"/>
    </xf>
    <xf numFmtId="4" fontId="29" fillId="5" borderId="33" xfId="10" applyNumberFormat="1" applyFont="1" applyFill="1" applyBorder="1" applyAlignment="1">
      <alignment vertical="center"/>
    </xf>
    <xf numFmtId="0" fontId="29" fillId="0" borderId="33" xfId="9" applyFont="1" applyBorder="1" applyAlignment="1">
      <alignment horizontal="center" vertical="center"/>
    </xf>
    <xf numFmtId="0" fontId="29" fillId="0" borderId="33" xfId="9" applyFont="1" applyBorder="1" applyAlignment="1">
      <alignment vertical="center"/>
    </xf>
    <xf numFmtId="4" fontId="29" fillId="0" borderId="32" xfId="9" applyNumberFormat="1" applyFont="1" applyBorder="1" applyAlignment="1">
      <alignment vertical="center"/>
    </xf>
    <xf numFmtId="0" fontId="29" fillId="0" borderId="34" xfId="9" applyFont="1" applyBorder="1"/>
    <xf numFmtId="4" fontId="1" fillId="0" borderId="34" xfId="9" applyNumberFormat="1" applyFont="1" applyBorder="1"/>
    <xf numFmtId="3" fontId="29" fillId="0" borderId="33" xfId="9" applyNumberFormat="1" applyFont="1" applyBorder="1" applyAlignment="1">
      <alignment horizontal="center" vertical="center" wrapText="1"/>
    </xf>
    <xf numFmtId="0" fontId="29" fillId="0" borderId="33" xfId="9" applyFont="1" applyBorder="1" applyAlignment="1">
      <alignment horizontal="left" vertical="center"/>
    </xf>
    <xf numFmtId="4" fontId="29" fillId="0" borderId="33" xfId="9" applyNumberFormat="1" applyFont="1" applyBorder="1" applyAlignment="1">
      <alignment horizontal="right" vertical="center"/>
    </xf>
    <xf numFmtId="0" fontId="37" fillId="0" borderId="6" xfId="9" applyFont="1" applyBorder="1" applyAlignment="1">
      <alignment horizontal="center"/>
    </xf>
    <xf numFmtId="0" fontId="29" fillId="0" borderId="17" xfId="9" applyFont="1" applyBorder="1" applyAlignment="1">
      <alignment horizontal="center"/>
    </xf>
    <xf numFmtId="0" fontId="29" fillId="0" borderId="31" xfId="9" applyFont="1" applyBorder="1" applyAlignment="1">
      <alignment horizontal="center"/>
    </xf>
    <xf numFmtId="0" fontId="29" fillId="0" borderId="32" xfId="9" applyFont="1" applyBorder="1" applyAlignment="1">
      <alignment horizontal="center" vertical="top"/>
    </xf>
    <xf numFmtId="0" fontId="29" fillId="0" borderId="33" xfId="9" applyFont="1" applyBorder="1" applyAlignment="1">
      <alignment wrapText="1"/>
    </xf>
    <xf numFmtId="4" fontId="1" fillId="0" borderId="34" xfId="9" applyNumberFormat="1" applyFont="1" applyBorder="1" applyAlignment="1">
      <alignment horizontal="right" vertical="center"/>
    </xf>
    <xf numFmtId="0" fontId="37" fillId="0" borderId="33" xfId="9" applyFont="1" applyBorder="1" applyAlignment="1">
      <alignment horizontal="center"/>
    </xf>
    <xf numFmtId="0" fontId="29" fillId="0" borderId="33" xfId="9" applyFont="1" applyBorder="1" applyAlignment="1">
      <alignment horizontal="center"/>
    </xf>
    <xf numFmtId="0" fontId="29" fillId="0" borderId="17" xfId="9" applyFont="1" applyBorder="1" applyAlignment="1">
      <alignment horizontal="center" vertical="top"/>
    </xf>
    <xf numFmtId="0" fontId="29" fillId="0" borderId="32" xfId="9" applyFont="1" applyBorder="1" applyAlignment="1">
      <alignment horizontal="center" vertical="top" wrapText="1"/>
    </xf>
    <xf numFmtId="0" fontId="29" fillId="0" borderId="33" xfId="9" applyFont="1" applyBorder="1" applyAlignment="1">
      <alignment horizontal="left" vertical="top"/>
    </xf>
    <xf numFmtId="0" fontId="29" fillId="0" borderId="32" xfId="9" applyFont="1" applyBorder="1"/>
    <xf numFmtId="0" fontId="29" fillId="0" borderId="32" xfId="9" applyFont="1" applyBorder="1" applyAlignment="1">
      <alignment horizontal="center"/>
    </xf>
    <xf numFmtId="0" fontId="37" fillId="0" borderId="30" xfId="9" applyFont="1" applyBorder="1" applyAlignment="1">
      <alignment horizontal="center"/>
    </xf>
    <xf numFmtId="4" fontId="1" fillId="0" borderId="32" xfId="9" applyNumberFormat="1" applyFont="1" applyBorder="1"/>
    <xf numFmtId="0" fontId="29" fillId="0" borderId="17" xfId="9" applyFont="1" applyBorder="1"/>
    <xf numFmtId="0" fontId="32" fillId="0" borderId="0" xfId="10" applyFont="1"/>
    <xf numFmtId="0" fontId="32" fillId="0" borderId="0" xfId="10" applyFont="1" applyAlignment="1">
      <alignment horizontal="center"/>
    </xf>
    <xf numFmtId="0" fontId="29" fillId="0" borderId="0" xfId="10" applyFont="1"/>
    <xf numFmtId="0" fontId="19" fillId="0" borderId="0" xfId="10" applyFont="1"/>
    <xf numFmtId="0" fontId="29" fillId="0" borderId="0" xfId="10" applyFont="1" applyAlignment="1">
      <alignment horizontal="left"/>
    </xf>
    <xf numFmtId="0" fontId="30" fillId="0" borderId="0" xfId="10" applyFont="1" applyAlignment="1">
      <alignment horizontal="centerContinuous" vertical="center" wrapText="1"/>
    </xf>
    <xf numFmtId="0" fontId="38" fillId="0" borderId="0" xfId="10" applyFont="1" applyAlignment="1">
      <alignment horizontal="centerContinuous" wrapText="1"/>
    </xf>
    <xf numFmtId="0" fontId="32" fillId="5" borderId="0" xfId="10" applyFont="1" applyFill="1"/>
    <xf numFmtId="0" fontId="32" fillId="5" borderId="0" xfId="10" applyFont="1" applyFill="1" applyAlignment="1">
      <alignment horizontal="center"/>
    </xf>
    <xf numFmtId="0" fontId="6" fillId="5" borderId="0" xfId="10" applyFont="1" applyFill="1" applyAlignment="1">
      <alignment horizontal="right"/>
    </xf>
    <xf numFmtId="0" fontId="30" fillId="5" borderId="33" xfId="10" applyFont="1" applyFill="1" applyBorder="1" applyAlignment="1">
      <alignment horizontal="center" vertical="center"/>
    </xf>
    <xf numFmtId="0" fontId="32" fillId="5" borderId="30" xfId="2" applyFont="1" applyFill="1" applyBorder="1" applyAlignment="1">
      <alignment horizontal="center" vertical="center"/>
    </xf>
    <xf numFmtId="0" fontId="30" fillId="5" borderId="30" xfId="10" applyFont="1" applyFill="1" applyBorder="1" applyAlignment="1">
      <alignment horizontal="centerContinuous" vertical="center"/>
    </xf>
    <xf numFmtId="0" fontId="6" fillId="5" borderId="33" xfId="10" applyFont="1" applyFill="1" applyBorder="1" applyAlignment="1">
      <alignment horizontal="center" vertical="center"/>
    </xf>
    <xf numFmtId="0" fontId="20" fillId="5" borderId="30" xfId="2" applyFont="1" applyFill="1" applyBorder="1" applyAlignment="1">
      <alignment horizontal="center" vertical="top"/>
    </xf>
    <xf numFmtId="0" fontId="6" fillId="5" borderId="30" xfId="10" applyFont="1" applyFill="1" applyBorder="1" applyAlignment="1">
      <alignment horizontal="centerContinuous" vertical="center"/>
    </xf>
    <xf numFmtId="0" fontId="6" fillId="0" borderId="0" xfId="10" applyFont="1"/>
    <xf numFmtId="0" fontId="32" fillId="5" borderId="31" xfId="2" applyFont="1" applyFill="1" applyBorder="1" applyAlignment="1">
      <alignment horizontal="center" vertical="top"/>
    </xf>
    <xf numFmtId="0" fontId="29" fillId="5" borderId="33" xfId="10" applyFont="1" applyFill="1" applyBorder="1" applyAlignment="1">
      <alignment vertical="center"/>
    </xf>
    <xf numFmtId="0" fontId="32" fillId="0" borderId="33" xfId="2" applyFont="1" applyFill="1" applyBorder="1" applyAlignment="1">
      <alignment horizontal="center" vertical="center"/>
    </xf>
    <xf numFmtId="0" fontId="37" fillId="0" borderId="33" xfId="10" applyFont="1" applyBorder="1" applyAlignment="1">
      <alignment horizontal="left" vertical="center" wrapText="1"/>
    </xf>
    <xf numFmtId="4" fontId="29" fillId="0" borderId="33" xfId="10" applyNumberFormat="1" applyFont="1" applyBorder="1"/>
    <xf numFmtId="0" fontId="37" fillId="5" borderId="33" xfId="10" applyFont="1" applyFill="1" applyBorder="1" applyAlignment="1">
      <alignment horizontal="left" vertical="center"/>
    </xf>
    <xf numFmtId="4" fontId="29" fillId="5" borderId="33" xfId="10" applyNumberFormat="1" applyFont="1" applyFill="1" applyBorder="1"/>
    <xf numFmtId="0" fontId="39" fillId="0" borderId="0" xfId="10" applyFont="1"/>
    <xf numFmtId="0" fontId="29" fillId="5" borderId="33" xfId="10" applyFont="1" applyFill="1" applyBorder="1" applyAlignment="1">
      <alignment vertical="top"/>
    </xf>
    <xf numFmtId="0" fontId="32" fillId="5" borderId="33" xfId="2" applyFont="1" applyFill="1" applyBorder="1" applyAlignment="1">
      <alignment horizontal="center" vertical="top"/>
    </xf>
    <xf numFmtId="0" fontId="29" fillId="5" borderId="30" xfId="10" applyFont="1" applyFill="1" applyBorder="1" applyAlignment="1">
      <alignment vertical="top" wrapText="1"/>
    </xf>
    <xf numFmtId="4" fontId="32" fillId="0" borderId="0" xfId="10" applyNumberFormat="1" applyFont="1"/>
    <xf numFmtId="0" fontId="32" fillId="5" borderId="33" xfId="2" applyFont="1" applyFill="1" applyBorder="1" applyAlignment="1">
      <alignment horizontal="center" vertical="top" wrapText="1"/>
    </xf>
    <xf numFmtId="0" fontId="29" fillId="5" borderId="30" xfId="9" applyFont="1" applyFill="1" applyBorder="1" applyAlignment="1">
      <alignment vertical="top" wrapText="1"/>
    </xf>
    <xf numFmtId="0" fontId="32" fillId="0" borderId="5" xfId="2" applyFont="1" applyFill="1" applyBorder="1" applyAlignment="1">
      <alignment horizontal="center" vertical="top" wrapText="1"/>
    </xf>
    <xf numFmtId="0" fontId="29" fillId="0" borderId="30" xfId="9" applyFont="1" applyBorder="1" applyAlignment="1">
      <alignment vertical="center"/>
    </xf>
    <xf numFmtId="0" fontId="29" fillId="0" borderId="2" xfId="9" applyFont="1" applyBorder="1"/>
    <xf numFmtId="0" fontId="29" fillId="0" borderId="37" xfId="9" applyFont="1" applyBorder="1"/>
    <xf numFmtId="0" fontId="29" fillId="0" borderId="37" xfId="9" applyFont="1" applyBorder="1" applyAlignment="1">
      <alignment vertical="center"/>
    </xf>
    <xf numFmtId="0" fontId="32" fillId="0" borderId="1" xfId="2" applyFont="1" applyFill="1" applyBorder="1" applyAlignment="1">
      <alignment horizontal="center" vertical="top" wrapText="1"/>
    </xf>
    <xf numFmtId="0" fontId="29" fillId="0" borderId="14" xfId="9" applyFont="1" applyBorder="1" applyAlignment="1">
      <alignment horizontal="left" vertical="center" wrapText="1"/>
    </xf>
    <xf numFmtId="4" fontId="29" fillId="0" borderId="13" xfId="9" applyNumberFormat="1" applyFont="1" applyBorder="1"/>
    <xf numFmtId="0" fontId="29" fillId="0" borderId="4" xfId="9" applyFont="1" applyBorder="1"/>
    <xf numFmtId="0" fontId="29" fillId="0" borderId="0" xfId="9" applyFont="1"/>
    <xf numFmtId="0" fontId="29" fillId="0" borderId="0" xfId="9" applyFont="1" applyAlignment="1">
      <alignment vertical="center"/>
    </xf>
    <xf numFmtId="0" fontId="32" fillId="0" borderId="3" xfId="2" applyFont="1" applyFill="1" applyBorder="1" applyAlignment="1">
      <alignment horizontal="center" vertical="top" wrapText="1"/>
    </xf>
    <xf numFmtId="0" fontId="29" fillId="0" borderId="38" xfId="9" applyFont="1" applyBorder="1" applyAlignment="1">
      <alignment horizontal="left" vertical="center" wrapText="1"/>
    </xf>
    <xf numFmtId="4" fontId="29" fillId="0" borderId="39" xfId="9" applyNumberFormat="1" applyFont="1" applyBorder="1"/>
    <xf numFmtId="0" fontId="29" fillId="5" borderId="11" xfId="10" applyFont="1" applyFill="1" applyBorder="1" applyAlignment="1">
      <alignment horizontal="left" vertical="center" wrapText="1"/>
    </xf>
    <xf numFmtId="0" fontId="32" fillId="5" borderId="5" xfId="2" applyFont="1" applyFill="1" applyBorder="1" applyAlignment="1">
      <alignment horizontal="center" vertical="top"/>
    </xf>
    <xf numFmtId="4" fontId="29" fillId="0" borderId="12" xfId="9" applyNumberFormat="1" applyFont="1" applyBorder="1"/>
    <xf numFmtId="0" fontId="32" fillId="5" borderId="5" xfId="2" applyFont="1" applyFill="1" applyBorder="1" applyAlignment="1">
      <alignment horizontal="center" vertical="top" wrapText="1"/>
    </xf>
    <xf numFmtId="0" fontId="32" fillId="5" borderId="1" xfId="2" applyFont="1" applyFill="1" applyBorder="1" applyAlignment="1">
      <alignment horizontal="center" vertical="top"/>
    </xf>
    <xf numFmtId="0" fontId="29" fillId="0" borderId="38" xfId="9" applyFont="1" applyBorder="1" applyAlignment="1">
      <alignment vertical="center" wrapText="1"/>
    </xf>
    <xf numFmtId="0" fontId="32" fillId="5" borderId="3" xfId="2" applyFont="1" applyFill="1" applyBorder="1" applyAlignment="1">
      <alignment horizontal="center" vertical="top"/>
    </xf>
    <xf numFmtId="0" fontId="29" fillId="0" borderId="40" xfId="9" applyFont="1" applyBorder="1" applyAlignment="1">
      <alignment vertical="center" wrapText="1"/>
    </xf>
    <xf numFmtId="0" fontId="29" fillId="0" borderId="39" xfId="10" applyFont="1" applyBorder="1" applyAlignment="1">
      <alignment vertical="center" wrapText="1"/>
    </xf>
    <xf numFmtId="0" fontId="29" fillId="0" borderId="39" xfId="9" applyFont="1" applyBorder="1"/>
    <xf numFmtId="0" fontId="29" fillId="0" borderId="11" xfId="9" applyFont="1" applyBorder="1" applyAlignment="1">
      <alignment wrapText="1"/>
    </xf>
    <xf numFmtId="0" fontId="29" fillId="0" borderId="11" xfId="9" applyFont="1" applyBorder="1"/>
    <xf numFmtId="0" fontId="29" fillId="0" borderId="38" xfId="9" applyFont="1" applyBorder="1"/>
    <xf numFmtId="0" fontId="29" fillId="0" borderId="6" xfId="9" applyFont="1" applyBorder="1"/>
    <xf numFmtId="4" fontId="29" fillId="0" borderId="5" xfId="9" applyNumberFormat="1" applyFont="1" applyBorder="1"/>
    <xf numFmtId="0" fontId="32" fillId="5" borderId="5" xfId="2" applyFont="1" applyFill="1" applyBorder="1" applyAlignment="1">
      <alignment horizontal="center" vertical="center"/>
    </xf>
    <xf numFmtId="0" fontId="29" fillId="0" borderId="30" xfId="9" applyFont="1" applyBorder="1"/>
    <xf numFmtId="0" fontId="29" fillId="0" borderId="31" xfId="9" applyFont="1" applyBorder="1"/>
    <xf numFmtId="0" fontId="29" fillId="0" borderId="31" xfId="9" applyFont="1" applyBorder="1" applyAlignment="1">
      <alignment vertical="center"/>
    </xf>
    <xf numFmtId="3" fontId="32" fillId="5" borderId="5" xfId="2" applyNumberFormat="1" applyFont="1" applyFill="1" applyBorder="1" applyAlignment="1">
      <alignment horizontal="center" vertical="center" wrapText="1"/>
    </xf>
    <xf numFmtId="0" fontId="29" fillId="0" borderId="30" xfId="9" applyFont="1" applyBorder="1" applyAlignment="1">
      <alignment horizontal="left" vertical="center" wrapText="1"/>
    </xf>
    <xf numFmtId="0" fontId="32" fillId="5" borderId="1" xfId="2" applyFont="1" applyFill="1" applyBorder="1" applyAlignment="1">
      <alignment horizontal="center" vertical="top" wrapText="1"/>
    </xf>
    <xf numFmtId="0" fontId="29" fillId="0" borderId="14" xfId="9" applyFont="1" applyBorder="1" applyAlignment="1">
      <alignment vertical="center"/>
    </xf>
    <xf numFmtId="0" fontId="32" fillId="5" borderId="3" xfId="2" applyFont="1" applyFill="1" applyBorder="1" applyAlignment="1">
      <alignment horizontal="center" vertical="top" wrapText="1"/>
    </xf>
    <xf numFmtId="0" fontId="29" fillId="0" borderId="38" xfId="9" applyFont="1" applyBorder="1" applyAlignment="1">
      <alignment vertical="center"/>
    </xf>
    <xf numFmtId="0" fontId="29" fillId="0" borderId="17" xfId="9" applyFont="1" applyBorder="1" applyAlignment="1">
      <alignment vertical="center"/>
    </xf>
    <xf numFmtId="0" fontId="29" fillId="0" borderId="6" xfId="9" applyFont="1" applyBorder="1" applyAlignment="1">
      <alignment vertical="center"/>
    </xf>
    <xf numFmtId="0" fontId="29" fillId="5" borderId="11" xfId="10" applyFont="1" applyFill="1" applyBorder="1" applyAlignment="1">
      <alignment horizontal="left" wrapText="1"/>
    </xf>
    <xf numFmtId="0" fontId="29" fillId="5" borderId="4" xfId="10" applyFont="1" applyFill="1" applyBorder="1" applyAlignment="1">
      <alignment horizontal="left" wrapText="1"/>
    </xf>
    <xf numFmtId="0" fontId="29" fillId="0" borderId="11" xfId="9" applyFont="1" applyBorder="1" applyAlignment="1">
      <alignment horizontal="left" vertical="center" wrapText="1"/>
    </xf>
    <xf numFmtId="0" fontId="29" fillId="0" borderId="6" xfId="9" applyFont="1" applyBorder="1" applyAlignment="1">
      <alignment horizontal="left" vertical="center" wrapText="1"/>
    </xf>
    <xf numFmtId="0" fontId="37" fillId="0" borderId="33" xfId="11" applyFont="1" applyBorder="1" applyAlignment="1">
      <alignment vertical="top"/>
    </xf>
    <xf numFmtId="0" fontId="37" fillId="0" borderId="30" xfId="11" applyFont="1" applyBorder="1" applyAlignment="1">
      <alignment vertical="top"/>
    </xf>
    <xf numFmtId="0" fontId="29" fillId="0" borderId="30" xfId="11" applyFont="1" applyBorder="1" applyAlignment="1">
      <alignment vertical="top" wrapText="1"/>
    </xf>
    <xf numFmtId="4" fontId="29" fillId="0" borderId="33" xfId="11" applyNumberFormat="1" applyFont="1" applyBorder="1" applyAlignment="1">
      <alignment vertical="center"/>
    </xf>
    <xf numFmtId="0" fontId="37" fillId="0" borderId="2" xfId="11" applyFont="1" applyBorder="1" applyAlignment="1">
      <alignment vertical="top"/>
    </xf>
    <xf numFmtId="0" fontId="37" fillId="0" borderId="37" xfId="11" applyFont="1" applyBorder="1" applyAlignment="1">
      <alignment vertical="top"/>
    </xf>
    <xf numFmtId="0" fontId="29" fillId="0" borderId="14" xfId="11" applyFont="1" applyBorder="1" applyAlignment="1">
      <alignment vertical="top" wrapText="1"/>
    </xf>
    <xf numFmtId="4" fontId="29" fillId="0" borderId="13" xfId="11" applyNumberFormat="1" applyFont="1" applyBorder="1" applyAlignment="1">
      <alignment vertical="center"/>
    </xf>
    <xf numFmtId="0" fontId="37" fillId="0" borderId="4" xfId="11" applyFont="1" applyBorder="1" applyAlignment="1">
      <alignment vertical="top"/>
    </xf>
    <xf numFmtId="0" fontId="37" fillId="0" borderId="0" xfId="11" applyFont="1" applyAlignment="1">
      <alignment vertical="top"/>
    </xf>
    <xf numFmtId="0" fontId="29" fillId="0" borderId="38" xfId="11" applyFont="1" applyBorder="1" applyAlignment="1">
      <alignment vertical="top" wrapText="1"/>
    </xf>
    <xf numFmtId="4" fontId="29" fillId="0" borderId="39" xfId="11" applyNumberFormat="1" applyFont="1" applyBorder="1" applyAlignment="1">
      <alignment vertical="center"/>
    </xf>
    <xf numFmtId="0" fontId="37" fillId="0" borderId="6" xfId="11" applyFont="1" applyBorder="1" applyAlignment="1">
      <alignment vertical="top"/>
    </xf>
    <xf numFmtId="0" fontId="37" fillId="0" borderId="17" xfId="11" applyFont="1" applyBorder="1" applyAlignment="1">
      <alignment vertical="top"/>
    </xf>
    <xf numFmtId="0" fontId="29" fillId="0" borderId="6" xfId="11" applyFont="1" applyBorder="1" applyAlignment="1">
      <alignment vertical="top" wrapText="1"/>
    </xf>
    <xf numFmtId="4" fontId="29" fillId="0" borderId="5" xfId="11" applyNumberFormat="1" applyFont="1" applyBorder="1" applyAlignment="1">
      <alignment vertical="center"/>
    </xf>
    <xf numFmtId="0" fontId="29" fillId="0" borderId="2" xfId="11" applyFont="1" applyBorder="1" applyAlignment="1">
      <alignment vertical="top"/>
    </xf>
    <xf numFmtId="0" fontId="29" fillId="0" borderId="37" xfId="11" applyFont="1" applyBorder="1" applyAlignment="1">
      <alignment vertical="top"/>
    </xf>
    <xf numFmtId="0" fontId="32" fillId="0" borderId="1" xfId="2" applyFont="1" applyFill="1" applyBorder="1" applyAlignment="1">
      <alignment horizontal="center" vertical="top"/>
    </xf>
    <xf numFmtId="0" fontId="29" fillId="0" borderId="14" xfId="11" applyFont="1" applyBorder="1" applyAlignment="1">
      <alignment vertical="center" wrapText="1"/>
    </xf>
    <xf numFmtId="3" fontId="29" fillId="0" borderId="13" xfId="11" applyNumberFormat="1" applyFont="1" applyBorder="1"/>
    <xf numFmtId="0" fontId="29" fillId="0" borderId="4" xfId="11" applyFont="1" applyBorder="1" applyAlignment="1">
      <alignment vertical="top"/>
    </xf>
    <xf numFmtId="0" fontId="29" fillId="0" borderId="0" xfId="11" applyFont="1" applyAlignment="1">
      <alignment vertical="top"/>
    </xf>
    <xf numFmtId="0" fontId="32" fillId="0" borderId="3" xfId="2" applyFont="1" applyFill="1" applyBorder="1" applyAlignment="1">
      <alignment horizontal="center" vertical="top"/>
    </xf>
    <xf numFmtId="0" fontId="29" fillId="0" borderId="38" xfId="11" applyFont="1" applyBorder="1" applyAlignment="1">
      <alignment vertical="center" wrapText="1"/>
    </xf>
    <xf numFmtId="3" fontId="29" fillId="0" borderId="39" xfId="11" applyNumberFormat="1" applyFont="1" applyBorder="1"/>
    <xf numFmtId="0" fontId="29" fillId="0" borderId="40" xfId="11" applyFont="1" applyBorder="1" applyAlignment="1">
      <alignment vertical="center" wrapText="1"/>
    </xf>
    <xf numFmtId="3" fontId="29" fillId="0" borderId="18" xfId="11" applyNumberFormat="1" applyFont="1" applyBorder="1"/>
    <xf numFmtId="0" fontId="29" fillId="0" borderId="6" xfId="11" applyFont="1" applyBorder="1" applyAlignment="1">
      <alignment vertical="top"/>
    </xf>
    <xf numFmtId="0" fontId="29" fillId="0" borderId="17" xfId="11" applyFont="1" applyBorder="1" applyAlignment="1">
      <alignment vertical="top"/>
    </xf>
    <xf numFmtId="0" fontId="32" fillId="0" borderId="5" xfId="2" applyFont="1" applyFill="1" applyBorder="1" applyAlignment="1">
      <alignment horizontal="center" vertical="top"/>
    </xf>
    <xf numFmtId="0" fontId="29" fillId="0" borderId="41" xfId="11" applyFont="1" applyBorder="1" applyAlignment="1">
      <alignment vertical="center" wrapText="1"/>
    </xf>
    <xf numFmtId="3" fontId="29" fillId="0" borderId="16" xfId="11" applyNumberFormat="1" applyFont="1" applyBorder="1"/>
    <xf numFmtId="0" fontId="29" fillId="5" borderId="5" xfId="10" applyFont="1" applyFill="1" applyBorder="1" applyAlignment="1">
      <alignment vertical="top"/>
    </xf>
    <xf numFmtId="0" fontId="29" fillId="5" borderId="6" xfId="10" applyFont="1" applyFill="1" applyBorder="1" applyAlignment="1">
      <alignment vertical="top"/>
    </xf>
    <xf numFmtId="0" fontId="29" fillId="5" borderId="6" xfId="10" applyFont="1" applyFill="1" applyBorder="1" applyAlignment="1">
      <alignment vertical="center" wrapText="1"/>
    </xf>
    <xf numFmtId="0" fontId="29" fillId="5" borderId="30" xfId="10" applyFont="1" applyFill="1" applyBorder="1" applyAlignment="1">
      <alignment vertical="top"/>
    </xf>
    <xf numFmtId="4" fontId="29" fillId="5" borderId="5" xfId="10" applyNumberFormat="1" applyFont="1" applyFill="1" applyBorder="1"/>
    <xf numFmtId="0" fontId="29" fillId="5" borderId="30" xfId="10" applyFont="1" applyFill="1" applyBorder="1" applyAlignment="1">
      <alignment vertical="center"/>
    </xf>
    <xf numFmtId="0" fontId="29" fillId="5" borderId="31" xfId="10" applyFont="1" applyFill="1" applyBorder="1" applyAlignment="1">
      <alignment vertical="top"/>
    </xf>
    <xf numFmtId="0" fontId="29" fillId="5" borderId="1" xfId="10" applyFont="1" applyFill="1" applyBorder="1" applyAlignment="1">
      <alignment vertical="top"/>
    </xf>
    <xf numFmtId="0" fontId="29" fillId="5" borderId="1" xfId="10" applyFont="1" applyFill="1" applyBorder="1" applyAlignment="1">
      <alignment horizontal="right" vertical="top"/>
    </xf>
    <xf numFmtId="0" fontId="29" fillId="5" borderId="37" xfId="10" applyFont="1" applyFill="1" applyBorder="1" applyAlignment="1">
      <alignment horizontal="right" vertical="top"/>
    </xf>
    <xf numFmtId="0" fontId="29" fillId="5" borderId="30" xfId="10" applyFont="1" applyFill="1" applyBorder="1" applyAlignment="1">
      <alignment wrapText="1"/>
    </xf>
    <xf numFmtId="49" fontId="29" fillId="5" borderId="1" xfId="10" applyNumberFormat="1" applyFont="1" applyFill="1" applyBorder="1" applyAlignment="1">
      <alignment horizontal="right"/>
    </xf>
    <xf numFmtId="4" fontId="1" fillId="5" borderId="33" xfId="10" applyNumberFormat="1" applyFont="1" applyFill="1" applyBorder="1" applyAlignment="1">
      <alignment vertical="center"/>
    </xf>
    <xf numFmtId="0" fontId="32" fillId="5" borderId="33" xfId="2" applyFont="1" applyFill="1" applyBorder="1" applyAlignment="1">
      <alignment horizontal="center" vertical="center" wrapText="1"/>
    </xf>
    <xf numFmtId="0" fontId="29" fillId="5" borderId="30" xfId="9" applyFont="1" applyFill="1" applyBorder="1" applyAlignment="1">
      <alignment vertical="center" wrapText="1"/>
    </xf>
    <xf numFmtId="0" fontId="29" fillId="5" borderId="17" xfId="10" applyFont="1" applyFill="1" applyBorder="1"/>
    <xf numFmtId="0" fontId="29" fillId="5" borderId="33" xfId="10" applyFont="1" applyFill="1" applyBorder="1"/>
    <xf numFmtId="0" fontId="32" fillId="5" borderId="33" xfId="2" applyFont="1" applyFill="1" applyBorder="1" applyAlignment="1">
      <alignment horizontal="center"/>
    </xf>
    <xf numFmtId="49" fontId="29" fillId="5" borderId="33" xfId="10" quotePrefix="1" applyNumberFormat="1" applyFont="1" applyFill="1" applyBorder="1" applyAlignment="1">
      <alignment horizontal="right" vertical="top"/>
    </xf>
    <xf numFmtId="0" fontId="29" fillId="5" borderId="30" xfId="10" quotePrefix="1" applyFont="1" applyFill="1" applyBorder="1" applyAlignment="1">
      <alignment vertical="top" wrapText="1"/>
    </xf>
    <xf numFmtId="4" fontId="1" fillId="5" borderId="33" xfId="10" applyNumberFormat="1" applyFont="1" applyFill="1" applyBorder="1" applyAlignment="1">
      <alignment horizontal="right" vertical="center"/>
    </xf>
    <xf numFmtId="0" fontId="29" fillId="5" borderId="30" xfId="10" applyFont="1" applyFill="1" applyBorder="1"/>
    <xf numFmtId="4" fontId="29" fillId="5" borderId="33" xfId="10" applyNumberFormat="1" applyFont="1" applyFill="1" applyBorder="1" applyAlignment="1">
      <alignment horizontal="right" vertical="center"/>
    </xf>
    <xf numFmtId="0" fontId="30" fillId="5" borderId="31" xfId="10" applyFont="1" applyFill="1" applyBorder="1" applyAlignment="1">
      <alignment horizontal="centerContinuous" vertical="center"/>
    </xf>
    <xf numFmtId="0" fontId="29" fillId="5" borderId="2" xfId="10" applyFont="1" applyFill="1" applyBorder="1"/>
    <xf numFmtId="0" fontId="29" fillId="5" borderId="37" xfId="10" applyFont="1" applyFill="1" applyBorder="1"/>
    <xf numFmtId="0" fontId="29" fillId="5" borderId="42" xfId="10" applyFont="1" applyFill="1" applyBorder="1"/>
    <xf numFmtId="0" fontId="29" fillId="5" borderId="43" xfId="10" applyFont="1" applyFill="1" applyBorder="1" applyAlignment="1">
      <alignment vertical="center" wrapText="1"/>
    </xf>
    <xf numFmtId="4" fontId="29" fillId="5" borderId="13" xfId="10" applyNumberFormat="1" applyFont="1" applyFill="1" applyBorder="1"/>
    <xf numFmtId="0" fontId="29" fillId="5" borderId="4" xfId="10" applyFont="1" applyFill="1" applyBorder="1"/>
    <xf numFmtId="0" fontId="29" fillId="5" borderId="0" xfId="10" applyFont="1" applyFill="1"/>
    <xf numFmtId="0" fontId="29" fillId="5" borderId="44" xfId="10" applyFont="1" applyFill="1" applyBorder="1"/>
    <xf numFmtId="0" fontId="29" fillId="5" borderId="45" xfId="10" applyFont="1" applyFill="1" applyBorder="1" applyAlignment="1">
      <alignment horizontal="left" wrapText="1"/>
    </xf>
    <xf numFmtId="4" fontId="29" fillId="5" borderId="39" xfId="10" applyNumberFormat="1" applyFont="1" applyFill="1" applyBorder="1"/>
    <xf numFmtId="0" fontId="40" fillId="0" borderId="0" xfId="10" applyFont="1"/>
    <xf numFmtId="0" fontId="29" fillId="5" borderId="6" xfId="10" applyFont="1" applyFill="1" applyBorder="1"/>
    <xf numFmtId="0" fontId="29" fillId="5" borderId="34" xfId="10" applyFont="1" applyFill="1" applyBorder="1"/>
    <xf numFmtId="0" fontId="29" fillId="5" borderId="46" xfId="10" applyFont="1" applyFill="1" applyBorder="1" applyAlignment="1">
      <alignment horizontal="left" vertical="center" wrapText="1"/>
    </xf>
    <xf numFmtId="4" fontId="29" fillId="5" borderId="16" xfId="10" applyNumberFormat="1" applyFont="1" applyFill="1" applyBorder="1"/>
    <xf numFmtId="0" fontId="29" fillId="5" borderId="47" xfId="10" applyFont="1" applyFill="1" applyBorder="1" applyAlignment="1">
      <alignment horizontal="left" vertical="center" wrapText="1"/>
    </xf>
    <xf numFmtId="4" fontId="29" fillId="5" borderId="12" xfId="10" applyNumberFormat="1" applyFont="1" applyFill="1" applyBorder="1"/>
    <xf numFmtId="0" fontId="29" fillId="5" borderId="45" xfId="10" applyFont="1" applyFill="1" applyBorder="1"/>
    <xf numFmtId="0" fontId="29" fillId="5" borderId="17" xfId="10" applyFont="1" applyFill="1" applyBorder="1" applyAlignment="1">
      <alignment horizontal="left" wrapText="1"/>
    </xf>
    <xf numFmtId="0" fontId="29" fillId="5" borderId="31" xfId="10" applyFont="1" applyFill="1" applyBorder="1"/>
    <xf numFmtId="0" fontId="29" fillId="5" borderId="43" xfId="10" applyFont="1" applyFill="1" applyBorder="1" applyAlignment="1">
      <alignment horizontal="left" vertical="center" wrapText="1"/>
    </xf>
    <xf numFmtId="0" fontId="29" fillId="5" borderId="45" xfId="10" applyFont="1" applyFill="1" applyBorder="1" applyAlignment="1">
      <alignment vertical="center" wrapText="1"/>
    </xf>
    <xf numFmtId="0" fontId="29" fillId="5" borderId="38" xfId="10" applyFont="1" applyFill="1" applyBorder="1" applyAlignment="1">
      <alignment vertical="center" wrapText="1"/>
    </xf>
    <xf numFmtId="0" fontId="32" fillId="5" borderId="3" xfId="2" quotePrefix="1" applyFont="1" applyFill="1" applyBorder="1" applyAlignment="1">
      <alignment horizontal="center" vertical="top"/>
    </xf>
    <xf numFmtId="0" fontId="29" fillId="0" borderId="47" xfId="9" applyFont="1" applyBorder="1" applyAlignment="1">
      <alignment horizontal="left" vertical="center" wrapText="1"/>
    </xf>
    <xf numFmtId="0" fontId="29" fillId="5" borderId="45" xfId="10" applyFont="1" applyFill="1" applyBorder="1" applyAlignment="1">
      <alignment horizontal="left" vertical="center" wrapText="1"/>
    </xf>
    <xf numFmtId="0" fontId="29" fillId="5" borderId="38" xfId="10" applyFont="1" applyFill="1" applyBorder="1"/>
    <xf numFmtId="0" fontId="29" fillId="5" borderId="47" xfId="10" applyFont="1" applyFill="1" applyBorder="1"/>
    <xf numFmtId="0" fontId="29" fillId="5" borderId="17" xfId="10" applyFont="1" applyFill="1" applyBorder="1" applyAlignment="1">
      <alignment vertical="center" wrapText="1"/>
    </xf>
    <xf numFmtId="0" fontId="29" fillId="5" borderId="31" xfId="10" applyFont="1" applyFill="1" applyBorder="1" applyAlignment="1">
      <alignment vertical="top" wrapText="1"/>
    </xf>
    <xf numFmtId="0" fontId="29" fillId="5" borderId="48" xfId="10" applyFont="1" applyFill="1" applyBorder="1" applyAlignment="1">
      <alignment vertical="center" wrapText="1"/>
    </xf>
    <xf numFmtId="4" fontId="29" fillId="5" borderId="35" xfId="10" applyNumberFormat="1" applyFont="1" applyFill="1" applyBorder="1"/>
    <xf numFmtId="0" fontId="29" fillId="5" borderId="32" xfId="10" applyFont="1" applyFill="1" applyBorder="1"/>
    <xf numFmtId="0" fontId="29" fillId="5" borderId="31" xfId="10" applyFont="1" applyFill="1" applyBorder="1" applyAlignment="1">
      <alignment horizontal="left" vertical="center" wrapText="1"/>
    </xf>
    <xf numFmtId="0" fontId="37" fillId="5" borderId="43" xfId="10" applyFont="1" applyFill="1" applyBorder="1"/>
    <xf numFmtId="0" fontId="29" fillId="5" borderId="47" xfId="10" applyFont="1" applyFill="1" applyBorder="1" applyAlignment="1">
      <alignment horizontal="left" wrapText="1"/>
    </xf>
    <xf numFmtId="0" fontId="37" fillId="5" borderId="45" xfId="10" applyFont="1" applyFill="1" applyBorder="1"/>
    <xf numFmtId="0" fontId="37" fillId="5" borderId="47" xfId="10" applyFont="1" applyFill="1" applyBorder="1"/>
    <xf numFmtId="0" fontId="29" fillId="5" borderId="31" xfId="10" applyFont="1" applyFill="1" applyBorder="1" applyAlignment="1">
      <alignment horizontal="left" wrapText="1"/>
    </xf>
    <xf numFmtId="0" fontId="29" fillId="5" borderId="47" xfId="10" applyFont="1" applyFill="1" applyBorder="1" applyAlignment="1">
      <alignment horizontal="left" vertical="top" wrapText="1"/>
    </xf>
    <xf numFmtId="0" fontId="29" fillId="5" borderId="45" xfId="10" applyFont="1" applyFill="1" applyBorder="1" applyAlignment="1">
      <alignment wrapText="1"/>
    </xf>
    <xf numFmtId="0" fontId="32" fillId="5" borderId="1" xfId="2" quotePrefix="1" applyFont="1" applyFill="1" applyBorder="1" applyAlignment="1">
      <alignment horizontal="center" vertical="top"/>
    </xf>
    <xf numFmtId="0" fontId="29" fillId="0" borderId="43" xfId="9" applyFont="1" applyBorder="1" applyAlignment="1">
      <alignment horizontal="left" vertical="center" wrapText="1"/>
    </xf>
    <xf numFmtId="0" fontId="29" fillId="5" borderId="47" xfId="10" applyFont="1" applyFill="1" applyBorder="1" applyAlignment="1">
      <alignment vertical="center" wrapText="1"/>
    </xf>
    <xf numFmtId="0" fontId="19" fillId="5" borderId="3" xfId="2" quotePrefix="1" applyFont="1" applyFill="1" applyBorder="1" applyAlignment="1">
      <alignment horizontal="center" vertical="top"/>
    </xf>
    <xf numFmtId="0" fontId="29" fillId="5" borderId="17" xfId="10" applyFont="1" applyFill="1" applyBorder="1" applyAlignment="1">
      <alignment horizontal="left" vertical="center" wrapText="1"/>
    </xf>
    <xf numFmtId="0" fontId="19" fillId="5" borderId="3" xfId="2" applyFont="1" applyFill="1" applyBorder="1" applyAlignment="1">
      <alignment horizontal="center" vertical="top"/>
    </xf>
    <xf numFmtId="0" fontId="29" fillId="5" borderId="38" xfId="10" applyFont="1" applyFill="1" applyBorder="1" applyAlignment="1">
      <alignment horizontal="left" vertical="center" wrapText="1"/>
    </xf>
    <xf numFmtId="0" fontId="32" fillId="5" borderId="5" xfId="2" quotePrefix="1" applyFont="1" applyFill="1" applyBorder="1" applyAlignment="1">
      <alignment horizontal="center" vertical="top"/>
    </xf>
    <xf numFmtId="0" fontId="29" fillId="5" borderId="49" xfId="10" applyFont="1" applyFill="1" applyBorder="1" applyAlignment="1">
      <alignment horizontal="left" wrapText="1"/>
    </xf>
    <xf numFmtId="0" fontId="29" fillId="5" borderId="50" xfId="10" applyFont="1" applyFill="1" applyBorder="1" applyAlignment="1">
      <alignment horizontal="left" vertical="center" wrapText="1"/>
    </xf>
    <xf numFmtId="0" fontId="29" fillId="5" borderId="5" xfId="10" applyFont="1" applyFill="1" applyBorder="1"/>
    <xf numFmtId="0" fontId="29" fillId="5" borderId="33" xfId="9" applyFont="1" applyFill="1" applyBorder="1"/>
    <xf numFmtId="0" fontId="29" fillId="5" borderId="31" xfId="9" applyFont="1" applyFill="1" applyBorder="1"/>
    <xf numFmtId="0" fontId="29" fillId="5" borderId="50" xfId="10" applyFont="1" applyFill="1" applyBorder="1" applyAlignment="1">
      <alignment vertical="center" wrapText="1"/>
    </xf>
    <xf numFmtId="0" fontId="29" fillId="5" borderId="31" xfId="10" applyFont="1" applyFill="1" applyBorder="1" applyAlignment="1">
      <alignment horizontal="left" vertical="top" wrapText="1"/>
    </xf>
    <xf numFmtId="0" fontId="29" fillId="5" borderId="43" xfId="10" applyFont="1" applyFill="1" applyBorder="1" applyAlignment="1">
      <alignment vertical="top" wrapText="1"/>
    </xf>
    <xf numFmtId="0" fontId="29" fillId="5" borderId="17" xfId="10" applyFont="1" applyFill="1" applyBorder="1" applyAlignment="1">
      <alignment vertical="top" wrapText="1"/>
    </xf>
    <xf numFmtId="0" fontId="29" fillId="5" borderId="31" xfId="10" applyFont="1" applyFill="1" applyBorder="1" applyAlignment="1">
      <alignment vertical="center"/>
    </xf>
    <xf numFmtId="0" fontId="30" fillId="5" borderId="30" xfId="10" applyFont="1" applyFill="1" applyBorder="1" applyAlignment="1">
      <alignment horizontal="center" vertical="center"/>
    </xf>
    <xf numFmtId="0" fontId="30" fillId="5" borderId="31" xfId="10" applyFont="1" applyFill="1" applyBorder="1" applyAlignment="1">
      <alignment horizontal="center" vertical="center"/>
    </xf>
    <xf numFmtId="4" fontId="36" fillId="5" borderId="33" xfId="10" applyNumberFormat="1" applyFont="1" applyFill="1" applyBorder="1" applyAlignment="1">
      <alignment vertical="center"/>
    </xf>
    <xf numFmtId="3" fontId="32" fillId="0" borderId="0" xfId="10" applyNumberFormat="1" applyFont="1"/>
    <xf numFmtId="0" fontId="4" fillId="0" borderId="0" xfId="0" applyFont="1" applyAlignment="1">
      <alignment horizontal="centerContinuous" vertical="center"/>
    </xf>
    <xf numFmtId="0" fontId="26" fillId="0" borderId="0" xfId="0" applyFont="1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30" fillId="4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0" fontId="17" fillId="0" borderId="0" xfId="0" applyFont="1"/>
    <xf numFmtId="0" fontId="38" fillId="0" borderId="5" xfId="0" applyFont="1" applyBorder="1" applyAlignment="1">
      <alignment vertical="center"/>
    </xf>
    <xf numFmtId="0" fontId="38" fillId="0" borderId="5" xfId="0" applyFont="1" applyBorder="1" applyAlignment="1">
      <alignment horizontal="center" vertical="center"/>
    </xf>
    <xf numFmtId="3" fontId="41" fillId="0" borderId="35" xfId="0" applyNumberFormat="1" applyFont="1" applyBorder="1" applyAlignment="1">
      <alignment vertical="center"/>
    </xf>
    <xf numFmtId="0" fontId="32" fillId="0" borderId="3" xfId="0" applyFont="1" applyBorder="1" applyAlignment="1">
      <alignment horizontal="right" vertical="center"/>
    </xf>
    <xf numFmtId="0" fontId="42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indent="2"/>
    </xf>
    <xf numFmtId="4" fontId="42" fillId="0" borderId="1" xfId="0" applyNumberFormat="1" applyFont="1" applyBorder="1" applyAlignment="1">
      <alignment vertical="center"/>
    </xf>
    <xf numFmtId="0" fontId="32" fillId="0" borderId="3" xfId="0" applyFont="1" applyBorder="1" applyAlignment="1">
      <alignment horizontal="left" vertical="center" indent="2"/>
    </xf>
    <xf numFmtId="4" fontId="42" fillId="0" borderId="3" xfId="0" applyNumberFormat="1" applyFont="1" applyBorder="1" applyAlignment="1">
      <alignment vertical="center"/>
    </xf>
    <xf numFmtId="4" fontId="42" fillId="0" borderId="3" xfId="0" applyNumberFormat="1" applyFont="1" applyBorder="1" applyAlignment="1">
      <alignment vertical="top"/>
    </xf>
    <xf numFmtId="4" fontId="42" fillId="0" borderId="3" xfId="0" applyNumberFormat="1" applyFont="1" applyBorder="1" applyAlignment="1">
      <alignment horizontal="right" vertical="center"/>
    </xf>
    <xf numFmtId="0" fontId="32" fillId="0" borderId="3" xfId="0" applyFont="1" applyBorder="1" applyAlignment="1">
      <alignment horizontal="right" vertical="top"/>
    </xf>
    <xf numFmtId="0" fontId="42" fillId="0" borderId="3" xfId="0" applyFont="1" applyBorder="1" applyAlignment="1">
      <alignment horizontal="center" vertical="top"/>
    </xf>
    <xf numFmtId="0" fontId="32" fillId="0" borderId="3" xfId="0" applyFont="1" applyBorder="1" applyAlignment="1">
      <alignment horizontal="left" vertical="top" wrapText="1" indent="2"/>
    </xf>
    <xf numFmtId="4" fontId="42" fillId="0" borderId="3" xfId="0" applyNumberFormat="1" applyFont="1" applyBorder="1"/>
    <xf numFmtId="0" fontId="42" fillId="0" borderId="33" xfId="0" applyFont="1" applyBorder="1" applyAlignment="1">
      <alignment horizontal="right" vertical="center"/>
    </xf>
    <xf numFmtId="0" fontId="38" fillId="0" borderId="33" xfId="0" applyFont="1" applyBorder="1" applyAlignment="1">
      <alignment horizontal="center"/>
    </xf>
    <xf numFmtId="0" fontId="32" fillId="0" borderId="33" xfId="0" applyFont="1" applyBorder="1" applyAlignment="1">
      <alignment horizontal="left" vertical="center" indent="2"/>
    </xf>
    <xf numFmtId="4" fontId="42" fillId="0" borderId="33" xfId="0" applyNumberFormat="1" applyFont="1" applyBorder="1" applyAlignment="1">
      <alignment vertical="center"/>
    </xf>
    <xf numFmtId="0" fontId="32" fillId="0" borderId="3" xfId="0" applyFont="1" applyBorder="1" applyAlignment="1">
      <alignment horizontal="left" vertical="center" wrapText="1" indent="2"/>
    </xf>
    <xf numFmtId="0" fontId="32" fillId="0" borderId="5" xfId="0" applyFont="1" applyBorder="1" applyAlignment="1">
      <alignment horizontal="right" vertical="center"/>
    </xf>
    <xf numFmtId="0" fontId="42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center" indent="2"/>
    </xf>
    <xf numFmtId="4" fontId="42" fillId="0" borderId="5" xfId="0" applyNumberFormat="1" applyFont="1" applyBorder="1" applyAlignment="1">
      <alignment vertical="center"/>
    </xf>
    <xf numFmtId="4" fontId="42" fillId="0" borderId="5" xfId="0" applyNumberFormat="1" applyFont="1" applyBorder="1" applyAlignment="1">
      <alignment horizontal="right" vertical="center"/>
    </xf>
    <xf numFmtId="0" fontId="42" fillId="5" borderId="5" xfId="0" applyFont="1" applyFill="1" applyBorder="1" applyAlignment="1">
      <alignment horizontal="right" vertical="center"/>
    </xf>
    <xf numFmtId="0" fontId="42" fillId="5" borderId="5" xfId="0" applyFont="1" applyFill="1" applyBorder="1" applyAlignment="1">
      <alignment vertical="center"/>
    </xf>
    <xf numFmtId="0" fontId="19" fillId="0" borderId="0" xfId="0" applyFont="1"/>
    <xf numFmtId="0" fontId="26" fillId="0" borderId="0" xfId="0" applyFont="1" applyAlignment="1">
      <alignment vertical="center"/>
    </xf>
    <xf numFmtId="0" fontId="3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30" fillId="4" borderId="33" xfId="0" applyFont="1" applyFill="1" applyBorder="1" applyAlignment="1">
      <alignment horizontal="center" vertical="center"/>
    </xf>
    <xf numFmtId="0" fontId="30" fillId="4" borderId="33" xfId="0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vertical="center"/>
    </xf>
    <xf numFmtId="49" fontId="32" fillId="0" borderId="3" xfId="0" applyNumberFormat="1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4" fontId="38" fillId="0" borderId="5" xfId="0" applyNumberFormat="1" applyFont="1" applyBorder="1" applyAlignment="1">
      <alignment vertical="center"/>
    </xf>
    <xf numFmtId="4" fontId="32" fillId="0" borderId="5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43" fillId="0" borderId="0" xfId="0" applyFont="1" applyAlignment="1">
      <alignment wrapText="1"/>
    </xf>
    <xf numFmtId="49" fontId="32" fillId="0" borderId="33" xfId="0" applyNumberFormat="1" applyFont="1" applyBorder="1" applyAlignment="1">
      <alignment horizontal="center" vertical="center"/>
    </xf>
    <xf numFmtId="4" fontId="32" fillId="0" borderId="33" xfId="0" applyNumberFormat="1" applyFont="1" applyBorder="1" applyAlignment="1">
      <alignment horizontal="center" vertical="center"/>
    </xf>
    <xf numFmtId="4" fontId="38" fillId="0" borderId="33" xfId="0" applyNumberFormat="1" applyFont="1" applyBorder="1" applyAlignment="1">
      <alignment vertical="center"/>
    </xf>
    <xf numFmtId="0" fontId="43" fillId="0" borderId="0" xfId="0" applyFont="1"/>
    <xf numFmtId="4" fontId="32" fillId="0" borderId="3" xfId="0" applyNumberFormat="1" applyFont="1" applyBorder="1" applyAlignment="1">
      <alignment horizontal="center" vertical="center"/>
    </xf>
    <xf numFmtId="4" fontId="32" fillId="0" borderId="3" xfId="0" applyNumberFormat="1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49" fontId="32" fillId="0" borderId="34" xfId="0" applyNumberFormat="1" applyFont="1" applyBorder="1" applyAlignment="1">
      <alignment horizontal="center" vertical="center"/>
    </xf>
    <xf numFmtId="4" fontId="32" fillId="0" borderId="5" xfId="0" applyNumberFormat="1" applyFont="1" applyBorder="1" applyAlignment="1">
      <alignment vertical="center"/>
    </xf>
    <xf numFmtId="0" fontId="43" fillId="0" borderId="0" xfId="0" applyFont="1" applyAlignment="1">
      <alignment vertical="center" wrapText="1"/>
    </xf>
    <xf numFmtId="49" fontId="32" fillId="0" borderId="44" xfId="0" applyNumberFormat="1" applyFont="1" applyBorder="1" applyAlignment="1">
      <alignment horizontal="center" vertical="center"/>
    </xf>
    <xf numFmtId="4" fontId="44" fillId="0" borderId="0" xfId="0" applyNumberFormat="1" applyFont="1"/>
    <xf numFmtId="4" fontId="45" fillId="0" borderId="0" xfId="0" applyNumberFormat="1" applyFont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4" fontId="47" fillId="0" borderId="3" xfId="0" applyNumberFormat="1" applyFont="1" applyBorder="1" applyAlignment="1">
      <alignment vertical="center"/>
    </xf>
    <xf numFmtId="0" fontId="32" fillId="0" borderId="3" xfId="0" applyFont="1" applyBorder="1"/>
    <xf numFmtId="0" fontId="32" fillId="0" borderId="3" xfId="0" applyFont="1" applyBorder="1" applyAlignment="1">
      <alignment wrapText="1"/>
    </xf>
    <xf numFmtId="0" fontId="32" fillId="0" borderId="5" xfId="0" applyFont="1" applyBorder="1"/>
    <xf numFmtId="4" fontId="47" fillId="0" borderId="5" xfId="0" applyNumberFormat="1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4" fontId="30" fillId="0" borderId="32" xfId="0" applyNumberFormat="1" applyFont="1" applyBorder="1" applyAlignment="1">
      <alignment vertical="center"/>
    </xf>
    <xf numFmtId="4" fontId="30" fillId="0" borderId="33" xfId="0" applyNumberFormat="1" applyFont="1" applyBorder="1" applyAlignment="1">
      <alignment vertical="center"/>
    </xf>
    <xf numFmtId="4" fontId="0" fillId="0" borderId="0" xfId="0" applyNumberFormat="1"/>
    <xf numFmtId="0" fontId="48" fillId="0" borderId="0" xfId="0" applyFont="1" applyAlignment="1">
      <alignment vertical="center"/>
    </xf>
    <xf numFmtId="0" fontId="38" fillId="0" borderId="35" xfId="0" applyFont="1" applyBorder="1" applyAlignment="1">
      <alignment vertical="center" wrapText="1"/>
    </xf>
    <xf numFmtId="0" fontId="38" fillId="5" borderId="33" xfId="0" applyFont="1" applyFill="1" applyBorder="1" applyAlignment="1">
      <alignment horizontal="left" vertical="center" indent="2"/>
    </xf>
    <xf numFmtId="4" fontId="38" fillId="5" borderId="5" xfId="0" applyNumberFormat="1" applyFont="1" applyFill="1" applyBorder="1" applyAlignment="1">
      <alignment vertical="center"/>
    </xf>
    <xf numFmtId="0" fontId="0" fillId="5" borderId="0" xfId="0" applyFill="1"/>
    <xf numFmtId="0" fontId="2" fillId="0" borderId="0" xfId="0" applyFont="1"/>
    <xf numFmtId="0" fontId="36" fillId="5" borderId="30" xfId="10" applyFont="1" applyFill="1" applyBorder="1" applyAlignment="1">
      <alignment horizontal="left" vertical="center"/>
    </xf>
    <xf numFmtId="0" fontId="36" fillId="5" borderId="31" xfId="10" applyFont="1" applyFill="1" applyBorder="1" applyAlignment="1">
      <alignment horizontal="left" vertical="center"/>
    </xf>
    <xf numFmtId="0" fontId="36" fillId="5" borderId="32" xfId="10" applyFont="1" applyFill="1" applyBorder="1" applyAlignment="1">
      <alignment horizontal="left" vertical="center"/>
    </xf>
    <xf numFmtId="0" fontId="37" fillId="5" borderId="30" xfId="10" applyFont="1" applyFill="1" applyBorder="1" applyAlignment="1">
      <alignment horizontal="center"/>
    </xf>
    <xf numFmtId="0" fontId="37" fillId="5" borderId="31" xfId="10" applyFont="1" applyFill="1" applyBorder="1" applyAlignment="1">
      <alignment horizontal="center"/>
    </xf>
    <xf numFmtId="4" fontId="37" fillId="5" borderId="33" xfId="10" applyNumberFormat="1" applyFont="1" applyFill="1" applyBorder="1"/>
    <xf numFmtId="0" fontId="37" fillId="0" borderId="0" xfId="10" applyFont="1" applyAlignment="1">
      <alignment vertical="center"/>
    </xf>
    <xf numFmtId="0" fontId="37" fillId="0" borderId="30" xfId="9" applyFont="1" applyBorder="1" applyAlignment="1">
      <alignment horizontal="left"/>
    </xf>
    <xf numFmtId="0" fontId="37" fillId="0" borderId="31" xfId="9" applyFont="1" applyBorder="1" applyAlignment="1">
      <alignment horizontal="centerContinuous"/>
    </xf>
    <xf numFmtId="0" fontId="37" fillId="0" borderId="31" xfId="9" applyFont="1" applyBorder="1" applyAlignment="1">
      <alignment horizontal="center" vertical="top"/>
    </xf>
    <xf numFmtId="0" fontId="37" fillId="0" borderId="31" xfId="9" applyFont="1" applyBorder="1" applyAlignment="1">
      <alignment horizontal="center"/>
    </xf>
    <xf numFmtId="4" fontId="37" fillId="0" borderId="33" xfId="9" applyNumberFormat="1" applyFont="1" applyBorder="1"/>
    <xf numFmtId="0" fontId="30" fillId="0" borderId="31" xfId="9" applyFont="1" applyBorder="1" applyAlignment="1">
      <alignment horizontal="centerContinuous" vertical="center"/>
    </xf>
    <xf numFmtId="0" fontId="30" fillId="0" borderId="31" xfId="9" applyFont="1" applyBorder="1" applyAlignment="1">
      <alignment horizontal="center" vertical="top"/>
    </xf>
    <xf numFmtId="0" fontId="36" fillId="0" borderId="31" xfId="9" applyFont="1" applyBorder="1" applyAlignment="1">
      <alignment horizontal="center" vertical="center"/>
    </xf>
    <xf numFmtId="4" fontId="36" fillId="0" borderId="33" xfId="9" applyNumberFormat="1" applyFont="1" applyBorder="1" applyAlignment="1">
      <alignment vertical="center"/>
    </xf>
    <xf numFmtId="0" fontId="37" fillId="0" borderId="0" xfId="9" applyFont="1" applyAlignment="1">
      <alignment vertical="center"/>
    </xf>
    <xf numFmtId="0" fontId="26" fillId="0" borderId="0" xfId="8" applyAlignment="1">
      <alignment vertical="center"/>
    </xf>
    <xf numFmtId="0" fontId="26" fillId="0" borderId="0" xfId="8"/>
    <xf numFmtId="0" fontId="26" fillId="0" borderId="31" xfId="8" applyBorder="1" applyAlignment="1">
      <alignment horizontal="centerContinuous" vertical="center"/>
    </xf>
    <xf numFmtId="0" fontId="26" fillId="0" borderId="32" xfId="8" applyBorder="1" applyAlignment="1">
      <alignment horizontal="centerContinuous" vertical="center"/>
    </xf>
    <xf numFmtId="0" fontId="48" fillId="0" borderId="0" xfId="8" applyFont="1" applyAlignment="1">
      <alignment vertical="center"/>
    </xf>
    <xf numFmtId="4" fontId="38" fillId="0" borderId="5" xfId="8" applyNumberFormat="1" applyFont="1" applyBorder="1" applyAlignment="1">
      <alignment vertical="center"/>
    </xf>
    <xf numFmtId="0" fontId="5" fillId="0" borderId="29" xfId="6" applyFont="1" applyBorder="1" applyAlignment="1">
      <alignment horizontal="center" vertical="center" wrapText="1"/>
    </xf>
    <xf numFmtId="0" fontId="1" fillId="0" borderId="29" xfId="6" applyFont="1" applyBorder="1" applyAlignment="1">
      <alignment horizontal="center" vertical="center" wrapText="1"/>
    </xf>
    <xf numFmtId="3" fontId="25" fillId="0" borderId="29" xfId="6" applyNumberFormat="1" applyFont="1" applyBorder="1" applyAlignment="1">
      <alignment horizontal="center" vertical="center" wrapText="1"/>
    </xf>
    <xf numFmtId="0" fontId="24" fillId="0" borderId="0" xfId="6" applyFont="1"/>
    <xf numFmtId="3" fontId="24" fillId="0" borderId="0" xfId="6" applyNumberFormat="1" applyFont="1"/>
    <xf numFmtId="3" fontId="49" fillId="0" borderId="19" xfId="6" applyNumberFormat="1" applyFont="1" applyBorder="1" applyAlignment="1">
      <alignment horizontal="center" vertical="center" wrapText="1"/>
    </xf>
    <xf numFmtId="3" fontId="49" fillId="0" borderId="29" xfId="6" applyNumberFormat="1" applyFont="1" applyBorder="1" applyAlignment="1">
      <alignment horizontal="center" vertical="center" wrapText="1"/>
    </xf>
    <xf numFmtId="0" fontId="50" fillId="0" borderId="19" xfId="6" applyFont="1" applyBorder="1" applyAlignment="1">
      <alignment vertical="center" wrapText="1"/>
    </xf>
    <xf numFmtId="3" fontId="51" fillId="0" borderId="19" xfId="6" applyNumberFormat="1" applyFont="1" applyBorder="1" applyAlignment="1">
      <alignment horizontal="center" vertical="center" wrapText="1"/>
    </xf>
    <xf numFmtId="3" fontId="51" fillId="0" borderId="27" xfId="6" applyNumberFormat="1" applyFont="1" applyBorder="1" applyAlignment="1">
      <alignment horizontal="center" vertical="center" wrapText="1"/>
    </xf>
    <xf numFmtId="3" fontId="31" fillId="0" borderId="0" xfId="6" applyNumberFormat="1" applyFont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11" xfId="0" applyFont="1" applyBorder="1"/>
    <xf numFmtId="4" fontId="1" fillId="0" borderId="12" xfId="0" applyNumberFormat="1" applyFont="1" applyBorder="1"/>
    <xf numFmtId="0" fontId="2" fillId="0" borderId="11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1" xfId="0" applyFont="1" applyBorder="1"/>
    <xf numFmtId="0" fontId="2" fillId="0" borderId="12" xfId="1" applyFont="1" applyBorder="1"/>
    <xf numFmtId="0" fontId="2" fillId="0" borderId="12" xfId="0" applyFont="1" applyBorder="1"/>
    <xf numFmtId="0" fontId="1" fillId="0" borderId="11" xfId="0" applyFont="1" applyBorder="1" applyAlignment="1">
      <alignment wrapText="1"/>
    </xf>
    <xf numFmtId="4" fontId="1" fillId="0" borderId="12" xfId="0" applyNumberFormat="1" applyFont="1" applyBorder="1" applyAlignment="1">
      <alignment horizontal="right"/>
    </xf>
    <xf numFmtId="0" fontId="2" fillId="0" borderId="14" xfId="0" applyFont="1" applyBorder="1"/>
    <xf numFmtId="0" fontId="2" fillId="0" borderId="12" xfId="3" applyFont="1" applyBorder="1"/>
    <xf numFmtId="4" fontId="2" fillId="0" borderId="12" xfId="1" applyNumberFormat="1" applyFont="1" applyBorder="1" applyAlignment="1">
      <alignment horizontal="right"/>
    </xf>
    <xf numFmtId="0" fontId="2" fillId="0" borderId="3" xfId="4" applyNumberFormat="1" applyFont="1" applyBorder="1" applyAlignment="1">
      <alignment horizontal="left"/>
    </xf>
    <xf numFmtId="0" fontId="2" fillId="0" borderId="12" xfId="4" applyNumberFormat="1" applyFont="1" applyBorder="1" applyAlignment="1">
      <alignment horizontal="left"/>
    </xf>
    <xf numFmtId="0" fontId="10" fillId="0" borderId="0" xfId="1" applyFont="1"/>
    <xf numFmtId="0" fontId="10" fillId="0" borderId="11" xfId="1" applyFont="1" applyBorder="1"/>
    <xf numFmtId="0" fontId="2" fillId="0" borderId="12" xfId="0" applyFont="1" applyBorder="1" applyAlignment="1">
      <alignment vertical="center"/>
    </xf>
    <xf numFmtId="0" fontId="10" fillId="0" borderId="11" xfId="1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" fillId="0" borderId="12" xfId="1" applyFont="1" applyBorder="1"/>
    <xf numFmtId="0" fontId="1" fillId="0" borderId="12" xfId="0" applyFont="1" applyBorder="1"/>
    <xf numFmtId="0" fontId="2" fillId="0" borderId="13" xfId="0" applyFont="1" applyBorder="1"/>
    <xf numFmtId="0" fontId="2" fillId="0" borderId="11" xfId="1" applyFont="1" applyBorder="1"/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2" xfId="1" applyFont="1" applyBorder="1" applyAlignment="1">
      <alignment wrapText="1"/>
    </xf>
    <xf numFmtId="0" fontId="2" fillId="0" borderId="13" xfId="1" applyFont="1" applyBorder="1"/>
    <xf numFmtId="0" fontId="38" fillId="0" borderId="6" xfId="8" applyFont="1" applyBorder="1" applyAlignment="1">
      <alignment horizontal="center" vertical="center"/>
    </xf>
    <xf numFmtId="0" fontId="38" fillId="0" borderId="17" xfId="8" applyFont="1" applyBorder="1" applyAlignment="1">
      <alignment horizontal="center" vertical="center"/>
    </xf>
    <xf numFmtId="0" fontId="38" fillId="0" borderId="34" xfId="8" applyFont="1" applyBorder="1" applyAlignment="1">
      <alignment horizontal="center" vertical="center"/>
    </xf>
    <xf numFmtId="0" fontId="30" fillId="0" borderId="0" xfId="9" applyFont="1" applyAlignment="1">
      <alignment horizontal="center" vertical="center" wrapText="1"/>
    </xf>
  </cellXfs>
  <cellStyles count="12">
    <cellStyle name="Dziesiętny 2" xfId="4" xr:uid="{46053973-619C-4897-B5CE-7DA0E81EC749}"/>
    <cellStyle name="Dziesiętny 3" xfId="5" xr:uid="{DB7FB2D5-5582-4DBF-8028-2459D858E97D}"/>
    <cellStyle name="Dziesiętny 4" xfId="7" xr:uid="{B8BBDB9D-934E-495E-B61A-F63C60FE6E8B}"/>
    <cellStyle name="Excel Built-in Normal" xfId="6" xr:uid="{09FEB6A5-4C53-4C39-AC63-55C1E3C8F453}"/>
    <cellStyle name="Normalny" xfId="0" builtinId="0"/>
    <cellStyle name="Normalny 2" xfId="1" xr:uid="{F29412C4-8B60-4304-9613-EB9BF3C63916}"/>
    <cellStyle name="Normalny 3" xfId="3" xr:uid="{C5491F0D-3708-4818-A97B-53FEAD97CFE1}"/>
    <cellStyle name="Normalny 3 2" xfId="9" xr:uid="{CB148F3F-A7F1-480A-98B1-C33235AA5D6D}"/>
    <cellStyle name="Normalny 4" xfId="8" xr:uid="{DFFFF020-56D6-45B3-A451-EC5229991018}"/>
    <cellStyle name="Normalny 5" xfId="10" xr:uid="{ED08F249-E810-4608-BB3B-6913443E4C77}"/>
    <cellStyle name="Normalny 5 2" xfId="11" xr:uid="{4445CC96-3834-46EB-B657-1180A049AD21}"/>
    <cellStyle name="Zły" xfId="2" builtinId="27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1B90B-AA49-4ED1-8221-A2D0F69CC589}">
  <sheetPr>
    <tabColor rgb="FF00FF00"/>
  </sheetPr>
  <dimension ref="A1:M1004"/>
  <sheetViews>
    <sheetView tabSelected="1" zoomScale="150" zoomScaleNormal="150" workbookViewId="0">
      <selection activeCell="K21" sqref="K21"/>
    </sheetView>
  </sheetViews>
  <sheetFormatPr defaultRowHeight="15" x14ac:dyDescent="0.25"/>
  <cols>
    <col min="1" max="1" width="3.7109375" customWidth="1"/>
    <col min="2" max="2" width="6" customWidth="1"/>
    <col min="3" max="3" width="5" customWidth="1"/>
    <col min="4" max="4" width="39.5703125" customWidth="1"/>
    <col min="5" max="5" width="13" customWidth="1"/>
    <col min="6" max="6" width="10.5703125" customWidth="1"/>
    <col min="7" max="7" width="10.85546875" customWidth="1"/>
    <col min="8" max="8" width="12.7109375" customWidth="1"/>
    <col min="9" max="9" width="9.85546875" style="96" customWidth="1"/>
    <col min="10" max="10" width="9" style="642" customWidth="1"/>
    <col min="11" max="11" width="9.85546875" style="642" customWidth="1"/>
    <col min="12" max="12" width="9.7109375" customWidth="1"/>
    <col min="13" max="13" width="12.140625" customWidth="1"/>
    <col min="14" max="14" width="10.28515625" customWidth="1"/>
  </cols>
  <sheetData>
    <row r="1" spans="1:13" ht="12.75" customHeight="1" x14ac:dyDescent="0.25">
      <c r="A1" s="1"/>
      <c r="B1" s="1"/>
      <c r="C1" s="2"/>
      <c r="D1" s="3"/>
      <c r="E1" s="3"/>
      <c r="F1" s="3" t="s">
        <v>74</v>
      </c>
      <c r="G1" s="1"/>
      <c r="H1" s="1"/>
    </row>
    <row r="2" spans="1:13" ht="12.75" customHeight="1" x14ac:dyDescent="0.25">
      <c r="A2" s="1"/>
      <c r="B2" s="1"/>
      <c r="C2" s="2"/>
      <c r="D2" s="3"/>
      <c r="E2" s="3"/>
      <c r="F2" s="3" t="s">
        <v>289</v>
      </c>
      <c r="G2" s="1"/>
      <c r="H2" s="1"/>
    </row>
    <row r="3" spans="1:13" ht="12.75" customHeight="1" x14ac:dyDescent="0.25">
      <c r="A3" s="1"/>
      <c r="B3" s="1"/>
      <c r="C3" s="2"/>
      <c r="D3" s="3"/>
      <c r="E3" s="3"/>
      <c r="F3" s="3" t="s">
        <v>0</v>
      </c>
      <c r="G3" s="1"/>
      <c r="H3" s="1"/>
    </row>
    <row r="4" spans="1:13" ht="12.75" customHeight="1" x14ac:dyDescent="0.25">
      <c r="A4" s="1"/>
      <c r="B4" s="1"/>
      <c r="C4" s="2"/>
      <c r="D4" s="3"/>
      <c r="E4" s="3"/>
      <c r="F4" s="3" t="s">
        <v>290</v>
      </c>
      <c r="G4" s="1"/>
      <c r="H4" s="1"/>
    </row>
    <row r="5" spans="1:13" ht="18" customHeight="1" x14ac:dyDescent="0.25">
      <c r="A5" s="4" t="s">
        <v>1</v>
      </c>
      <c r="B5" s="683"/>
      <c r="C5" s="5"/>
      <c r="D5" s="5"/>
      <c r="E5" s="683"/>
      <c r="F5" s="683"/>
      <c r="G5" s="6"/>
      <c r="H5" s="683"/>
    </row>
    <row r="6" spans="1:13" ht="18.75" customHeight="1" x14ac:dyDescent="0.25">
      <c r="A6" s="1"/>
      <c r="B6" s="1"/>
      <c r="C6" s="2"/>
      <c r="D6" s="2"/>
      <c r="E6" s="7"/>
      <c r="F6" s="1"/>
      <c r="G6" s="8"/>
      <c r="H6" s="9" t="s">
        <v>2</v>
      </c>
    </row>
    <row r="7" spans="1:13" s="16" customFormat="1" ht="11.25" x14ac:dyDescent="0.2">
      <c r="A7" s="10"/>
      <c r="B7" s="10"/>
      <c r="C7" s="11"/>
      <c r="D7" s="12"/>
      <c r="E7" s="13" t="s">
        <v>3</v>
      </c>
      <c r="F7" s="14"/>
      <c r="G7" s="15"/>
      <c r="H7" s="13" t="s">
        <v>3</v>
      </c>
      <c r="I7" s="96"/>
      <c r="J7" s="49"/>
      <c r="K7" s="50"/>
      <c r="M7" s="51"/>
    </row>
    <row r="8" spans="1:13" s="16" customFormat="1" ht="11.25" x14ac:dyDescent="0.2">
      <c r="A8" s="17" t="s">
        <v>4</v>
      </c>
      <c r="B8" s="17" t="s">
        <v>5</v>
      </c>
      <c r="C8" s="19" t="s">
        <v>6</v>
      </c>
      <c r="D8" s="20" t="s">
        <v>7</v>
      </c>
      <c r="E8" s="17" t="s">
        <v>8</v>
      </c>
      <c r="F8" s="21" t="s">
        <v>9</v>
      </c>
      <c r="G8" s="17" t="s">
        <v>10</v>
      </c>
      <c r="H8" s="17" t="s">
        <v>11</v>
      </c>
      <c r="I8" s="96"/>
      <c r="J8" s="49"/>
      <c r="K8" s="48"/>
      <c r="M8" s="52"/>
    </row>
    <row r="9" spans="1:13" s="16" customFormat="1" ht="4.5" customHeight="1" x14ac:dyDescent="0.2">
      <c r="A9" s="22"/>
      <c r="B9" s="22"/>
      <c r="C9" s="23"/>
      <c r="D9" s="24"/>
      <c r="E9" s="22"/>
      <c r="F9" s="25"/>
      <c r="G9" s="25"/>
      <c r="H9" s="22"/>
      <c r="I9" s="96"/>
      <c r="J9" s="49"/>
      <c r="K9" s="49"/>
    </row>
    <row r="10" spans="1:13" s="16" customFormat="1" ht="18" customHeight="1" thickBot="1" x14ac:dyDescent="0.25">
      <c r="A10" s="54"/>
      <c r="B10" s="54"/>
      <c r="C10" s="27"/>
      <c r="D10" s="28" t="s">
        <v>17</v>
      </c>
      <c r="E10" s="29">
        <v>924354556.03999984</v>
      </c>
      <c r="F10" s="29">
        <f>SUM(F11,F55,F102)</f>
        <v>1989561.9000000001</v>
      </c>
      <c r="G10" s="29">
        <f>SUM(G11,G55,G102)</f>
        <v>55187</v>
      </c>
      <c r="H10" s="29">
        <f t="shared" ref="H10:H21" si="0">SUM(E10+F10-G10)</f>
        <v>926288930.93999982</v>
      </c>
      <c r="I10" s="96"/>
      <c r="J10" s="49"/>
      <c r="K10" s="49"/>
    </row>
    <row r="11" spans="1:13" s="16" customFormat="1" ht="17.25" customHeight="1" thickBot="1" x14ac:dyDescent="0.25">
      <c r="A11" s="54"/>
      <c r="B11" s="54"/>
      <c r="C11" s="27"/>
      <c r="D11" s="30" t="s">
        <v>75</v>
      </c>
      <c r="E11" s="31">
        <v>854558564.96000004</v>
      </c>
      <c r="F11" s="31">
        <f>SUM(F13,F18,F22,F31,F47,F51)</f>
        <v>870931.7</v>
      </c>
      <c r="G11" s="31">
        <f>SUM(G13,G18,G22,G31,G47,G51)</f>
        <v>55187</v>
      </c>
      <c r="H11" s="31">
        <f t="shared" si="0"/>
        <v>855374309.66000009</v>
      </c>
      <c r="I11" s="96"/>
      <c r="J11" s="49"/>
      <c r="K11" s="49"/>
    </row>
    <row r="12" spans="1:13" s="16" customFormat="1" ht="18.75" customHeight="1" thickTop="1" x14ac:dyDescent="0.2">
      <c r="A12" s="32">
        <v>754</v>
      </c>
      <c r="B12" s="33"/>
      <c r="C12" s="34"/>
      <c r="D12" s="33" t="s">
        <v>76</v>
      </c>
      <c r="E12" s="62"/>
      <c r="F12" s="62"/>
      <c r="G12" s="62"/>
      <c r="H12" s="62"/>
      <c r="I12" s="97"/>
      <c r="J12" s="49"/>
      <c r="K12" s="49"/>
    </row>
    <row r="13" spans="1:13" s="16" customFormat="1" ht="12" customHeight="1" thickBot="1" x14ac:dyDescent="0.25">
      <c r="A13" s="32"/>
      <c r="B13" s="33"/>
      <c r="C13" s="34"/>
      <c r="D13" s="33" t="s">
        <v>27</v>
      </c>
      <c r="E13" s="31">
        <v>241404</v>
      </c>
      <c r="F13" s="36">
        <f>SUM(F14)</f>
        <v>210000</v>
      </c>
      <c r="G13" s="36">
        <f>SUM(G14)</f>
        <v>0</v>
      </c>
      <c r="H13" s="31">
        <f>SUM(E13+F13-G13)</f>
        <v>451404</v>
      </c>
      <c r="I13" s="97"/>
      <c r="J13" s="49"/>
      <c r="K13" s="49"/>
    </row>
    <row r="14" spans="1:13" s="16" customFormat="1" ht="12" customHeight="1" thickTop="1" x14ac:dyDescent="0.2">
      <c r="A14" s="32"/>
      <c r="B14" s="56">
        <v>75411</v>
      </c>
      <c r="C14" s="86"/>
      <c r="D14" s="84" t="s">
        <v>77</v>
      </c>
      <c r="E14" s="39">
        <v>100250</v>
      </c>
      <c r="F14" s="40">
        <f>SUM(F15)</f>
        <v>210000</v>
      </c>
      <c r="G14" s="40">
        <f>SUM(G15)</f>
        <v>0</v>
      </c>
      <c r="H14" s="39">
        <f>SUM(E14+F14-G14)</f>
        <v>310250</v>
      </c>
      <c r="I14" s="97"/>
      <c r="J14" s="49"/>
      <c r="K14" s="49"/>
    </row>
    <row r="15" spans="1:13" s="16" customFormat="1" ht="12" customHeight="1" x14ac:dyDescent="0.2">
      <c r="A15" s="32"/>
      <c r="B15" s="56"/>
      <c r="C15" s="86"/>
      <c r="D15" s="684" t="s">
        <v>78</v>
      </c>
      <c r="E15" s="685">
        <v>100250</v>
      </c>
      <c r="F15" s="685">
        <f>SUM(F16:F17)</f>
        <v>210000</v>
      </c>
      <c r="G15" s="685">
        <f>SUM(G16:G17)</f>
        <v>0</v>
      </c>
      <c r="H15" s="94">
        <f>SUM(E15+F15-G15)</f>
        <v>310250</v>
      </c>
      <c r="I15" s="97"/>
      <c r="J15" s="49"/>
      <c r="K15" s="49"/>
    </row>
    <row r="16" spans="1:13" s="16" customFormat="1" ht="32.25" customHeight="1" x14ac:dyDescent="0.2">
      <c r="A16" s="53"/>
      <c r="B16" s="56"/>
      <c r="C16" s="67">
        <v>2440</v>
      </c>
      <c r="D16" s="98" t="s">
        <v>79</v>
      </c>
      <c r="E16" s="42">
        <v>21000</v>
      </c>
      <c r="F16" s="42">
        <v>158000</v>
      </c>
      <c r="G16" s="42"/>
      <c r="H16" s="43">
        <f t="shared" ref="H16:H17" si="1">SUM(E16+F16-G16)</f>
        <v>179000</v>
      </c>
      <c r="I16" s="97"/>
      <c r="J16" s="49"/>
      <c r="K16" s="49"/>
    </row>
    <row r="17" spans="1:13" s="16" customFormat="1" ht="45" customHeight="1" x14ac:dyDescent="0.2">
      <c r="A17" s="32"/>
      <c r="B17" s="88"/>
      <c r="C17" s="99" t="s">
        <v>80</v>
      </c>
      <c r="D17" s="68" t="s">
        <v>81</v>
      </c>
      <c r="E17" s="42">
        <v>79000</v>
      </c>
      <c r="F17" s="44">
        <v>52000</v>
      </c>
      <c r="G17" s="44"/>
      <c r="H17" s="43">
        <f t="shared" si="1"/>
        <v>131000</v>
      </c>
      <c r="I17" s="97"/>
      <c r="J17" s="49"/>
      <c r="K17" s="49"/>
    </row>
    <row r="18" spans="1:13" s="16" customFormat="1" ht="12" customHeight="1" thickBot="1" x14ac:dyDescent="0.25">
      <c r="A18" s="100">
        <v>758</v>
      </c>
      <c r="B18" s="17"/>
      <c r="C18" s="17"/>
      <c r="D18" s="101" t="s">
        <v>82</v>
      </c>
      <c r="E18" s="31">
        <v>264196406.55000001</v>
      </c>
      <c r="F18" s="36">
        <f>SUM(F19)</f>
        <v>264168</v>
      </c>
      <c r="G18" s="36">
        <f t="shared" ref="G18:G19" si="2">SUM(G19)</f>
        <v>0</v>
      </c>
      <c r="H18" s="31">
        <f t="shared" si="0"/>
        <v>264460574.55000001</v>
      </c>
      <c r="I18" s="96"/>
      <c r="J18" s="49"/>
      <c r="K18" s="102"/>
    </row>
    <row r="19" spans="1:13" s="16" customFormat="1" ht="12.75" customHeight="1" thickTop="1" x14ac:dyDescent="0.2">
      <c r="A19" s="100"/>
      <c r="B19" s="27" t="s">
        <v>83</v>
      </c>
      <c r="C19" s="85"/>
      <c r="D19" s="38" t="s">
        <v>84</v>
      </c>
      <c r="E19" s="39">
        <v>2913206</v>
      </c>
      <c r="F19" s="40">
        <f>SUM(F20)</f>
        <v>264168</v>
      </c>
      <c r="G19" s="40">
        <f t="shared" si="2"/>
        <v>0</v>
      </c>
      <c r="H19" s="39">
        <f t="shared" si="0"/>
        <v>3177374</v>
      </c>
      <c r="I19" s="96"/>
      <c r="J19" s="49"/>
      <c r="K19" s="49"/>
    </row>
    <row r="20" spans="1:13" s="16" customFormat="1" ht="20.25" customHeight="1" x14ac:dyDescent="0.2">
      <c r="A20" s="54"/>
      <c r="B20" s="103"/>
      <c r="C20" s="27"/>
      <c r="D20" s="686" t="s">
        <v>85</v>
      </c>
      <c r="E20" s="94">
        <v>2613206</v>
      </c>
      <c r="F20" s="687">
        <f>SUM(F21:F21)</f>
        <v>264168</v>
      </c>
      <c r="G20" s="687">
        <f>SUM(G21:G21)</f>
        <v>0</v>
      </c>
      <c r="H20" s="94">
        <f t="shared" si="0"/>
        <v>2877374</v>
      </c>
      <c r="I20" s="97"/>
      <c r="J20" s="49"/>
      <c r="K20" s="49"/>
    </row>
    <row r="21" spans="1:13" s="16" customFormat="1" ht="36" customHeight="1" x14ac:dyDescent="0.2">
      <c r="A21" s="54"/>
      <c r="B21" s="103"/>
      <c r="C21" s="59" t="s">
        <v>86</v>
      </c>
      <c r="D21" s="104" t="s">
        <v>87</v>
      </c>
      <c r="E21" s="43">
        <v>2613206</v>
      </c>
      <c r="F21" s="43">
        <f>71474+192694</f>
        <v>264168</v>
      </c>
      <c r="G21" s="44"/>
      <c r="H21" s="43">
        <f t="shared" si="0"/>
        <v>2877374</v>
      </c>
      <c r="I21" s="96"/>
      <c r="J21" s="49"/>
      <c r="K21" s="49"/>
    </row>
    <row r="22" spans="1:13" s="16" customFormat="1" ht="12" customHeight="1" thickBot="1" x14ac:dyDescent="0.25">
      <c r="A22" s="32">
        <v>801</v>
      </c>
      <c r="B22" s="33"/>
      <c r="C22" s="34"/>
      <c r="D22" s="35" t="s">
        <v>40</v>
      </c>
      <c r="E22" s="31">
        <v>21128951.849999994</v>
      </c>
      <c r="F22" s="31">
        <f>SUM(F23,F28)</f>
        <v>18317.7</v>
      </c>
      <c r="G22" s="31">
        <f>SUM(G28)</f>
        <v>0</v>
      </c>
      <c r="H22" s="31">
        <f>SUM(E22+F22-G22)</f>
        <v>21147269.549999993</v>
      </c>
      <c r="I22" s="97"/>
      <c r="J22" s="49"/>
      <c r="K22" s="49"/>
    </row>
    <row r="23" spans="1:13" s="16" customFormat="1" ht="12" customHeight="1" thickTop="1" x14ac:dyDescent="0.2">
      <c r="A23" s="32"/>
      <c r="B23" s="86">
        <v>80146</v>
      </c>
      <c r="C23" s="105"/>
      <c r="D23" s="106" t="s">
        <v>88</v>
      </c>
      <c r="E23" s="107">
        <v>445967</v>
      </c>
      <c r="F23" s="107">
        <f>SUM(F24)</f>
        <v>15200</v>
      </c>
      <c r="G23" s="107">
        <f>SUM(G24)</f>
        <v>0</v>
      </c>
      <c r="H23" s="45">
        <f t="shared" ref="H23:H25" si="3">SUM(E23+F23-G23)</f>
        <v>461167</v>
      </c>
      <c r="I23" s="97"/>
      <c r="J23" s="49"/>
      <c r="K23" s="49"/>
    </row>
    <row r="24" spans="1:13" s="16" customFormat="1" ht="12" customHeight="1" x14ac:dyDescent="0.2">
      <c r="A24" s="32"/>
      <c r="B24" s="80"/>
      <c r="C24" s="105"/>
      <c r="D24" s="688" t="s">
        <v>78</v>
      </c>
      <c r="E24" s="95">
        <v>393007</v>
      </c>
      <c r="F24" s="95">
        <f>SUM(F25)</f>
        <v>15200</v>
      </c>
      <c r="G24" s="95">
        <f>SUM(G25)</f>
        <v>0</v>
      </c>
      <c r="H24" s="95">
        <f t="shared" si="3"/>
        <v>408207</v>
      </c>
      <c r="I24" s="97"/>
      <c r="J24" s="49"/>
      <c r="K24" s="49"/>
    </row>
    <row r="25" spans="1:13" s="16" customFormat="1" ht="35.25" customHeight="1" x14ac:dyDescent="0.2">
      <c r="A25" s="32"/>
      <c r="B25" s="80"/>
      <c r="C25" s="99" t="s">
        <v>89</v>
      </c>
      <c r="D25" s="108" t="s">
        <v>90</v>
      </c>
      <c r="E25" s="45">
        <v>393007</v>
      </c>
      <c r="F25" s="45">
        <v>15200</v>
      </c>
      <c r="G25" s="62"/>
      <c r="H25" s="45">
        <f t="shared" si="3"/>
        <v>408207</v>
      </c>
      <c r="I25" s="97"/>
      <c r="J25" s="49"/>
      <c r="K25" s="49"/>
    </row>
    <row r="26" spans="1:13" s="16" customFormat="1" ht="12" customHeight="1" x14ac:dyDescent="0.2">
      <c r="A26" s="32"/>
      <c r="B26" s="37">
        <v>80153</v>
      </c>
      <c r="C26" s="34"/>
      <c r="D26" s="69" t="s">
        <v>91</v>
      </c>
      <c r="E26" s="62"/>
      <c r="F26" s="62"/>
      <c r="G26" s="62"/>
      <c r="H26" s="62"/>
      <c r="I26" s="97"/>
      <c r="J26" s="49"/>
      <c r="K26" s="49"/>
    </row>
    <row r="27" spans="1:13" s="16" customFormat="1" ht="12" customHeight="1" x14ac:dyDescent="0.2">
      <c r="A27" s="32"/>
      <c r="B27" s="33"/>
      <c r="C27" s="34"/>
      <c r="D27" s="69" t="s">
        <v>92</v>
      </c>
      <c r="E27" s="62"/>
      <c r="F27" s="62"/>
      <c r="G27" s="62"/>
      <c r="H27" s="62"/>
      <c r="I27" s="97"/>
      <c r="J27" s="49"/>
      <c r="K27" s="49"/>
    </row>
    <row r="28" spans="1:13" s="16" customFormat="1" ht="12.75" customHeight="1" x14ac:dyDescent="0.2">
      <c r="A28" s="33"/>
      <c r="B28" s="37"/>
      <c r="C28" s="27"/>
      <c r="D28" s="38" t="s">
        <v>93</v>
      </c>
      <c r="E28" s="39">
        <v>24030.84</v>
      </c>
      <c r="F28" s="39">
        <f>SUM(F29)</f>
        <v>3117.7000000000003</v>
      </c>
      <c r="G28" s="39">
        <f>SUM(G29)</f>
        <v>0</v>
      </c>
      <c r="H28" s="39">
        <f>SUM(E28+F28-G28)</f>
        <v>27148.54</v>
      </c>
      <c r="I28" s="97"/>
      <c r="J28" s="49"/>
      <c r="K28" s="49"/>
      <c r="L28" s="49"/>
      <c r="M28" s="49"/>
    </row>
    <row r="29" spans="1:13" s="16" customFormat="1" ht="41.25" customHeight="1" x14ac:dyDescent="0.2">
      <c r="A29" s="33"/>
      <c r="B29" s="33"/>
      <c r="C29" s="57"/>
      <c r="D29" s="689" t="s">
        <v>94</v>
      </c>
      <c r="E29" s="94">
        <v>24030.84</v>
      </c>
      <c r="F29" s="687">
        <f>SUM(F30:F30)</f>
        <v>3117.7000000000003</v>
      </c>
      <c r="G29" s="687">
        <f>SUM(G30:G30)</f>
        <v>0</v>
      </c>
      <c r="H29" s="94">
        <f t="shared" ref="H29:H30" si="4">SUM(E29+F29-G29)</f>
        <v>27148.54</v>
      </c>
      <c r="I29" s="97"/>
      <c r="J29" s="109"/>
      <c r="K29" s="49"/>
      <c r="L29" s="49"/>
      <c r="M29" s="49"/>
    </row>
    <row r="30" spans="1:13" s="16" customFormat="1" ht="35.25" customHeight="1" x14ac:dyDescent="0.2">
      <c r="A30" s="33"/>
      <c r="B30" s="33"/>
      <c r="C30" s="59" t="s">
        <v>86</v>
      </c>
      <c r="D30" s="104" t="s">
        <v>87</v>
      </c>
      <c r="E30" s="43">
        <v>24030.84</v>
      </c>
      <c r="F30" s="43">
        <f>1002.4+2115.3</f>
        <v>3117.7000000000003</v>
      </c>
      <c r="G30" s="44"/>
      <c r="H30" s="43">
        <f t="shared" si="4"/>
        <v>27148.54</v>
      </c>
      <c r="I30" s="97"/>
      <c r="J30" s="109"/>
      <c r="K30" s="49"/>
      <c r="L30" s="49"/>
      <c r="M30" s="49"/>
    </row>
    <row r="31" spans="1:13" s="16" customFormat="1" ht="12.75" customHeight="1" thickBot="1" x14ac:dyDescent="0.25">
      <c r="A31" s="33">
        <v>852</v>
      </c>
      <c r="B31" s="33"/>
      <c r="C31" s="34"/>
      <c r="D31" s="35" t="s">
        <v>30</v>
      </c>
      <c r="E31" s="36">
        <v>23189681.68</v>
      </c>
      <c r="F31" s="36">
        <f>SUM(F32,F36,F41,F44)</f>
        <v>319340</v>
      </c>
      <c r="G31" s="36">
        <f>SUM(G32,G36,G41,G44)</f>
        <v>55187</v>
      </c>
      <c r="H31" s="36">
        <f>SUM(E31+F31-G31)</f>
        <v>23453834.68</v>
      </c>
      <c r="I31" s="96"/>
      <c r="J31" s="49"/>
      <c r="K31" s="49"/>
      <c r="L31" s="49"/>
      <c r="M31" s="49"/>
    </row>
    <row r="32" spans="1:13" s="16" customFormat="1" ht="12" customHeight="1" thickTop="1" x14ac:dyDescent="0.2">
      <c r="A32" s="33"/>
      <c r="B32" s="26">
        <v>85202</v>
      </c>
      <c r="C32" s="27"/>
      <c r="D32" s="38" t="s">
        <v>95</v>
      </c>
      <c r="E32" s="39">
        <v>2663681.0300000003</v>
      </c>
      <c r="F32" s="40">
        <f>SUM(F33)</f>
        <v>138098</v>
      </c>
      <c r="G32" s="40">
        <f>SUM(G33)</f>
        <v>41060</v>
      </c>
      <c r="H32" s="39">
        <f t="shared" ref="H32:H34" si="5">SUM(E32+F32-G32)</f>
        <v>2760719.0300000003</v>
      </c>
      <c r="I32" s="96"/>
      <c r="J32" s="49"/>
      <c r="K32" s="49"/>
    </row>
    <row r="33" spans="1:13" s="16" customFormat="1" ht="12" customHeight="1" x14ac:dyDescent="0.2">
      <c r="A33" s="33"/>
      <c r="B33" s="37"/>
      <c r="C33" s="27"/>
      <c r="D33" s="690" t="s">
        <v>19</v>
      </c>
      <c r="E33" s="94">
        <v>789863</v>
      </c>
      <c r="F33" s="687">
        <f>SUM(F34:F34)</f>
        <v>138098</v>
      </c>
      <c r="G33" s="687">
        <f>SUM(G34:G34)</f>
        <v>41060</v>
      </c>
      <c r="H33" s="94">
        <f t="shared" si="5"/>
        <v>886901</v>
      </c>
      <c r="I33" s="96"/>
      <c r="J33" s="110"/>
      <c r="K33" s="111"/>
      <c r="L33" s="111"/>
      <c r="M33" s="49"/>
    </row>
    <row r="34" spans="1:13" s="16" customFormat="1" ht="23.25" customHeight="1" x14ac:dyDescent="0.2">
      <c r="A34" s="33"/>
      <c r="B34" s="37"/>
      <c r="C34" s="59" t="s">
        <v>96</v>
      </c>
      <c r="D34" s="112" t="s">
        <v>97</v>
      </c>
      <c r="E34" s="43">
        <v>789863</v>
      </c>
      <c r="F34" s="43">
        <v>138098</v>
      </c>
      <c r="G34" s="44">
        <v>41060</v>
      </c>
      <c r="H34" s="43">
        <f t="shared" si="5"/>
        <v>886901</v>
      </c>
      <c r="I34" s="96"/>
      <c r="J34" s="110"/>
      <c r="K34" s="111"/>
      <c r="L34" s="111"/>
      <c r="M34" s="49"/>
    </row>
    <row r="35" spans="1:13" s="16" customFormat="1" ht="12.75" customHeight="1" x14ac:dyDescent="0.2">
      <c r="A35" s="33"/>
      <c r="B35" s="37">
        <v>85214</v>
      </c>
      <c r="C35" s="27"/>
      <c r="D35" s="61" t="s">
        <v>98</v>
      </c>
      <c r="E35" s="62"/>
      <c r="F35" s="79"/>
      <c r="G35" s="79"/>
      <c r="H35" s="62"/>
      <c r="I35" s="96"/>
      <c r="J35" s="110"/>
      <c r="K35" s="111"/>
      <c r="L35" s="111"/>
      <c r="M35" s="49"/>
    </row>
    <row r="36" spans="1:13" s="16" customFormat="1" ht="12" customHeight="1" x14ac:dyDescent="0.2">
      <c r="A36" s="33"/>
      <c r="B36" s="37"/>
      <c r="C36" s="27"/>
      <c r="D36" s="58" t="s">
        <v>99</v>
      </c>
      <c r="E36" s="39">
        <v>6810910</v>
      </c>
      <c r="F36" s="40">
        <f>SUM(F37,F39)</f>
        <v>2988</v>
      </c>
      <c r="G36" s="40">
        <f>SUM(G37,G39)</f>
        <v>14127</v>
      </c>
      <c r="H36" s="39">
        <f>SUM(E36+F36-G36)</f>
        <v>6799771</v>
      </c>
      <c r="I36" s="96"/>
      <c r="J36" s="49"/>
      <c r="K36" s="49"/>
    </row>
    <row r="37" spans="1:13" s="16" customFormat="1" ht="12.75" customHeight="1" x14ac:dyDescent="0.2">
      <c r="A37" s="33"/>
      <c r="B37" s="37"/>
      <c r="C37" s="27"/>
      <c r="D37" s="690" t="s">
        <v>19</v>
      </c>
      <c r="E37" s="94">
        <v>6771600</v>
      </c>
      <c r="F37" s="687">
        <f>SUM(F38)</f>
        <v>0</v>
      </c>
      <c r="G37" s="687">
        <f>SUM(G38)</f>
        <v>14127</v>
      </c>
      <c r="H37" s="94">
        <f t="shared" ref="H37:H40" si="6">SUM(E37+F37-G37)</f>
        <v>6757473</v>
      </c>
      <c r="I37" s="96"/>
      <c r="J37" s="49"/>
      <c r="K37" s="49"/>
    </row>
    <row r="38" spans="1:13" s="16" customFormat="1" ht="34.5" customHeight="1" x14ac:dyDescent="0.2">
      <c r="A38" s="33"/>
      <c r="B38" s="37"/>
      <c r="C38" s="59" t="s">
        <v>100</v>
      </c>
      <c r="D38" s="104" t="s">
        <v>101</v>
      </c>
      <c r="E38" s="42">
        <v>6771600</v>
      </c>
      <c r="F38" s="44"/>
      <c r="G38" s="44">
        <v>14127</v>
      </c>
      <c r="H38" s="42">
        <f t="shared" si="6"/>
        <v>6757473</v>
      </c>
      <c r="I38" s="96"/>
      <c r="J38" s="49"/>
      <c r="K38" s="49"/>
    </row>
    <row r="39" spans="1:13" s="16" customFormat="1" ht="12" customHeight="1" x14ac:dyDescent="0.2">
      <c r="A39" s="33"/>
      <c r="B39" s="33"/>
      <c r="C39" s="57"/>
      <c r="D39" s="689" t="s">
        <v>102</v>
      </c>
      <c r="E39" s="94">
        <v>9019</v>
      </c>
      <c r="F39" s="687">
        <f>SUM(F40:F40)</f>
        <v>2988</v>
      </c>
      <c r="G39" s="687">
        <f>SUM(G40:G40)</f>
        <v>0</v>
      </c>
      <c r="H39" s="94">
        <f t="shared" si="6"/>
        <v>12007</v>
      </c>
      <c r="I39" s="97"/>
      <c r="J39" s="49"/>
      <c r="K39" s="49"/>
    </row>
    <row r="40" spans="1:13" s="16" customFormat="1" ht="36.75" customHeight="1" x14ac:dyDescent="0.2">
      <c r="A40" s="113"/>
      <c r="B40" s="113"/>
      <c r="C40" s="114" t="s">
        <v>86</v>
      </c>
      <c r="D40" s="115" t="s">
        <v>87</v>
      </c>
      <c r="E40" s="39">
        <v>9019</v>
      </c>
      <c r="F40" s="39">
        <v>2988</v>
      </c>
      <c r="G40" s="40"/>
      <c r="H40" s="39">
        <f t="shared" si="6"/>
        <v>12007</v>
      </c>
      <c r="I40" s="96"/>
      <c r="J40" s="49"/>
      <c r="K40" s="49"/>
    </row>
    <row r="41" spans="1:13" s="16" customFormat="1" ht="12" customHeight="1" x14ac:dyDescent="0.2">
      <c r="A41" s="33"/>
      <c r="B41" s="37">
        <v>85219</v>
      </c>
      <c r="C41" s="27"/>
      <c r="D41" s="38" t="s">
        <v>103</v>
      </c>
      <c r="E41" s="39">
        <v>1513096.19</v>
      </c>
      <c r="F41" s="40">
        <f t="shared" ref="F41:G41" si="7">SUM(F42)</f>
        <v>176978</v>
      </c>
      <c r="G41" s="40">
        <f t="shared" si="7"/>
        <v>0</v>
      </c>
      <c r="H41" s="39">
        <f>SUM(E41+F41-G41)</f>
        <v>1690074.19</v>
      </c>
      <c r="I41" s="96"/>
      <c r="J41" s="49"/>
      <c r="K41" s="49"/>
    </row>
    <row r="42" spans="1:13" s="16" customFormat="1" ht="12" customHeight="1" x14ac:dyDescent="0.2">
      <c r="A42" s="33"/>
      <c r="B42" s="33"/>
      <c r="C42" s="57"/>
      <c r="D42" s="689" t="s">
        <v>19</v>
      </c>
      <c r="E42" s="94">
        <v>1476500</v>
      </c>
      <c r="F42" s="687">
        <f>SUM(F43:F43)</f>
        <v>176978</v>
      </c>
      <c r="G42" s="687">
        <f>SUM(G43:G43)</f>
        <v>0</v>
      </c>
      <c r="H42" s="94">
        <f t="shared" ref="H42" si="8">SUM(E42+F42-G42)</f>
        <v>1653478</v>
      </c>
      <c r="I42" s="96"/>
      <c r="J42" s="49"/>
      <c r="K42" s="49"/>
    </row>
    <row r="43" spans="1:13" s="16" customFormat="1" ht="34.5" customHeight="1" x14ac:dyDescent="0.2">
      <c r="A43" s="33"/>
      <c r="B43" s="33"/>
      <c r="C43" s="59" t="s">
        <v>100</v>
      </c>
      <c r="D43" s="104" t="s">
        <v>104</v>
      </c>
      <c r="E43" s="43">
        <v>1476500</v>
      </c>
      <c r="F43" s="43">
        <v>176978</v>
      </c>
      <c r="G43" s="44"/>
      <c r="H43" s="43">
        <f>SUM(E43+F43-G43)</f>
        <v>1653478</v>
      </c>
      <c r="I43" s="96"/>
      <c r="J43" s="49"/>
      <c r="K43" s="49"/>
    </row>
    <row r="44" spans="1:13" s="16" customFormat="1" ht="12" customHeight="1" x14ac:dyDescent="0.2">
      <c r="A44" s="33"/>
      <c r="B44" s="37">
        <v>85230</v>
      </c>
      <c r="C44" s="27"/>
      <c r="D44" s="38" t="s">
        <v>105</v>
      </c>
      <c r="E44" s="39">
        <v>4497879</v>
      </c>
      <c r="F44" s="40">
        <f>SUM(F45)</f>
        <v>1276</v>
      </c>
      <c r="G44" s="40">
        <f>SUM(G45)</f>
        <v>0</v>
      </c>
      <c r="H44" s="39">
        <f>SUM(E44+F44-G44)</f>
        <v>4499155</v>
      </c>
      <c r="I44" s="96"/>
      <c r="J44" s="49"/>
      <c r="K44" s="49"/>
    </row>
    <row r="45" spans="1:13" s="16" customFormat="1" ht="24" customHeight="1" x14ac:dyDescent="0.2">
      <c r="A45" s="33"/>
      <c r="B45" s="33"/>
      <c r="C45" s="57"/>
      <c r="D45" s="689" t="s">
        <v>106</v>
      </c>
      <c r="E45" s="94">
        <v>18176</v>
      </c>
      <c r="F45" s="687">
        <f>SUM(F46:F46)</f>
        <v>1276</v>
      </c>
      <c r="G45" s="687">
        <f>SUM(G46:G46)</f>
        <v>0</v>
      </c>
      <c r="H45" s="94">
        <f t="shared" ref="H45:H46" si="9">SUM(E45+F45-G45)</f>
        <v>19452</v>
      </c>
      <c r="I45" s="97"/>
      <c r="J45" s="49"/>
      <c r="K45" s="49"/>
      <c r="L45" s="49"/>
    </row>
    <row r="46" spans="1:13" s="16" customFormat="1" ht="36.75" customHeight="1" x14ac:dyDescent="0.2">
      <c r="A46" s="33"/>
      <c r="B46" s="33"/>
      <c r="C46" s="59" t="s">
        <v>86</v>
      </c>
      <c r="D46" s="104" t="s">
        <v>87</v>
      </c>
      <c r="E46" s="43">
        <v>18176</v>
      </c>
      <c r="F46" s="43">
        <v>1276</v>
      </c>
      <c r="G46" s="44"/>
      <c r="H46" s="43">
        <f t="shared" si="9"/>
        <v>19452</v>
      </c>
      <c r="I46" s="96"/>
      <c r="J46" s="49"/>
      <c r="K46" s="49"/>
    </row>
    <row r="47" spans="1:13" s="16" customFormat="1" ht="12" customHeight="1" thickBot="1" x14ac:dyDescent="0.25">
      <c r="A47" s="32">
        <v>854</v>
      </c>
      <c r="B47" s="33"/>
      <c r="C47" s="34"/>
      <c r="D47" s="35" t="s">
        <v>107</v>
      </c>
      <c r="E47" s="36">
        <v>1003623.47</v>
      </c>
      <c r="F47" s="36">
        <f t="shared" ref="F47:G49" si="10">SUM(F48)</f>
        <v>30785</v>
      </c>
      <c r="G47" s="36">
        <f t="shared" si="10"/>
        <v>0</v>
      </c>
      <c r="H47" s="36">
        <f>SUM(E47+F47-G47)</f>
        <v>1034408.47</v>
      </c>
      <c r="I47" s="96"/>
      <c r="J47" s="49"/>
      <c r="K47" s="49"/>
    </row>
    <row r="48" spans="1:13" s="16" customFormat="1" ht="11.25" customHeight="1" thickTop="1" x14ac:dyDescent="0.2">
      <c r="A48" s="32"/>
      <c r="B48" s="37">
        <v>85415</v>
      </c>
      <c r="C48" s="27"/>
      <c r="D48" s="38" t="s">
        <v>108</v>
      </c>
      <c r="E48" s="39">
        <v>620940</v>
      </c>
      <c r="F48" s="40">
        <f t="shared" si="10"/>
        <v>30785</v>
      </c>
      <c r="G48" s="40">
        <f t="shared" si="10"/>
        <v>0</v>
      </c>
      <c r="H48" s="39">
        <f>SUM(E48+F48-G48)</f>
        <v>651725</v>
      </c>
      <c r="I48" s="96"/>
      <c r="J48" s="49"/>
      <c r="K48" s="49"/>
    </row>
    <row r="49" spans="1:11" s="16" customFormat="1" ht="11.25" customHeight="1" x14ac:dyDescent="0.2">
      <c r="A49" s="53"/>
      <c r="B49" s="33"/>
      <c r="C49" s="27"/>
      <c r="D49" s="690" t="s">
        <v>19</v>
      </c>
      <c r="E49" s="94">
        <v>600940</v>
      </c>
      <c r="F49" s="687">
        <f t="shared" si="10"/>
        <v>30785</v>
      </c>
      <c r="G49" s="687">
        <f t="shared" si="10"/>
        <v>0</v>
      </c>
      <c r="H49" s="94">
        <f>SUM(E49+F49-G49)</f>
        <v>631725</v>
      </c>
      <c r="I49" s="96"/>
      <c r="J49" s="49"/>
      <c r="K49" s="49"/>
    </row>
    <row r="50" spans="1:11" s="16" customFormat="1" ht="45" customHeight="1" x14ac:dyDescent="0.2">
      <c r="A50" s="53"/>
      <c r="B50" s="33"/>
      <c r="C50" s="59" t="s">
        <v>109</v>
      </c>
      <c r="D50" s="104" t="s">
        <v>110</v>
      </c>
      <c r="E50" s="43">
        <v>75540</v>
      </c>
      <c r="F50" s="43">
        <v>30785</v>
      </c>
      <c r="G50" s="44"/>
      <c r="H50" s="43">
        <f t="shared" ref="H50:H55" si="11">SUM(E50+F50-G50)</f>
        <v>106325</v>
      </c>
      <c r="I50" s="96"/>
      <c r="J50" s="49"/>
      <c r="K50" s="49"/>
    </row>
    <row r="51" spans="1:11" s="16" customFormat="1" ht="12" customHeight="1" thickBot="1" x14ac:dyDescent="0.25">
      <c r="A51" s="33">
        <v>855</v>
      </c>
      <c r="B51" s="33"/>
      <c r="C51" s="34"/>
      <c r="D51" s="35" t="s">
        <v>22</v>
      </c>
      <c r="E51" s="36">
        <v>27965347.949999999</v>
      </c>
      <c r="F51" s="36">
        <f>SUM(F52)</f>
        <v>28321</v>
      </c>
      <c r="G51" s="36">
        <f>SUM(G52)</f>
        <v>0</v>
      </c>
      <c r="H51" s="36">
        <f t="shared" si="11"/>
        <v>27993668.949999999</v>
      </c>
      <c r="I51" s="96"/>
      <c r="J51" s="49"/>
      <c r="K51" s="49"/>
    </row>
    <row r="52" spans="1:11" s="16" customFormat="1" ht="12" customHeight="1" thickTop="1" x14ac:dyDescent="0.2">
      <c r="A52" s="26"/>
      <c r="B52" s="64">
        <v>85595</v>
      </c>
      <c r="C52" s="27"/>
      <c r="D52" s="38" t="s">
        <v>15</v>
      </c>
      <c r="E52" s="39">
        <v>3615083.95</v>
      </c>
      <c r="F52" s="40">
        <f t="shared" ref="F52:G52" si="12">SUM(F53)</f>
        <v>28321</v>
      </c>
      <c r="G52" s="40">
        <f t="shared" si="12"/>
        <v>0</v>
      </c>
      <c r="H52" s="39">
        <f t="shared" si="11"/>
        <v>3643404.95</v>
      </c>
      <c r="I52" s="96"/>
      <c r="J52" s="49"/>
      <c r="K52" s="49"/>
    </row>
    <row r="53" spans="1:11" s="16" customFormat="1" ht="12" customHeight="1" x14ac:dyDescent="0.2">
      <c r="A53" s="53"/>
      <c r="B53" s="33"/>
      <c r="C53" s="57"/>
      <c r="D53" s="689" t="s">
        <v>111</v>
      </c>
      <c r="E53" s="94">
        <v>190008</v>
      </c>
      <c r="F53" s="687">
        <f>SUM(F54:F54)</f>
        <v>28321</v>
      </c>
      <c r="G53" s="687">
        <f>SUM(G54:G54)</f>
        <v>0</v>
      </c>
      <c r="H53" s="94">
        <f t="shared" si="11"/>
        <v>218329</v>
      </c>
      <c r="I53" s="97"/>
      <c r="J53" s="49"/>
      <c r="K53" s="49"/>
    </row>
    <row r="54" spans="1:11" s="16" customFormat="1" ht="35.25" customHeight="1" x14ac:dyDescent="0.2">
      <c r="A54" s="53"/>
      <c r="B54" s="33"/>
      <c r="C54" s="59" t="s">
        <v>86</v>
      </c>
      <c r="D54" s="104" t="s">
        <v>87</v>
      </c>
      <c r="E54" s="43">
        <v>190008</v>
      </c>
      <c r="F54" s="43">
        <v>28321</v>
      </c>
      <c r="G54" s="44"/>
      <c r="H54" s="43">
        <f t="shared" si="11"/>
        <v>218329</v>
      </c>
      <c r="I54" s="96"/>
      <c r="J54" s="49"/>
      <c r="K54" s="49"/>
    </row>
    <row r="55" spans="1:11" s="16" customFormat="1" ht="23.25" customHeight="1" thickBot="1" x14ac:dyDescent="0.25">
      <c r="A55" s="54"/>
      <c r="B55" s="54"/>
      <c r="C55" s="27"/>
      <c r="D55" s="30" t="s">
        <v>18</v>
      </c>
      <c r="E55" s="31">
        <v>48039251.050000004</v>
      </c>
      <c r="F55" s="36">
        <f>SUM(F56,F60,F66,F72,F78,F85,F89)</f>
        <v>1110784.58</v>
      </c>
      <c r="G55" s="36">
        <f>SUM(G56,G60,G66,G72,G78,G85,G89)</f>
        <v>0</v>
      </c>
      <c r="H55" s="31">
        <f t="shared" si="11"/>
        <v>49150035.630000003</v>
      </c>
      <c r="I55" s="96"/>
      <c r="J55" s="49"/>
      <c r="K55" s="49"/>
    </row>
    <row r="56" spans="1:11" s="16" customFormat="1" ht="21.75" customHeight="1" thickTop="1" thickBot="1" x14ac:dyDescent="0.25">
      <c r="A56" s="116" t="s">
        <v>112</v>
      </c>
      <c r="B56" s="85"/>
      <c r="C56" s="85"/>
      <c r="D56" s="117" t="s">
        <v>113</v>
      </c>
      <c r="E56" s="36">
        <v>7458.77</v>
      </c>
      <c r="F56" s="36">
        <f t="shared" ref="F56:G57" si="13">SUM(F57)</f>
        <v>6987.71</v>
      </c>
      <c r="G56" s="36">
        <f t="shared" si="13"/>
        <v>0</v>
      </c>
      <c r="H56" s="36">
        <f t="shared" ref="H56:H58" si="14">SUM(E56+F56-G56)</f>
        <v>14446.48</v>
      </c>
      <c r="I56" s="96"/>
      <c r="J56" s="49"/>
      <c r="K56" s="49"/>
    </row>
    <row r="57" spans="1:11" s="16" customFormat="1" ht="12" customHeight="1" thickTop="1" x14ac:dyDescent="0.2">
      <c r="A57" s="118"/>
      <c r="B57" s="119" t="s">
        <v>114</v>
      </c>
      <c r="C57" s="120"/>
      <c r="D57" s="121" t="s">
        <v>115</v>
      </c>
      <c r="E57" s="39">
        <v>7458.77</v>
      </c>
      <c r="F57" s="40">
        <f t="shared" si="13"/>
        <v>6987.71</v>
      </c>
      <c r="G57" s="40">
        <f t="shared" si="13"/>
        <v>0</v>
      </c>
      <c r="H57" s="39">
        <f t="shared" si="14"/>
        <v>14446.48</v>
      </c>
      <c r="I57" s="96"/>
      <c r="J57" s="49"/>
      <c r="K57" s="49"/>
    </row>
    <row r="58" spans="1:11" s="16" customFormat="1" ht="12" customHeight="1" x14ac:dyDescent="0.2">
      <c r="A58" s="33"/>
      <c r="B58" s="37"/>
      <c r="C58" s="27"/>
      <c r="D58" s="690" t="s">
        <v>19</v>
      </c>
      <c r="E58" s="94">
        <v>7458.77</v>
      </c>
      <c r="F58" s="687">
        <f>SUM(F59)</f>
        <v>6987.71</v>
      </c>
      <c r="G58" s="687">
        <f>SUM(G59)</f>
        <v>0</v>
      </c>
      <c r="H58" s="94">
        <f t="shared" si="14"/>
        <v>14446.48</v>
      </c>
      <c r="I58" s="96"/>
      <c r="J58" s="49"/>
      <c r="K58" s="49"/>
    </row>
    <row r="59" spans="1:11" s="16" customFormat="1" ht="43.15" customHeight="1" x14ac:dyDescent="0.2">
      <c r="A59" s="33"/>
      <c r="B59" s="33"/>
      <c r="C59" s="59" t="s">
        <v>20</v>
      </c>
      <c r="D59" s="60" t="s">
        <v>21</v>
      </c>
      <c r="E59" s="42">
        <v>7458.77</v>
      </c>
      <c r="F59" s="43">
        <v>6987.71</v>
      </c>
      <c r="G59" s="43"/>
      <c r="H59" s="42">
        <f>SUM(E59+F59-G59)</f>
        <v>14446.48</v>
      </c>
      <c r="I59" s="96"/>
      <c r="J59" s="49"/>
      <c r="K59" s="49"/>
    </row>
    <row r="60" spans="1:11" s="16" customFormat="1" ht="12" customHeight="1" thickBot="1" x14ac:dyDescent="0.25">
      <c r="A60" s="32">
        <v>750</v>
      </c>
      <c r="B60" s="33"/>
      <c r="C60" s="34"/>
      <c r="D60" s="35" t="s">
        <v>14</v>
      </c>
      <c r="E60" s="36">
        <v>1909673.29</v>
      </c>
      <c r="F60" s="36">
        <f t="shared" ref="F60:G60" si="15">SUM(F61)</f>
        <v>303838.15000000002</v>
      </c>
      <c r="G60" s="36">
        <f t="shared" si="15"/>
        <v>0</v>
      </c>
      <c r="H60" s="36">
        <f t="shared" ref="H60:H65" si="16">SUM(E60+F60-G60)</f>
        <v>2213511.44</v>
      </c>
      <c r="I60" s="96"/>
      <c r="J60" s="49"/>
      <c r="K60" s="49"/>
    </row>
    <row r="61" spans="1:11" s="16" customFormat="1" ht="12" customHeight="1" thickTop="1" x14ac:dyDescent="0.2">
      <c r="A61" s="32"/>
      <c r="B61" s="26">
        <v>75011</v>
      </c>
      <c r="C61" s="85"/>
      <c r="D61" s="89" t="s">
        <v>116</v>
      </c>
      <c r="E61" s="39">
        <v>1909673.29</v>
      </c>
      <c r="F61" s="40">
        <f>SUM(F62,F64)</f>
        <v>303838.15000000002</v>
      </c>
      <c r="G61" s="40">
        <f>SUM(G62,G64)</f>
        <v>0</v>
      </c>
      <c r="H61" s="39">
        <f t="shared" si="16"/>
        <v>2213511.44</v>
      </c>
      <c r="I61" s="96"/>
      <c r="J61" s="49"/>
      <c r="K61" s="49"/>
    </row>
    <row r="62" spans="1:11" s="16" customFormat="1" ht="12" customHeight="1" x14ac:dyDescent="0.2">
      <c r="A62" s="32"/>
      <c r="B62" s="37"/>
      <c r="C62" s="27"/>
      <c r="D62" s="690" t="s">
        <v>19</v>
      </c>
      <c r="E62" s="94">
        <v>1906848.24</v>
      </c>
      <c r="F62" s="687">
        <f>SUM(F63)</f>
        <v>303375</v>
      </c>
      <c r="G62" s="687">
        <f>SUM(G63)</f>
        <v>0</v>
      </c>
      <c r="H62" s="94">
        <f t="shared" si="16"/>
        <v>2210223.2400000002</v>
      </c>
      <c r="I62" s="96"/>
      <c r="J62" s="49"/>
      <c r="K62" s="49"/>
    </row>
    <row r="63" spans="1:11" s="16" customFormat="1" ht="46.5" customHeight="1" x14ac:dyDescent="0.2">
      <c r="A63" s="32"/>
      <c r="B63" s="33"/>
      <c r="C63" s="59" t="s">
        <v>20</v>
      </c>
      <c r="D63" s="60" t="s">
        <v>21</v>
      </c>
      <c r="E63" s="42">
        <v>1906848.24</v>
      </c>
      <c r="F63" s="43">
        <v>303375</v>
      </c>
      <c r="G63" s="43"/>
      <c r="H63" s="42">
        <f t="shared" si="16"/>
        <v>2210223.2400000002</v>
      </c>
      <c r="I63" s="96"/>
      <c r="J63" s="49"/>
      <c r="K63" s="49"/>
    </row>
    <row r="64" spans="1:11" s="16" customFormat="1" ht="47.25" customHeight="1" x14ac:dyDescent="0.2">
      <c r="A64" s="33"/>
      <c r="B64" s="33"/>
      <c r="C64" s="27"/>
      <c r="D64" s="689" t="s">
        <v>117</v>
      </c>
      <c r="E64" s="94">
        <v>2825.05</v>
      </c>
      <c r="F64" s="687">
        <f>SUM(F65:F65)</f>
        <v>463.15</v>
      </c>
      <c r="G64" s="687">
        <f>SUM(G65:G65)</f>
        <v>0</v>
      </c>
      <c r="H64" s="94">
        <f t="shared" si="16"/>
        <v>3288.2000000000003</v>
      </c>
      <c r="I64" s="97"/>
      <c r="J64" s="49"/>
      <c r="K64" s="49"/>
    </row>
    <row r="65" spans="1:11" s="16" customFormat="1" ht="35.25" customHeight="1" x14ac:dyDescent="0.2">
      <c r="A65" s="33"/>
      <c r="B65" s="33"/>
      <c r="C65" s="59" t="s">
        <v>86</v>
      </c>
      <c r="D65" s="104" t="s">
        <v>87</v>
      </c>
      <c r="E65" s="43">
        <v>2825.05</v>
      </c>
      <c r="F65" s="43">
        <f>70.01+16.13+338.17+38.84</f>
        <v>463.15</v>
      </c>
      <c r="G65" s="44"/>
      <c r="H65" s="43">
        <f t="shared" si="16"/>
        <v>3288.2000000000003</v>
      </c>
      <c r="I65" s="96"/>
      <c r="J65" s="49"/>
      <c r="K65" s="49"/>
    </row>
    <row r="66" spans="1:11" s="16" customFormat="1" ht="12" customHeight="1" thickBot="1" x14ac:dyDescent="0.25">
      <c r="A66" s="33">
        <v>754</v>
      </c>
      <c r="B66" s="33"/>
      <c r="C66" s="34"/>
      <c r="D66" s="35" t="s">
        <v>67</v>
      </c>
      <c r="E66" s="36">
        <v>1987260</v>
      </c>
      <c r="F66" s="36">
        <f>SUM(F67)</f>
        <v>141072</v>
      </c>
      <c r="G66" s="36">
        <f>SUM(G67)</f>
        <v>0</v>
      </c>
      <c r="H66" s="36">
        <f>SUM(E66+F66-G66)</f>
        <v>2128332</v>
      </c>
      <c r="I66" s="96"/>
      <c r="J66" s="49"/>
      <c r="K66" s="49"/>
    </row>
    <row r="67" spans="1:11" s="16" customFormat="1" ht="12" customHeight="1" thickTop="1" x14ac:dyDescent="0.2">
      <c r="A67" s="37"/>
      <c r="B67" s="37">
        <v>75495</v>
      </c>
      <c r="C67" s="27"/>
      <c r="D67" s="38" t="s">
        <v>15</v>
      </c>
      <c r="E67" s="39">
        <v>1987260</v>
      </c>
      <c r="F67" s="40">
        <f>SUM(F68,F70)</f>
        <v>141072</v>
      </c>
      <c r="G67" s="40">
        <f>SUM(G70)</f>
        <v>0</v>
      </c>
      <c r="H67" s="39">
        <f>SUM(E67+F67-G67)</f>
        <v>2128332</v>
      </c>
      <c r="I67" s="96"/>
      <c r="J67" s="49"/>
      <c r="K67" s="49"/>
    </row>
    <row r="68" spans="1:11" s="16" customFormat="1" ht="22.5" customHeight="1" x14ac:dyDescent="0.2">
      <c r="A68" s="37"/>
      <c r="B68" s="37"/>
      <c r="C68" s="57"/>
      <c r="D68" s="689" t="s">
        <v>118</v>
      </c>
      <c r="E68" s="94">
        <v>299600</v>
      </c>
      <c r="F68" s="687">
        <f>SUM(F69:F69)</f>
        <v>13752</v>
      </c>
      <c r="G68" s="687">
        <f>SUM(G69:G69)</f>
        <v>0</v>
      </c>
      <c r="H68" s="94">
        <f t="shared" ref="H68:H71" si="17">SUM(E68+F68-G68)</f>
        <v>313352</v>
      </c>
      <c r="I68" s="97"/>
      <c r="J68" s="49"/>
      <c r="K68" s="49"/>
    </row>
    <row r="69" spans="1:11" s="16" customFormat="1" ht="35.25" customHeight="1" x14ac:dyDescent="0.2">
      <c r="A69" s="37"/>
      <c r="B69" s="37"/>
      <c r="C69" s="59" t="s">
        <v>86</v>
      </c>
      <c r="D69" s="104" t="s">
        <v>87</v>
      </c>
      <c r="E69" s="43">
        <v>299600</v>
      </c>
      <c r="F69" s="43">
        <f>13640+112</f>
        <v>13752</v>
      </c>
      <c r="G69" s="44"/>
      <c r="H69" s="43">
        <f t="shared" si="17"/>
        <v>313352</v>
      </c>
      <c r="I69" s="96"/>
      <c r="J69" s="49"/>
      <c r="K69" s="49"/>
    </row>
    <row r="70" spans="1:11" s="16" customFormat="1" ht="24" customHeight="1" x14ac:dyDescent="0.2">
      <c r="A70" s="54"/>
      <c r="B70" s="54"/>
      <c r="C70" s="59"/>
      <c r="D70" s="689" t="s">
        <v>119</v>
      </c>
      <c r="E70" s="94">
        <v>1687660</v>
      </c>
      <c r="F70" s="687">
        <f>SUM(F71:F71)</f>
        <v>127320</v>
      </c>
      <c r="G70" s="687">
        <f>SUM(G71:G71)</f>
        <v>0</v>
      </c>
      <c r="H70" s="94">
        <f t="shared" si="17"/>
        <v>1814980</v>
      </c>
      <c r="I70" s="97"/>
      <c r="J70" s="49"/>
      <c r="K70" s="49"/>
    </row>
    <row r="71" spans="1:11" s="16" customFormat="1" ht="36.75" customHeight="1" x14ac:dyDescent="0.2">
      <c r="A71" s="122"/>
      <c r="B71" s="122"/>
      <c r="C71" s="114" t="s">
        <v>86</v>
      </c>
      <c r="D71" s="115" t="s">
        <v>87</v>
      </c>
      <c r="E71" s="39">
        <v>1687660</v>
      </c>
      <c r="F71" s="39">
        <v>127320</v>
      </c>
      <c r="G71" s="40"/>
      <c r="H71" s="39">
        <f t="shared" si="17"/>
        <v>1814980</v>
      </c>
      <c r="I71" s="96"/>
      <c r="J71" s="49"/>
      <c r="K71" s="49"/>
    </row>
    <row r="72" spans="1:11" s="16" customFormat="1" ht="12" customHeight="1" thickBot="1" x14ac:dyDescent="0.25">
      <c r="A72" s="32">
        <v>801</v>
      </c>
      <c r="B72" s="33"/>
      <c r="C72" s="34"/>
      <c r="D72" s="35" t="s">
        <v>40</v>
      </c>
      <c r="E72" s="31">
        <v>825905.29</v>
      </c>
      <c r="F72" s="31">
        <f>SUM(F75)</f>
        <v>7033.72</v>
      </c>
      <c r="G72" s="31">
        <f>SUM(G75)</f>
        <v>0</v>
      </c>
      <c r="H72" s="31">
        <f>SUM(E72+F72-G72)</f>
        <v>832939.01</v>
      </c>
      <c r="I72" s="96"/>
      <c r="J72" s="49"/>
      <c r="K72" s="49"/>
    </row>
    <row r="73" spans="1:11" s="16" customFormat="1" ht="12" customHeight="1" thickTop="1" x14ac:dyDescent="0.2">
      <c r="A73" s="32"/>
      <c r="B73" s="37">
        <v>80153</v>
      </c>
      <c r="C73" s="34"/>
      <c r="D73" s="69" t="s">
        <v>91</v>
      </c>
      <c r="E73" s="62"/>
      <c r="F73" s="62"/>
      <c r="G73" s="62"/>
      <c r="H73" s="62"/>
      <c r="I73" s="96"/>
      <c r="J73" s="49"/>
      <c r="K73" s="49"/>
    </row>
    <row r="74" spans="1:11" s="16" customFormat="1" ht="12.75" customHeight="1" x14ac:dyDescent="0.2">
      <c r="A74" s="32"/>
      <c r="B74" s="33"/>
      <c r="C74" s="34"/>
      <c r="D74" s="69" t="s">
        <v>92</v>
      </c>
      <c r="E74" s="62"/>
      <c r="F74" s="62"/>
      <c r="G74" s="62"/>
      <c r="H74" s="62"/>
      <c r="I74" s="96"/>
      <c r="J74" s="49"/>
      <c r="K74" s="49"/>
    </row>
    <row r="75" spans="1:11" s="16" customFormat="1" ht="12" customHeight="1" x14ac:dyDescent="0.2">
      <c r="A75" s="33"/>
      <c r="B75" s="37"/>
      <c r="C75" s="27"/>
      <c r="D75" s="38" t="s">
        <v>93</v>
      </c>
      <c r="E75" s="39">
        <v>825905.29</v>
      </c>
      <c r="F75" s="39">
        <f>SUM(F76)</f>
        <v>7033.72</v>
      </c>
      <c r="G75" s="39">
        <f>SUM(G76)</f>
        <v>0</v>
      </c>
      <c r="H75" s="39">
        <f>SUM(E75+F75-G75)</f>
        <v>832939.01</v>
      </c>
      <c r="I75" s="96"/>
      <c r="J75" s="49"/>
      <c r="K75" s="49"/>
    </row>
    <row r="76" spans="1:11" s="16" customFormat="1" ht="12" customHeight="1" x14ac:dyDescent="0.2">
      <c r="A76" s="53"/>
      <c r="B76" s="37"/>
      <c r="C76" s="27"/>
      <c r="D76" s="690" t="s">
        <v>19</v>
      </c>
      <c r="E76" s="94">
        <v>825905.29</v>
      </c>
      <c r="F76" s="687">
        <f>SUM(F77)</f>
        <v>7033.72</v>
      </c>
      <c r="G76" s="687">
        <f>SUM(G77)</f>
        <v>0</v>
      </c>
      <c r="H76" s="94">
        <f>SUM(E76+F76-G76)</f>
        <v>832939.01</v>
      </c>
      <c r="I76" s="96"/>
      <c r="J76" s="49"/>
      <c r="K76" s="49"/>
    </row>
    <row r="77" spans="1:11" s="16" customFormat="1" ht="41.45" customHeight="1" x14ac:dyDescent="0.2">
      <c r="A77" s="33"/>
      <c r="B77" s="33"/>
      <c r="C77" s="59" t="s">
        <v>20</v>
      </c>
      <c r="D77" s="60" t="s">
        <v>21</v>
      </c>
      <c r="E77" s="42">
        <v>825905.29</v>
      </c>
      <c r="F77" s="43">
        <v>7033.72</v>
      </c>
      <c r="G77" s="43"/>
      <c r="H77" s="42">
        <f t="shared" ref="H77" si="18">SUM(E77+F77-G77)</f>
        <v>832939.01</v>
      </c>
      <c r="I77" s="96"/>
      <c r="J77" s="49"/>
      <c r="K77" s="49"/>
    </row>
    <row r="78" spans="1:11" s="16" customFormat="1" ht="12" customHeight="1" thickBot="1" x14ac:dyDescent="0.25">
      <c r="A78" s="33">
        <v>852</v>
      </c>
      <c r="B78" s="33"/>
      <c r="C78" s="34"/>
      <c r="D78" s="35" t="s">
        <v>30</v>
      </c>
      <c r="E78" s="31">
        <v>4190364</v>
      </c>
      <c r="F78" s="36">
        <f>SUM(F79,F82)</f>
        <v>287861</v>
      </c>
      <c r="G78" s="36">
        <f>SUM(G79,G82)</f>
        <v>0</v>
      </c>
      <c r="H78" s="36">
        <f>SUM(E78+F78-G78)</f>
        <v>4478225</v>
      </c>
      <c r="I78" s="96"/>
      <c r="J78" s="49"/>
      <c r="K78" s="49"/>
    </row>
    <row r="79" spans="1:11" s="16" customFormat="1" ht="12" customHeight="1" thickTop="1" x14ac:dyDescent="0.2">
      <c r="A79" s="54"/>
      <c r="B79" s="37">
        <v>85219</v>
      </c>
      <c r="C79" s="27"/>
      <c r="D79" s="38" t="s">
        <v>103</v>
      </c>
      <c r="E79" s="39">
        <v>53261</v>
      </c>
      <c r="F79" s="40">
        <f t="shared" ref="F79:G80" si="19">SUM(F80)</f>
        <v>14316</v>
      </c>
      <c r="G79" s="40">
        <f t="shared" si="19"/>
        <v>0</v>
      </c>
      <c r="H79" s="39">
        <f t="shared" ref="H79:H102" si="20">SUM(E79+F79-G79)</f>
        <v>67577</v>
      </c>
      <c r="I79" s="96"/>
      <c r="J79" s="49"/>
      <c r="K79" s="49"/>
    </row>
    <row r="80" spans="1:11" s="16" customFormat="1" ht="12" customHeight="1" x14ac:dyDescent="0.2">
      <c r="A80" s="54"/>
      <c r="B80" s="37"/>
      <c r="C80" s="27"/>
      <c r="D80" s="690" t="s">
        <v>19</v>
      </c>
      <c r="E80" s="94">
        <v>53261</v>
      </c>
      <c r="F80" s="687">
        <f t="shared" si="19"/>
        <v>14316</v>
      </c>
      <c r="G80" s="687">
        <f t="shared" si="19"/>
        <v>0</v>
      </c>
      <c r="H80" s="94">
        <f t="shared" si="20"/>
        <v>67577</v>
      </c>
      <c r="I80" s="96"/>
      <c r="J80" s="49"/>
      <c r="K80" s="49"/>
    </row>
    <row r="81" spans="1:11" s="16" customFormat="1" ht="45" customHeight="1" x14ac:dyDescent="0.2">
      <c r="A81" s="54"/>
      <c r="B81" s="33"/>
      <c r="C81" s="59" t="s">
        <v>20</v>
      </c>
      <c r="D81" s="60" t="s">
        <v>21</v>
      </c>
      <c r="E81" s="42">
        <v>53261</v>
      </c>
      <c r="F81" s="43">
        <v>14316</v>
      </c>
      <c r="G81" s="43"/>
      <c r="H81" s="42">
        <f t="shared" si="20"/>
        <v>67577</v>
      </c>
      <c r="I81" s="96"/>
      <c r="J81" s="49"/>
      <c r="K81" s="49"/>
    </row>
    <row r="82" spans="1:11" s="16" customFormat="1" ht="12" customHeight="1" x14ac:dyDescent="0.2">
      <c r="A82" s="54"/>
      <c r="B82" s="37">
        <v>85228</v>
      </c>
      <c r="C82" s="27"/>
      <c r="D82" s="63" t="s">
        <v>120</v>
      </c>
      <c r="E82" s="39">
        <v>2880500</v>
      </c>
      <c r="F82" s="40">
        <f t="shared" ref="F82:G83" si="21">SUM(F83)</f>
        <v>273545</v>
      </c>
      <c r="G82" s="40">
        <f t="shared" si="21"/>
        <v>0</v>
      </c>
      <c r="H82" s="39">
        <f t="shared" si="20"/>
        <v>3154045</v>
      </c>
      <c r="I82" s="96"/>
      <c r="J82" s="49"/>
      <c r="K82" s="49"/>
    </row>
    <row r="83" spans="1:11" s="16" customFormat="1" ht="12" customHeight="1" x14ac:dyDescent="0.2">
      <c r="A83" s="54"/>
      <c r="B83" s="37"/>
      <c r="C83" s="27"/>
      <c r="D83" s="690" t="s">
        <v>19</v>
      </c>
      <c r="E83" s="94">
        <v>2880500</v>
      </c>
      <c r="F83" s="687">
        <f t="shared" si="21"/>
        <v>273545</v>
      </c>
      <c r="G83" s="687">
        <f t="shared" si="21"/>
        <v>0</v>
      </c>
      <c r="H83" s="94">
        <f t="shared" si="20"/>
        <v>3154045</v>
      </c>
      <c r="I83" s="96"/>
      <c r="J83" s="49"/>
      <c r="K83" s="49"/>
    </row>
    <row r="84" spans="1:11" s="16" customFormat="1" ht="47.25" customHeight="1" x14ac:dyDescent="0.2">
      <c r="A84" s="54"/>
      <c r="B84" s="33"/>
      <c r="C84" s="59" t="s">
        <v>20</v>
      </c>
      <c r="D84" s="60" t="s">
        <v>21</v>
      </c>
      <c r="E84" s="42">
        <v>2880500</v>
      </c>
      <c r="F84" s="43">
        <v>273545</v>
      </c>
      <c r="G84" s="43"/>
      <c r="H84" s="42">
        <f t="shared" si="20"/>
        <v>3154045</v>
      </c>
      <c r="I84" s="96"/>
      <c r="J84" s="49"/>
      <c r="K84" s="49"/>
    </row>
    <row r="85" spans="1:11" s="16" customFormat="1" ht="12" customHeight="1" thickBot="1" x14ac:dyDescent="0.25">
      <c r="A85" s="33">
        <v>853</v>
      </c>
      <c r="B85" s="33"/>
      <c r="C85" s="34"/>
      <c r="D85" s="35" t="s">
        <v>71</v>
      </c>
      <c r="E85" s="36">
        <v>408582.7</v>
      </c>
      <c r="F85" s="36">
        <f>SUM(F86)</f>
        <v>4284</v>
      </c>
      <c r="G85" s="36">
        <f>SUM(G86)</f>
        <v>0</v>
      </c>
      <c r="H85" s="36">
        <f t="shared" si="20"/>
        <v>412866.7</v>
      </c>
      <c r="I85" s="96"/>
      <c r="J85" s="49"/>
      <c r="K85" s="49"/>
    </row>
    <row r="86" spans="1:11" s="16" customFormat="1" ht="12" customHeight="1" thickTop="1" x14ac:dyDescent="0.2">
      <c r="A86" s="33"/>
      <c r="B86" s="37">
        <v>85395</v>
      </c>
      <c r="C86" s="27"/>
      <c r="D86" s="38" t="s">
        <v>15</v>
      </c>
      <c r="E86" s="39">
        <v>408582.7</v>
      </c>
      <c r="F86" s="40">
        <f t="shared" ref="F86:G86" si="22">SUM(F87)</f>
        <v>4284</v>
      </c>
      <c r="G86" s="40">
        <f t="shared" si="22"/>
        <v>0</v>
      </c>
      <c r="H86" s="39">
        <f t="shared" si="20"/>
        <v>412866.7</v>
      </c>
      <c r="I86" s="96"/>
      <c r="J86" s="49"/>
      <c r="K86" s="49"/>
    </row>
    <row r="87" spans="1:11" s="16" customFormat="1" ht="18.75" customHeight="1" x14ac:dyDescent="0.2">
      <c r="A87" s="33"/>
      <c r="B87" s="37"/>
      <c r="C87" s="27"/>
      <c r="D87" s="686" t="s">
        <v>121</v>
      </c>
      <c r="E87" s="94">
        <v>30294</v>
      </c>
      <c r="F87" s="687">
        <f>SUM(F88:F88)</f>
        <v>4284</v>
      </c>
      <c r="G87" s="687">
        <f>SUM(G88:G88)</f>
        <v>0</v>
      </c>
      <c r="H87" s="94">
        <f t="shared" si="20"/>
        <v>34578</v>
      </c>
      <c r="I87" s="97"/>
      <c r="J87" s="49"/>
      <c r="K87" s="49"/>
    </row>
    <row r="88" spans="1:11" s="16" customFormat="1" ht="33.75" customHeight="1" x14ac:dyDescent="0.2">
      <c r="A88" s="33"/>
      <c r="B88" s="37"/>
      <c r="C88" s="59" t="s">
        <v>86</v>
      </c>
      <c r="D88" s="104" t="s">
        <v>87</v>
      </c>
      <c r="E88" s="43">
        <v>30294</v>
      </c>
      <c r="F88" s="43">
        <v>4284</v>
      </c>
      <c r="G88" s="44"/>
      <c r="H88" s="43">
        <f t="shared" si="20"/>
        <v>34578</v>
      </c>
      <c r="I88" s="96"/>
      <c r="J88" s="49"/>
      <c r="K88" s="49"/>
    </row>
    <row r="89" spans="1:11" s="16" customFormat="1" ht="12" customHeight="1" thickBot="1" x14ac:dyDescent="0.25">
      <c r="A89" s="33">
        <v>855</v>
      </c>
      <c r="B89" s="33"/>
      <c r="C89" s="34"/>
      <c r="D89" s="35" t="s">
        <v>22</v>
      </c>
      <c r="E89" s="36">
        <v>38058140</v>
      </c>
      <c r="F89" s="36">
        <f>SUM(F90,F94,F99)</f>
        <v>359708</v>
      </c>
      <c r="G89" s="36">
        <f>SUM(G99)</f>
        <v>0</v>
      </c>
      <c r="H89" s="36">
        <f>SUM(E89+F89-G89)</f>
        <v>38417848</v>
      </c>
      <c r="I89" s="96"/>
      <c r="J89" s="49"/>
      <c r="K89" s="49"/>
    </row>
    <row r="90" spans="1:11" s="16" customFormat="1" ht="33.75" customHeight="1" thickTop="1" x14ac:dyDescent="0.2">
      <c r="A90" s="33"/>
      <c r="B90" s="64">
        <v>85502</v>
      </c>
      <c r="C90" s="27"/>
      <c r="D90" s="123" t="s">
        <v>122</v>
      </c>
      <c r="E90" s="39">
        <v>37590419</v>
      </c>
      <c r="F90" s="40">
        <f t="shared" ref="F90:G90" si="23">SUM(F91)</f>
        <v>307406</v>
      </c>
      <c r="G90" s="40">
        <f t="shared" si="23"/>
        <v>0</v>
      </c>
      <c r="H90" s="39">
        <f>SUM(E90+F90-G90)</f>
        <v>37897825</v>
      </c>
      <c r="I90" s="96"/>
      <c r="J90" s="49"/>
      <c r="K90" s="49"/>
    </row>
    <row r="91" spans="1:11" s="16" customFormat="1" ht="12" customHeight="1" x14ac:dyDescent="0.2">
      <c r="A91" s="33"/>
      <c r="B91" s="37"/>
      <c r="C91" s="27"/>
      <c r="D91" s="690" t="s">
        <v>19</v>
      </c>
      <c r="E91" s="94">
        <v>37590419</v>
      </c>
      <c r="F91" s="687">
        <f>SUM(F92:F93)</f>
        <v>307406</v>
      </c>
      <c r="G91" s="687">
        <f>SUM(G92:G93)</f>
        <v>0</v>
      </c>
      <c r="H91" s="94">
        <f>SUM(E91+F91-G91)</f>
        <v>37897825</v>
      </c>
      <c r="I91" s="96"/>
      <c r="J91" s="49"/>
      <c r="K91" s="49"/>
    </row>
    <row r="92" spans="1:11" s="16" customFormat="1" ht="46.5" customHeight="1" x14ac:dyDescent="0.2">
      <c r="A92" s="33"/>
      <c r="B92" s="33"/>
      <c r="C92" s="59" t="s">
        <v>20</v>
      </c>
      <c r="D92" s="60" t="s">
        <v>21</v>
      </c>
      <c r="E92" s="42">
        <v>37490044</v>
      </c>
      <c r="F92" s="44">
        <f>67011+235213</f>
        <v>302224</v>
      </c>
      <c r="G92" s="44"/>
      <c r="H92" s="42">
        <f t="shared" ref="H92" si="24">SUM(E92+F92-G92)</f>
        <v>37792268</v>
      </c>
      <c r="I92" s="96"/>
      <c r="J92" s="49"/>
      <c r="K92" s="49"/>
    </row>
    <row r="93" spans="1:11" s="16" customFormat="1" ht="58.5" customHeight="1" x14ac:dyDescent="0.2">
      <c r="A93" s="33"/>
      <c r="B93" s="33"/>
      <c r="C93" s="59" t="s">
        <v>123</v>
      </c>
      <c r="D93" s="104" t="s">
        <v>124</v>
      </c>
      <c r="E93" s="42">
        <v>100375</v>
      </c>
      <c r="F93" s="44">
        <v>5182</v>
      </c>
      <c r="G93" s="44"/>
      <c r="H93" s="42">
        <f>SUM(E93+F93-G93)</f>
        <v>105557</v>
      </c>
      <c r="I93" s="96"/>
      <c r="J93" s="49"/>
      <c r="K93" s="49"/>
    </row>
    <row r="94" spans="1:11" s="16" customFormat="1" ht="12" customHeight="1" x14ac:dyDescent="0.2">
      <c r="A94" s="33"/>
      <c r="B94" s="26">
        <v>85503</v>
      </c>
      <c r="C94" s="37"/>
      <c r="D94" s="38" t="s">
        <v>125</v>
      </c>
      <c r="E94" s="39">
        <v>11687</v>
      </c>
      <c r="F94" s="40">
        <f t="shared" ref="F94:G94" si="25">SUM(F95)</f>
        <v>2500</v>
      </c>
      <c r="G94" s="40">
        <f t="shared" si="25"/>
        <v>0</v>
      </c>
      <c r="H94" s="39">
        <f>SUM(E94+F94-G94)</f>
        <v>14187</v>
      </c>
      <c r="I94" s="96"/>
      <c r="J94" s="49"/>
      <c r="K94" s="49"/>
    </row>
    <row r="95" spans="1:11" s="16" customFormat="1" ht="12" customHeight="1" x14ac:dyDescent="0.2">
      <c r="A95" s="33"/>
      <c r="B95" s="37"/>
      <c r="C95" s="27"/>
      <c r="D95" s="690" t="s">
        <v>19</v>
      </c>
      <c r="E95" s="94">
        <v>11687</v>
      </c>
      <c r="F95" s="687">
        <f>SUM(F96)</f>
        <v>2500</v>
      </c>
      <c r="G95" s="687">
        <f>SUM(G96)</f>
        <v>0</v>
      </c>
      <c r="H95" s="94">
        <f>SUM(E95+F95-G95)</f>
        <v>14187</v>
      </c>
      <c r="I95" s="96"/>
      <c r="J95" s="49"/>
      <c r="K95" s="49"/>
    </row>
    <row r="96" spans="1:11" s="16" customFormat="1" ht="33" customHeight="1" x14ac:dyDescent="0.2">
      <c r="A96" s="33"/>
      <c r="B96" s="33"/>
      <c r="C96" s="59" t="s">
        <v>20</v>
      </c>
      <c r="D96" s="60" t="s">
        <v>21</v>
      </c>
      <c r="E96" s="42">
        <v>11687</v>
      </c>
      <c r="F96" s="44">
        <v>2500</v>
      </c>
      <c r="G96" s="44"/>
      <c r="H96" s="42">
        <f t="shared" ref="H96" si="26">SUM(E96+F96-G96)</f>
        <v>14187</v>
      </c>
      <c r="I96" s="96"/>
      <c r="J96" s="49"/>
      <c r="K96" s="49"/>
    </row>
    <row r="97" spans="1:11" s="16" customFormat="1" ht="12" customHeight="1" x14ac:dyDescent="0.2">
      <c r="A97" s="33"/>
      <c r="B97" s="37">
        <v>85513</v>
      </c>
      <c r="C97" s="27"/>
      <c r="D97" s="56" t="s">
        <v>23</v>
      </c>
      <c r="E97" s="42"/>
      <c r="F97" s="43"/>
      <c r="G97" s="43"/>
      <c r="H97" s="42"/>
      <c r="I97" s="96"/>
      <c r="J97" s="49"/>
      <c r="K97" s="49"/>
    </row>
    <row r="98" spans="1:11" s="16" customFormat="1" ht="12" customHeight="1" x14ac:dyDescent="0.2">
      <c r="A98" s="33"/>
      <c r="B98" s="54"/>
      <c r="C98" s="27"/>
      <c r="D98" s="61" t="s">
        <v>24</v>
      </c>
      <c r="E98" s="42"/>
      <c r="F98" s="43"/>
      <c r="G98" s="43"/>
      <c r="H98" s="42"/>
      <c r="I98" s="96"/>
      <c r="J98" s="49"/>
      <c r="K98" s="49"/>
    </row>
    <row r="99" spans="1:11" s="16" customFormat="1" ht="12" customHeight="1" x14ac:dyDescent="0.2">
      <c r="A99" s="33"/>
      <c r="B99" s="37"/>
      <c r="C99" s="27"/>
      <c r="D99" s="38" t="s">
        <v>63</v>
      </c>
      <c r="E99" s="39">
        <v>456034</v>
      </c>
      <c r="F99" s="40">
        <f t="shared" ref="F99:G100" si="27">SUM(F100)</f>
        <v>49802</v>
      </c>
      <c r="G99" s="40">
        <f t="shared" si="27"/>
        <v>0</v>
      </c>
      <c r="H99" s="39">
        <f t="shared" ref="H99:H101" si="28">SUM(E99+F99-G99)</f>
        <v>505836</v>
      </c>
      <c r="I99" s="96"/>
      <c r="J99" s="49"/>
      <c r="K99" s="49"/>
    </row>
    <row r="100" spans="1:11" s="16" customFormat="1" ht="12" customHeight="1" x14ac:dyDescent="0.2">
      <c r="A100" s="33"/>
      <c r="B100" s="37"/>
      <c r="C100" s="27"/>
      <c r="D100" s="690" t="s">
        <v>19</v>
      </c>
      <c r="E100" s="94">
        <v>456034</v>
      </c>
      <c r="F100" s="687">
        <f t="shared" si="27"/>
        <v>49802</v>
      </c>
      <c r="G100" s="687">
        <f t="shared" si="27"/>
        <v>0</v>
      </c>
      <c r="H100" s="94">
        <f t="shared" si="28"/>
        <v>505836</v>
      </c>
      <c r="I100" s="96"/>
      <c r="J100" s="49"/>
      <c r="K100" s="49"/>
    </row>
    <row r="101" spans="1:11" s="16" customFormat="1" ht="44.25" customHeight="1" x14ac:dyDescent="0.2">
      <c r="A101" s="33"/>
      <c r="B101" s="33"/>
      <c r="C101" s="59" t="s">
        <v>20</v>
      </c>
      <c r="D101" s="60" t="s">
        <v>21</v>
      </c>
      <c r="E101" s="42">
        <v>456034</v>
      </c>
      <c r="F101" s="43">
        <v>49802</v>
      </c>
      <c r="G101" s="43"/>
      <c r="H101" s="42">
        <f t="shared" si="28"/>
        <v>505836</v>
      </c>
      <c r="I101" s="96"/>
      <c r="J101" s="49"/>
      <c r="K101" s="49"/>
    </row>
    <row r="102" spans="1:11" s="16" customFormat="1" ht="15.75" customHeight="1" thickBot="1" x14ac:dyDescent="0.25">
      <c r="A102" s="54"/>
      <c r="B102" s="54"/>
      <c r="C102" s="27"/>
      <c r="D102" s="30" t="s">
        <v>25</v>
      </c>
      <c r="E102" s="31">
        <v>21756740.029999997</v>
      </c>
      <c r="F102" s="31">
        <f>SUM(F103,F108,F112,F116)</f>
        <v>7845.62</v>
      </c>
      <c r="G102" s="31">
        <f>SUM(G103,G108,G112,G116)</f>
        <v>0</v>
      </c>
      <c r="H102" s="31">
        <f t="shared" si="20"/>
        <v>21764585.649999999</v>
      </c>
      <c r="I102" s="96"/>
      <c r="J102" s="49"/>
      <c r="K102" s="49"/>
    </row>
    <row r="103" spans="1:11" s="16" customFormat="1" ht="16.5" customHeight="1" thickTop="1" thickBot="1" x14ac:dyDescent="0.25">
      <c r="A103" s="32">
        <v>750</v>
      </c>
      <c r="B103" s="33"/>
      <c r="C103" s="34"/>
      <c r="D103" s="35" t="s">
        <v>14</v>
      </c>
      <c r="E103" s="31">
        <v>125000</v>
      </c>
      <c r="F103" s="31">
        <f t="shared" ref="F103:G105" si="29">SUM(F104)</f>
        <v>5941</v>
      </c>
      <c r="G103" s="31">
        <f t="shared" si="29"/>
        <v>0</v>
      </c>
      <c r="H103" s="31">
        <f>SUM(E103+F103-G103)</f>
        <v>130941</v>
      </c>
      <c r="I103" s="96"/>
      <c r="J103" s="49"/>
      <c r="K103" s="49"/>
    </row>
    <row r="104" spans="1:11" s="16" customFormat="1" ht="12" customHeight="1" thickTop="1" x14ac:dyDescent="0.2">
      <c r="A104" s="32"/>
      <c r="B104" s="26">
        <v>75011</v>
      </c>
      <c r="C104" s="85"/>
      <c r="D104" s="89" t="s">
        <v>116</v>
      </c>
      <c r="E104" s="39">
        <v>125000</v>
      </c>
      <c r="F104" s="39">
        <f t="shared" si="29"/>
        <v>5941</v>
      </c>
      <c r="G104" s="39">
        <f t="shared" si="29"/>
        <v>0</v>
      </c>
      <c r="H104" s="39">
        <f>SUM(E104+F104-G104)</f>
        <v>130941</v>
      </c>
      <c r="I104" s="96"/>
      <c r="J104" s="49"/>
      <c r="K104" s="49"/>
    </row>
    <row r="105" spans="1:11" s="16" customFormat="1" ht="12" customHeight="1" x14ac:dyDescent="0.2">
      <c r="A105" s="54"/>
      <c r="B105" s="37"/>
      <c r="C105" s="27"/>
      <c r="D105" s="690" t="s">
        <v>19</v>
      </c>
      <c r="E105" s="94">
        <v>125000</v>
      </c>
      <c r="F105" s="687">
        <f t="shared" si="29"/>
        <v>5941</v>
      </c>
      <c r="G105" s="687">
        <f t="shared" si="29"/>
        <v>0</v>
      </c>
      <c r="H105" s="94">
        <f>SUM(E105+F105-G105)</f>
        <v>130941</v>
      </c>
      <c r="I105" s="96"/>
      <c r="J105" s="49"/>
      <c r="K105" s="49"/>
    </row>
    <row r="106" spans="1:11" s="16" customFormat="1" ht="33" customHeight="1" x14ac:dyDescent="0.2">
      <c r="A106" s="113"/>
      <c r="B106" s="122"/>
      <c r="C106" s="124">
        <v>2110</v>
      </c>
      <c r="D106" s="123" t="s">
        <v>29</v>
      </c>
      <c r="E106" s="125">
        <v>125000</v>
      </c>
      <c r="F106" s="126">
        <v>5941</v>
      </c>
      <c r="G106" s="126"/>
      <c r="H106" s="125">
        <f t="shared" ref="H106" si="30">SUM(E106+F106-G106)</f>
        <v>130941</v>
      </c>
      <c r="I106" s="96"/>
      <c r="J106" s="49"/>
      <c r="K106" s="49"/>
    </row>
    <row r="107" spans="1:11" s="16" customFormat="1" ht="12" customHeight="1" x14ac:dyDescent="0.2">
      <c r="A107" s="32">
        <v>754</v>
      </c>
      <c r="B107" s="33"/>
      <c r="C107" s="34"/>
      <c r="D107" s="35" t="s">
        <v>26</v>
      </c>
      <c r="E107" s="62"/>
      <c r="F107" s="62"/>
      <c r="G107" s="62"/>
      <c r="H107" s="62"/>
      <c r="I107" s="96"/>
      <c r="J107" s="49"/>
      <c r="K107" s="49"/>
    </row>
    <row r="108" spans="1:11" s="16" customFormat="1" ht="12" customHeight="1" thickBot="1" x14ac:dyDescent="0.25">
      <c r="A108" s="32"/>
      <c r="B108" s="33"/>
      <c r="C108" s="34"/>
      <c r="D108" s="35" t="s">
        <v>27</v>
      </c>
      <c r="E108" s="31">
        <v>18470572.579999998</v>
      </c>
      <c r="F108" s="31">
        <f t="shared" ref="F108:H110" si="31">SUM(F109)</f>
        <v>502.74</v>
      </c>
      <c r="G108" s="31">
        <f t="shared" si="31"/>
        <v>0</v>
      </c>
      <c r="H108" s="31">
        <f t="shared" si="31"/>
        <v>18471075.319999997</v>
      </c>
      <c r="I108" s="96"/>
      <c r="J108" s="49"/>
      <c r="K108" s="49"/>
    </row>
    <row r="109" spans="1:11" s="16" customFormat="1" ht="12" customHeight="1" thickTop="1" x14ac:dyDescent="0.2">
      <c r="A109" s="53"/>
      <c r="B109" s="37">
        <v>75411</v>
      </c>
      <c r="C109" s="27"/>
      <c r="D109" s="63" t="s">
        <v>28</v>
      </c>
      <c r="E109" s="39">
        <v>18470572.579999998</v>
      </c>
      <c r="F109" s="39">
        <f t="shared" si="31"/>
        <v>502.74</v>
      </c>
      <c r="G109" s="39">
        <f t="shared" si="31"/>
        <v>0</v>
      </c>
      <c r="H109" s="39">
        <f t="shared" si="31"/>
        <v>18471075.319999997</v>
      </c>
      <c r="I109" s="96"/>
      <c r="J109" s="49"/>
      <c r="K109" s="49"/>
    </row>
    <row r="110" spans="1:11" s="16" customFormat="1" ht="12" customHeight="1" x14ac:dyDescent="0.2">
      <c r="A110" s="54"/>
      <c r="B110" s="37"/>
      <c r="C110" s="27"/>
      <c r="D110" s="690" t="s">
        <v>19</v>
      </c>
      <c r="E110" s="94">
        <v>18470572.579999998</v>
      </c>
      <c r="F110" s="94">
        <f t="shared" si="31"/>
        <v>502.74</v>
      </c>
      <c r="G110" s="94">
        <f t="shared" si="31"/>
        <v>0</v>
      </c>
      <c r="H110" s="94">
        <f t="shared" si="31"/>
        <v>18471075.319999997</v>
      </c>
      <c r="I110" s="96"/>
      <c r="J110" s="49"/>
      <c r="K110" s="49"/>
    </row>
    <row r="111" spans="1:11" s="16" customFormat="1" ht="33" customHeight="1" x14ac:dyDescent="0.2">
      <c r="A111" s="33"/>
      <c r="B111" s="54"/>
      <c r="C111" s="64">
        <v>2110</v>
      </c>
      <c r="D111" s="65" t="s">
        <v>29</v>
      </c>
      <c r="E111" s="42">
        <v>18470572.579999998</v>
      </c>
      <c r="F111" s="43">
        <v>502.74</v>
      </c>
      <c r="G111" s="43"/>
      <c r="H111" s="42">
        <f t="shared" ref="H111:H115" si="32">SUM(E111+F111-G111)</f>
        <v>18471075.319999997</v>
      </c>
      <c r="I111" s="96"/>
      <c r="J111" s="49"/>
      <c r="K111" s="49"/>
    </row>
    <row r="112" spans="1:11" s="16" customFormat="1" ht="12" customHeight="1" thickBot="1" x14ac:dyDescent="0.25">
      <c r="A112" s="55" t="s">
        <v>126</v>
      </c>
      <c r="B112" s="55"/>
      <c r="C112" s="127"/>
      <c r="D112" s="128" t="s">
        <v>40</v>
      </c>
      <c r="E112" s="129">
        <v>52495.45</v>
      </c>
      <c r="F112" s="129">
        <f t="shared" ref="F112:H113" si="33">SUM(F113)</f>
        <v>1201.8800000000001</v>
      </c>
      <c r="G112" s="129">
        <f t="shared" si="33"/>
        <v>0</v>
      </c>
      <c r="H112" s="129">
        <f t="shared" si="33"/>
        <v>53697.329999999994</v>
      </c>
      <c r="I112" s="96"/>
      <c r="J112" s="49"/>
      <c r="K112" s="49"/>
    </row>
    <row r="113" spans="1:12" s="16" customFormat="1" ht="33" customHeight="1" thickTop="1" x14ac:dyDescent="0.2">
      <c r="A113" s="33"/>
      <c r="B113" s="37">
        <v>80153</v>
      </c>
      <c r="C113" s="64"/>
      <c r="D113" s="123" t="s">
        <v>127</v>
      </c>
      <c r="E113" s="130">
        <v>52495.45</v>
      </c>
      <c r="F113" s="39">
        <f>SUM(F114)</f>
        <v>1201.8800000000001</v>
      </c>
      <c r="G113" s="39">
        <f t="shared" si="33"/>
        <v>0</v>
      </c>
      <c r="H113" s="39">
        <f t="shared" si="33"/>
        <v>53697.329999999994</v>
      </c>
      <c r="I113" s="96"/>
      <c r="J113" s="49"/>
      <c r="K113" s="49"/>
    </row>
    <row r="114" spans="1:12" s="16" customFormat="1" ht="12" customHeight="1" x14ac:dyDescent="0.2">
      <c r="A114" s="33"/>
      <c r="B114" s="54"/>
      <c r="C114" s="64"/>
      <c r="D114" s="691" t="s">
        <v>78</v>
      </c>
      <c r="E114" s="131">
        <v>52495.45</v>
      </c>
      <c r="F114" s="95">
        <f>SUM(F115)</f>
        <v>1201.8800000000001</v>
      </c>
      <c r="G114" s="95">
        <f>SUM(G115)</f>
        <v>0</v>
      </c>
      <c r="H114" s="131">
        <f>SUM(E114+F114-G114)</f>
        <v>53697.329999999994</v>
      </c>
      <c r="I114" s="96"/>
      <c r="J114" s="49"/>
      <c r="K114" s="49"/>
    </row>
    <row r="115" spans="1:12" s="16" customFormat="1" ht="33" customHeight="1" x14ac:dyDescent="0.2">
      <c r="A115" s="33"/>
      <c r="B115" s="54"/>
      <c r="C115" s="64">
        <v>2110</v>
      </c>
      <c r="D115" s="65" t="s">
        <v>29</v>
      </c>
      <c r="E115" s="42">
        <v>52495.45</v>
      </c>
      <c r="F115" s="43">
        <v>1201.8800000000001</v>
      </c>
      <c r="G115" s="43"/>
      <c r="H115" s="42">
        <f t="shared" si="32"/>
        <v>53697.329999999994</v>
      </c>
      <c r="I115" s="96"/>
      <c r="J115" s="49"/>
      <c r="K115" s="49"/>
    </row>
    <row r="116" spans="1:12" s="16" customFormat="1" ht="12" customHeight="1" thickBot="1" x14ac:dyDescent="0.25">
      <c r="A116" s="32">
        <v>853</v>
      </c>
      <c r="B116" s="33"/>
      <c r="C116" s="34"/>
      <c r="D116" s="35" t="s">
        <v>71</v>
      </c>
      <c r="E116" s="31">
        <v>538099</v>
      </c>
      <c r="F116" s="31">
        <f>SUM(F117)</f>
        <v>200</v>
      </c>
      <c r="G116" s="31">
        <f t="shared" ref="F116:G118" si="34">SUM(G117)</f>
        <v>0</v>
      </c>
      <c r="H116" s="31">
        <f>SUM(E116+F116-G116)</f>
        <v>538299</v>
      </c>
      <c r="I116" s="96"/>
      <c r="J116" s="49"/>
      <c r="K116" s="49"/>
    </row>
    <row r="117" spans="1:12" s="16" customFormat="1" ht="12" customHeight="1" thickTop="1" x14ac:dyDescent="0.2">
      <c r="A117" s="32"/>
      <c r="B117" s="37">
        <v>85321</v>
      </c>
      <c r="C117" s="27"/>
      <c r="D117" s="38" t="s">
        <v>72</v>
      </c>
      <c r="E117" s="39">
        <v>508300</v>
      </c>
      <c r="F117" s="39">
        <f>SUM(F118)</f>
        <v>200</v>
      </c>
      <c r="G117" s="39">
        <f t="shared" si="34"/>
        <v>0</v>
      </c>
      <c r="H117" s="39">
        <f>SUM(E117+F117-G117)</f>
        <v>508500</v>
      </c>
      <c r="I117" s="96"/>
      <c r="J117" s="49"/>
      <c r="K117" s="49"/>
    </row>
    <row r="118" spans="1:12" s="16" customFormat="1" ht="35.25" customHeight="1" x14ac:dyDescent="0.2">
      <c r="A118" s="54"/>
      <c r="B118" s="37"/>
      <c r="C118" s="27"/>
      <c r="D118" s="692" t="s">
        <v>128</v>
      </c>
      <c r="E118" s="94">
        <v>800</v>
      </c>
      <c r="F118" s="687">
        <f t="shared" si="34"/>
        <v>200</v>
      </c>
      <c r="G118" s="687">
        <f t="shared" si="34"/>
        <v>0</v>
      </c>
      <c r="H118" s="94">
        <f>SUM(E118+F118-G118)</f>
        <v>1000</v>
      </c>
      <c r="I118" s="96"/>
      <c r="J118" s="49"/>
      <c r="K118" s="49"/>
    </row>
    <row r="119" spans="1:12" s="16" customFormat="1" ht="33" customHeight="1" x14ac:dyDescent="0.2">
      <c r="A119" s="33"/>
      <c r="B119" s="54"/>
      <c r="C119" s="59" t="s">
        <v>86</v>
      </c>
      <c r="D119" s="104" t="s">
        <v>87</v>
      </c>
      <c r="E119" s="42">
        <v>800</v>
      </c>
      <c r="F119" s="43">
        <v>200</v>
      </c>
      <c r="G119" s="43"/>
      <c r="H119" s="42">
        <f t="shared" ref="H119:H121" si="35">SUM(E119+F119-G119)</f>
        <v>1000</v>
      </c>
      <c r="I119" s="96"/>
      <c r="J119" s="49"/>
      <c r="K119" s="49"/>
    </row>
    <row r="120" spans="1:12" s="16" customFormat="1" ht="20.25" customHeight="1" thickBot="1" x14ac:dyDescent="0.3">
      <c r="A120" s="37"/>
      <c r="B120" s="37"/>
      <c r="C120" s="27"/>
      <c r="D120" s="28" t="s">
        <v>12</v>
      </c>
      <c r="E120" s="29">
        <v>1085267636.6300004</v>
      </c>
      <c r="F120" s="29">
        <f>SUM(F121,F675,F754)</f>
        <v>22732314.300000004</v>
      </c>
      <c r="G120" s="29">
        <f>SUM(G121,G675,G754)</f>
        <v>20797939.399999999</v>
      </c>
      <c r="H120" s="29">
        <f t="shared" si="35"/>
        <v>1087202011.5300002</v>
      </c>
      <c r="I120" s="96"/>
      <c r="J120" s="49"/>
      <c r="K120" s="132"/>
      <c r="L120" s="132"/>
    </row>
    <row r="121" spans="1:12" s="16" customFormat="1" ht="17.25" customHeight="1" thickBot="1" x14ac:dyDescent="0.3">
      <c r="A121" s="37"/>
      <c r="B121" s="37"/>
      <c r="C121" s="27"/>
      <c r="D121" s="30" t="s">
        <v>13</v>
      </c>
      <c r="E121" s="31">
        <v>1015078338.4300004</v>
      </c>
      <c r="F121" s="31">
        <f>SUM(F122,F145,F150,F175,F194,F199,F474,F499,F556,F568,F610,F650,F662,F668)</f>
        <v>18437394.420000002</v>
      </c>
      <c r="G121" s="31">
        <f>SUM(G122,G145,G150,G175,G194,G199,G474,G499,G556,G568,G610,G650,G662,G668)</f>
        <v>17621649.719999999</v>
      </c>
      <c r="H121" s="31">
        <f t="shared" si="35"/>
        <v>1015894083.1300004</v>
      </c>
      <c r="I121" s="96"/>
      <c r="J121" s="49"/>
      <c r="K121" s="132"/>
      <c r="L121" s="132"/>
    </row>
    <row r="122" spans="1:12" s="16" customFormat="1" ht="20.25" customHeight="1" thickTop="1" thickBot="1" x14ac:dyDescent="0.3">
      <c r="A122" s="32">
        <v>600</v>
      </c>
      <c r="B122" s="33"/>
      <c r="C122" s="34"/>
      <c r="D122" s="35" t="s">
        <v>129</v>
      </c>
      <c r="E122" s="31">
        <v>147717710.60999998</v>
      </c>
      <c r="F122" s="31">
        <f>SUM(F123,F128,F132,F137,F140)</f>
        <v>500500</v>
      </c>
      <c r="G122" s="31">
        <f>SUM(G123,G128,G132,G137,G140)</f>
        <v>500500</v>
      </c>
      <c r="H122" s="31">
        <f t="shared" ref="H122" si="36">SUM(E122+F122-G122)</f>
        <v>147717710.60999998</v>
      </c>
      <c r="I122" s="96"/>
      <c r="J122" s="49"/>
      <c r="K122" s="49"/>
      <c r="L122" s="132"/>
    </row>
    <row r="123" spans="1:12" s="16" customFormat="1" ht="12" customHeight="1" thickTop="1" x14ac:dyDescent="0.25">
      <c r="A123" s="33"/>
      <c r="B123" s="37">
        <v>60004</v>
      </c>
      <c r="C123" s="27"/>
      <c r="D123" s="38" t="s">
        <v>130</v>
      </c>
      <c r="E123" s="74">
        <v>37846681.190000005</v>
      </c>
      <c r="F123" s="74">
        <f>SUM(F124)</f>
        <v>1500</v>
      </c>
      <c r="G123" s="74">
        <f>SUM(G124)</f>
        <v>259000</v>
      </c>
      <c r="H123" s="39">
        <f>SUM(E123+F123-G123)</f>
        <v>37589181.190000005</v>
      </c>
      <c r="I123" s="96"/>
      <c r="J123" s="49"/>
      <c r="K123" s="49"/>
      <c r="L123" s="132"/>
    </row>
    <row r="124" spans="1:12" s="16" customFormat="1" ht="12" customHeight="1" x14ac:dyDescent="0.25">
      <c r="A124" s="33"/>
      <c r="B124" s="37"/>
      <c r="C124" s="133"/>
      <c r="D124" s="693" t="s">
        <v>131</v>
      </c>
      <c r="E124" s="94">
        <v>534530</v>
      </c>
      <c r="F124" s="94">
        <f>SUM(F125:F127)</f>
        <v>1500</v>
      </c>
      <c r="G124" s="94">
        <f>SUM(G125:G127)</f>
        <v>259000</v>
      </c>
      <c r="H124" s="94">
        <f>SUM(E124+F124-G124)</f>
        <v>277030</v>
      </c>
      <c r="I124" s="96"/>
      <c r="J124" s="49"/>
      <c r="K124" s="49"/>
      <c r="L124" s="132"/>
    </row>
    <row r="125" spans="1:12" s="16" customFormat="1" ht="12" customHeight="1" x14ac:dyDescent="0.25">
      <c r="A125" s="33"/>
      <c r="B125" s="37"/>
      <c r="C125" s="26">
        <v>4270</v>
      </c>
      <c r="D125" s="41" t="s">
        <v>60</v>
      </c>
      <c r="E125" s="45">
        <v>130910</v>
      </c>
      <c r="F125" s="45"/>
      <c r="G125" s="45">
        <v>99000</v>
      </c>
      <c r="H125" s="43">
        <f t="shared" ref="H125:H127" si="37">SUM(E125+F125-G125)</f>
        <v>31910</v>
      </c>
      <c r="I125" s="96"/>
      <c r="J125" s="49"/>
      <c r="K125" s="49"/>
      <c r="L125" s="132"/>
    </row>
    <row r="126" spans="1:12" s="16" customFormat="1" ht="12" customHeight="1" x14ac:dyDescent="0.25">
      <c r="A126" s="33"/>
      <c r="B126" s="37"/>
      <c r="C126" s="26">
        <v>4300</v>
      </c>
      <c r="D126" s="41" t="s">
        <v>16</v>
      </c>
      <c r="E126" s="45">
        <v>238067</v>
      </c>
      <c r="F126" s="45"/>
      <c r="G126" s="45">
        <v>160000</v>
      </c>
      <c r="H126" s="43">
        <f t="shared" si="37"/>
        <v>78067</v>
      </c>
      <c r="I126" s="96"/>
      <c r="J126" s="49"/>
      <c r="K126" s="49"/>
      <c r="L126" s="132"/>
    </row>
    <row r="127" spans="1:12" s="16" customFormat="1" ht="12" customHeight="1" x14ac:dyDescent="0.25">
      <c r="A127" s="33"/>
      <c r="B127" s="37"/>
      <c r="C127" s="26">
        <v>4610</v>
      </c>
      <c r="D127" s="134" t="s">
        <v>132</v>
      </c>
      <c r="E127" s="45">
        <v>8500</v>
      </c>
      <c r="F127" s="45">
        <v>1500</v>
      </c>
      <c r="G127" s="45"/>
      <c r="H127" s="43">
        <f t="shared" si="37"/>
        <v>10000</v>
      </c>
      <c r="I127" s="96"/>
      <c r="J127" s="49"/>
      <c r="K127" s="49"/>
      <c r="L127" s="132"/>
    </row>
    <row r="128" spans="1:12" s="16" customFormat="1" ht="12" customHeight="1" x14ac:dyDescent="0.25">
      <c r="A128" s="33"/>
      <c r="B128" s="37">
        <v>60015</v>
      </c>
      <c r="C128" s="27"/>
      <c r="D128" s="38" t="s">
        <v>133</v>
      </c>
      <c r="E128" s="74">
        <v>39265647.259999998</v>
      </c>
      <c r="F128" s="74">
        <f>SUM(F129)</f>
        <v>439000</v>
      </c>
      <c r="G128" s="74">
        <f>SUM(G129)</f>
        <v>180000</v>
      </c>
      <c r="H128" s="39">
        <f>SUM(E128+F128-G128)</f>
        <v>39524647.259999998</v>
      </c>
      <c r="I128" s="96"/>
      <c r="J128" s="49"/>
      <c r="K128" s="49"/>
      <c r="L128" s="132"/>
    </row>
    <row r="129" spans="1:12" s="16" customFormat="1" ht="12" customHeight="1" x14ac:dyDescent="0.25">
      <c r="A129" s="33"/>
      <c r="B129" s="37"/>
      <c r="C129" s="27"/>
      <c r="D129" s="693" t="s">
        <v>131</v>
      </c>
      <c r="E129" s="685">
        <v>13174809.369999999</v>
      </c>
      <c r="F129" s="687">
        <f>SUM(F130:F131)</f>
        <v>439000</v>
      </c>
      <c r="G129" s="687">
        <f>SUM(G130:G131)</f>
        <v>180000</v>
      </c>
      <c r="H129" s="94">
        <f>SUM(E129+F129-G129)</f>
        <v>13433809.369999999</v>
      </c>
      <c r="I129" s="96"/>
      <c r="J129" s="49"/>
      <c r="K129" s="49"/>
      <c r="L129" s="132"/>
    </row>
    <row r="130" spans="1:12" s="16" customFormat="1" ht="12" customHeight="1" x14ac:dyDescent="0.2">
      <c r="A130" s="33"/>
      <c r="B130" s="37"/>
      <c r="C130" s="26">
        <v>4270</v>
      </c>
      <c r="D130" s="41" t="s">
        <v>60</v>
      </c>
      <c r="E130" s="45">
        <v>2716218</v>
      </c>
      <c r="F130" s="45"/>
      <c r="G130" s="45">
        <v>180000</v>
      </c>
      <c r="H130" s="43">
        <f t="shared" ref="H130:H131" si="38">SUM(E130+F130-G130)</f>
        <v>2536218</v>
      </c>
      <c r="I130" s="96"/>
      <c r="J130" s="49"/>
      <c r="K130" s="49"/>
      <c r="L130" s="49"/>
    </row>
    <row r="131" spans="1:12" s="16" customFormat="1" ht="12" customHeight="1" x14ac:dyDescent="0.25">
      <c r="A131" s="33"/>
      <c r="B131" s="33"/>
      <c r="C131" s="26">
        <v>4300</v>
      </c>
      <c r="D131" s="41" t="s">
        <v>16</v>
      </c>
      <c r="E131" s="45">
        <v>6295609.5999999996</v>
      </c>
      <c r="F131" s="45">
        <v>439000</v>
      </c>
      <c r="G131" s="45"/>
      <c r="H131" s="43">
        <f t="shared" si="38"/>
        <v>6734609.5999999996</v>
      </c>
      <c r="I131" s="96"/>
      <c r="J131" s="49"/>
      <c r="K131" s="49"/>
      <c r="L131" s="132"/>
    </row>
    <row r="132" spans="1:12" s="16" customFormat="1" ht="12" customHeight="1" x14ac:dyDescent="0.25">
      <c r="A132" s="33"/>
      <c r="B132" s="86">
        <v>60017</v>
      </c>
      <c r="C132" s="80"/>
      <c r="D132" s="81" t="s">
        <v>134</v>
      </c>
      <c r="E132" s="74">
        <v>826311.91</v>
      </c>
      <c r="F132" s="74">
        <f>SUM(F133)</f>
        <v>50000</v>
      </c>
      <c r="G132" s="74">
        <f>SUM(G133)</f>
        <v>55000</v>
      </c>
      <c r="H132" s="39">
        <f>SUM(E132+F132-G132)</f>
        <v>821311.91</v>
      </c>
      <c r="I132" s="96"/>
      <c r="J132" s="49"/>
      <c r="K132" s="49"/>
      <c r="L132" s="132"/>
    </row>
    <row r="133" spans="1:12" s="16" customFormat="1" ht="12" customHeight="1" x14ac:dyDescent="0.25">
      <c r="A133" s="33"/>
      <c r="B133" s="37"/>
      <c r="C133" s="27"/>
      <c r="D133" s="693" t="s">
        <v>131</v>
      </c>
      <c r="E133" s="94">
        <v>360311.91000000003</v>
      </c>
      <c r="F133" s="94">
        <f>SUM(F134:F136)</f>
        <v>50000</v>
      </c>
      <c r="G133" s="94">
        <f>SUM(G134:G136)</f>
        <v>55000</v>
      </c>
      <c r="H133" s="94">
        <f>SUM(E133+F133-G133)</f>
        <v>355311.91000000003</v>
      </c>
      <c r="I133" s="96"/>
      <c r="J133" s="49"/>
      <c r="K133" s="49"/>
      <c r="L133" s="132"/>
    </row>
    <row r="134" spans="1:12" s="16" customFormat="1" ht="12" customHeight="1" x14ac:dyDescent="0.25">
      <c r="A134" s="33"/>
      <c r="B134" s="33"/>
      <c r="C134" s="26">
        <v>4270</v>
      </c>
      <c r="D134" s="41" t="s">
        <v>60</v>
      </c>
      <c r="E134" s="45">
        <v>136000</v>
      </c>
      <c r="F134" s="45"/>
      <c r="G134" s="45">
        <v>50000</v>
      </c>
      <c r="H134" s="43">
        <f t="shared" ref="H134:H137" si="39">SUM(E134+F134-G134)</f>
        <v>86000</v>
      </c>
      <c r="I134" s="96"/>
      <c r="J134" s="49"/>
      <c r="K134" s="49"/>
      <c r="L134" s="132"/>
    </row>
    <row r="135" spans="1:12" s="16" customFormat="1" ht="12" customHeight="1" x14ac:dyDescent="0.25">
      <c r="A135" s="33"/>
      <c r="B135" s="33"/>
      <c r="C135" s="26">
        <v>4300</v>
      </c>
      <c r="D135" s="41" t="s">
        <v>16</v>
      </c>
      <c r="E135" s="45">
        <v>209311.91</v>
      </c>
      <c r="F135" s="45">
        <v>50000</v>
      </c>
      <c r="G135" s="45"/>
      <c r="H135" s="43">
        <f t="shared" si="39"/>
        <v>259311.91</v>
      </c>
      <c r="I135" s="96"/>
      <c r="J135" s="49"/>
      <c r="K135" s="49"/>
      <c r="L135" s="132"/>
    </row>
    <row r="136" spans="1:12" s="16" customFormat="1" ht="12" customHeight="1" x14ac:dyDescent="0.25">
      <c r="A136" s="33"/>
      <c r="B136" s="33"/>
      <c r="C136" s="26">
        <v>4610</v>
      </c>
      <c r="D136" s="134" t="s">
        <v>132</v>
      </c>
      <c r="E136" s="45">
        <v>5000</v>
      </c>
      <c r="F136" s="45"/>
      <c r="G136" s="45">
        <v>5000</v>
      </c>
      <c r="H136" s="43">
        <f t="shared" si="39"/>
        <v>0</v>
      </c>
      <c r="I136" s="96"/>
      <c r="J136" s="49"/>
      <c r="K136" s="49"/>
      <c r="L136" s="132"/>
    </row>
    <row r="137" spans="1:12" s="16" customFormat="1" ht="12" customHeight="1" x14ac:dyDescent="0.25">
      <c r="A137" s="33"/>
      <c r="B137" s="37">
        <v>60019</v>
      </c>
      <c r="C137" s="27"/>
      <c r="D137" s="38" t="s">
        <v>135</v>
      </c>
      <c r="E137" s="74">
        <v>1449400</v>
      </c>
      <c r="F137" s="74">
        <f>SUM(F138)</f>
        <v>3500</v>
      </c>
      <c r="G137" s="74">
        <f>SUM(G138)</f>
        <v>0</v>
      </c>
      <c r="H137" s="39">
        <f t="shared" si="39"/>
        <v>1452900</v>
      </c>
      <c r="I137" s="96"/>
      <c r="J137" s="49"/>
      <c r="K137" s="49"/>
      <c r="L137" s="132"/>
    </row>
    <row r="138" spans="1:12" s="16" customFormat="1" ht="12" customHeight="1" x14ac:dyDescent="0.25">
      <c r="A138" s="33"/>
      <c r="B138" s="33"/>
      <c r="C138" s="27"/>
      <c r="D138" s="693" t="s">
        <v>131</v>
      </c>
      <c r="E138" s="685">
        <v>1449400</v>
      </c>
      <c r="F138" s="687">
        <f>SUM(F139:F139)</f>
        <v>3500</v>
      </c>
      <c r="G138" s="687">
        <f>SUM(G139:G139)</f>
        <v>0</v>
      </c>
      <c r="H138" s="94">
        <f>SUM(E138+F138-G138)</f>
        <v>1452900</v>
      </c>
      <c r="I138" s="96"/>
      <c r="J138" s="49"/>
      <c r="K138" s="49"/>
      <c r="L138" s="132"/>
    </row>
    <row r="139" spans="1:12" s="16" customFormat="1" ht="12" customHeight="1" x14ac:dyDescent="0.25">
      <c r="A139" s="33"/>
      <c r="B139" s="33"/>
      <c r="C139" s="26">
        <v>4430</v>
      </c>
      <c r="D139" s="41" t="s">
        <v>136</v>
      </c>
      <c r="E139" s="45">
        <v>2100</v>
      </c>
      <c r="F139" s="45">
        <v>3500</v>
      </c>
      <c r="G139" s="45"/>
      <c r="H139" s="43">
        <f t="shared" ref="H139:H140" si="40">SUM(E139+F139-G139)</f>
        <v>5600</v>
      </c>
      <c r="I139" s="96"/>
      <c r="J139" s="49"/>
      <c r="K139" s="49"/>
      <c r="L139" s="132"/>
    </row>
    <row r="140" spans="1:12" s="16" customFormat="1" ht="12" customHeight="1" x14ac:dyDescent="0.25">
      <c r="A140" s="33"/>
      <c r="B140" s="37">
        <v>60095</v>
      </c>
      <c r="C140" s="27"/>
      <c r="D140" s="38" t="s">
        <v>15</v>
      </c>
      <c r="E140" s="74">
        <v>5209356</v>
      </c>
      <c r="F140" s="40">
        <f>SUM(F141)</f>
        <v>6500</v>
      </c>
      <c r="G140" s="40">
        <f>SUM(G141)</f>
        <v>6500</v>
      </c>
      <c r="H140" s="39">
        <f t="shared" si="40"/>
        <v>5209356</v>
      </c>
      <c r="I140" s="96"/>
      <c r="J140" s="49"/>
      <c r="K140" s="49"/>
      <c r="L140" s="132"/>
    </row>
    <row r="141" spans="1:12" s="16" customFormat="1" ht="12" customHeight="1" x14ac:dyDescent="0.25">
      <c r="A141" s="33"/>
      <c r="B141" s="37"/>
      <c r="C141" s="133"/>
      <c r="D141" s="693" t="s">
        <v>131</v>
      </c>
      <c r="E141" s="94">
        <v>5002896</v>
      </c>
      <c r="F141" s="94">
        <f>SUM(F142:F144)</f>
        <v>6500</v>
      </c>
      <c r="G141" s="94">
        <f>SUM(G142:G144)</f>
        <v>6500</v>
      </c>
      <c r="H141" s="94">
        <f>SUM(E141+F141-G141)</f>
        <v>5002896</v>
      </c>
      <c r="I141" s="96"/>
      <c r="J141" s="49"/>
      <c r="K141" s="49"/>
      <c r="L141" s="132"/>
    </row>
    <row r="142" spans="1:12" s="16" customFormat="1" ht="12" customHeight="1" x14ac:dyDescent="0.25">
      <c r="A142" s="33"/>
      <c r="B142" s="37"/>
      <c r="C142" s="57" t="s">
        <v>58</v>
      </c>
      <c r="D142" s="69" t="s">
        <v>59</v>
      </c>
      <c r="E142" s="45">
        <v>76000</v>
      </c>
      <c r="F142" s="45">
        <v>4500</v>
      </c>
      <c r="G142" s="45"/>
      <c r="H142" s="43">
        <f t="shared" ref="H142:H146" si="41">SUM(E142+F142-G142)</f>
        <v>80500</v>
      </c>
      <c r="I142" s="96"/>
      <c r="J142" s="49"/>
      <c r="K142" s="49"/>
      <c r="L142" s="132"/>
    </row>
    <row r="143" spans="1:12" s="16" customFormat="1" ht="12" customHeight="1" x14ac:dyDescent="0.25">
      <c r="A143" s="33"/>
      <c r="B143" s="37"/>
      <c r="C143" s="26">
        <v>4580</v>
      </c>
      <c r="D143" s="41" t="s">
        <v>137</v>
      </c>
      <c r="E143" s="45">
        <v>17500</v>
      </c>
      <c r="F143" s="45"/>
      <c r="G143" s="45">
        <v>6500</v>
      </c>
      <c r="H143" s="43">
        <f t="shared" si="41"/>
        <v>11000</v>
      </c>
      <c r="I143" s="96"/>
      <c r="J143" s="49"/>
      <c r="K143" s="49"/>
      <c r="L143" s="132"/>
    </row>
    <row r="144" spans="1:12" s="16" customFormat="1" ht="23.25" customHeight="1" x14ac:dyDescent="0.25">
      <c r="A144" s="33"/>
      <c r="B144" s="37"/>
      <c r="C144" s="64">
        <v>4700</v>
      </c>
      <c r="D144" s="135" t="s">
        <v>138</v>
      </c>
      <c r="E144" s="45">
        <v>18000</v>
      </c>
      <c r="F144" s="45">
        <v>2000</v>
      </c>
      <c r="G144" s="45"/>
      <c r="H144" s="43">
        <f t="shared" si="41"/>
        <v>20000</v>
      </c>
      <c r="I144" s="96"/>
      <c r="J144" s="49"/>
      <c r="K144" s="49"/>
      <c r="L144" s="132"/>
    </row>
    <row r="145" spans="1:12" s="16" customFormat="1" ht="12" customHeight="1" thickBot="1" x14ac:dyDescent="0.3">
      <c r="A145" s="32">
        <v>700</v>
      </c>
      <c r="B145" s="32"/>
      <c r="C145" s="34"/>
      <c r="D145" s="35" t="s">
        <v>139</v>
      </c>
      <c r="E145" s="31">
        <v>69376476.760000005</v>
      </c>
      <c r="F145" s="36">
        <f>SUM(F146)</f>
        <v>5000</v>
      </c>
      <c r="G145" s="36">
        <f>SUM(G146)</f>
        <v>5000</v>
      </c>
      <c r="H145" s="31">
        <f t="shared" si="41"/>
        <v>69376476.760000005</v>
      </c>
      <c r="I145" s="136"/>
      <c r="J145" s="49"/>
      <c r="K145" s="49"/>
      <c r="L145" s="132"/>
    </row>
    <row r="146" spans="1:12" s="16" customFormat="1" ht="12" customHeight="1" thickTop="1" x14ac:dyDescent="0.25">
      <c r="A146" s="33"/>
      <c r="B146" s="137">
        <v>70005</v>
      </c>
      <c r="C146" s="76"/>
      <c r="D146" s="77" t="s">
        <v>140</v>
      </c>
      <c r="E146" s="39">
        <v>3362310</v>
      </c>
      <c r="F146" s="40">
        <f>SUM(F147)</f>
        <v>5000</v>
      </c>
      <c r="G146" s="40">
        <f>SUM(G147)</f>
        <v>5000</v>
      </c>
      <c r="H146" s="39">
        <f t="shared" si="41"/>
        <v>3362310</v>
      </c>
      <c r="I146" s="96"/>
      <c r="J146" s="49"/>
      <c r="K146" s="49"/>
      <c r="L146" s="132"/>
    </row>
    <row r="147" spans="1:12" s="16" customFormat="1" ht="12" customHeight="1" x14ac:dyDescent="0.25">
      <c r="A147" s="33"/>
      <c r="B147" s="137"/>
      <c r="C147" s="76"/>
      <c r="D147" s="694" t="s">
        <v>141</v>
      </c>
      <c r="E147" s="685">
        <v>3355810</v>
      </c>
      <c r="F147" s="687">
        <f>SUM(F148:F149)</f>
        <v>5000</v>
      </c>
      <c r="G147" s="687">
        <f>SUM(G148:G149)</f>
        <v>5000</v>
      </c>
      <c r="H147" s="94">
        <f>SUM(E147+F147-G147)</f>
        <v>3355810</v>
      </c>
      <c r="I147" s="96"/>
      <c r="J147" s="49"/>
      <c r="K147" s="49"/>
      <c r="L147" s="132"/>
    </row>
    <row r="148" spans="1:12" s="16" customFormat="1" ht="12" customHeight="1" x14ac:dyDescent="0.25">
      <c r="A148" s="33"/>
      <c r="B148" s="26"/>
      <c r="C148" s="76">
        <v>4590</v>
      </c>
      <c r="D148" s="75" t="s">
        <v>142</v>
      </c>
      <c r="E148" s="45">
        <v>586230</v>
      </c>
      <c r="F148" s="45"/>
      <c r="G148" s="45">
        <v>5000</v>
      </c>
      <c r="H148" s="43">
        <f t="shared" ref="H148:H149" si="42">SUM(E148+F148-G148)</f>
        <v>581230</v>
      </c>
      <c r="I148" s="96"/>
      <c r="J148" s="49"/>
      <c r="K148" s="49"/>
      <c r="L148" s="132"/>
    </row>
    <row r="149" spans="1:12" s="16" customFormat="1" ht="12" customHeight="1" x14ac:dyDescent="0.25">
      <c r="A149" s="33"/>
      <c r="B149" s="26"/>
      <c r="C149" s="76">
        <v>4610</v>
      </c>
      <c r="D149" s="75" t="s">
        <v>132</v>
      </c>
      <c r="E149" s="45">
        <v>23000</v>
      </c>
      <c r="F149" s="45">
        <v>5000</v>
      </c>
      <c r="G149" s="45"/>
      <c r="H149" s="43">
        <f t="shared" si="42"/>
        <v>28000</v>
      </c>
      <c r="I149" s="96"/>
      <c r="J149" s="49"/>
      <c r="K149" s="49"/>
      <c r="L149" s="132"/>
    </row>
    <row r="150" spans="1:12" s="16" customFormat="1" ht="12" customHeight="1" thickBot="1" x14ac:dyDescent="0.25">
      <c r="A150" s="32">
        <v>750</v>
      </c>
      <c r="B150" s="32"/>
      <c r="C150" s="34"/>
      <c r="D150" s="35" t="s">
        <v>14</v>
      </c>
      <c r="E150" s="31">
        <v>69855375.859999985</v>
      </c>
      <c r="F150" s="36">
        <f>SUM(F151,F157,F160,F164,F170)</f>
        <v>478100</v>
      </c>
      <c r="G150" s="36">
        <f>SUM(G151,G157,G160,G164,G170)</f>
        <v>40100</v>
      </c>
      <c r="H150" s="66">
        <f t="shared" ref="H150" si="43">SUM(E150+F150-G150)</f>
        <v>70293375.859999985</v>
      </c>
      <c r="I150" s="136"/>
      <c r="J150" s="49"/>
      <c r="K150" s="49"/>
      <c r="L150" s="49"/>
    </row>
    <row r="151" spans="1:12" s="16" customFormat="1" ht="12" customHeight="1" thickTop="1" x14ac:dyDescent="0.2">
      <c r="A151" s="32"/>
      <c r="B151" s="27" t="s">
        <v>31</v>
      </c>
      <c r="C151" s="26"/>
      <c r="D151" s="38" t="s">
        <v>32</v>
      </c>
      <c r="E151" s="39">
        <v>36039252.709999993</v>
      </c>
      <c r="F151" s="40">
        <f>SUM(F152)</f>
        <v>438000</v>
      </c>
      <c r="G151" s="40">
        <f>SUM(G152)</f>
        <v>0</v>
      </c>
      <c r="H151" s="39">
        <f>SUM(E151+F151-G151)</f>
        <v>36477252.709999993</v>
      </c>
      <c r="I151" s="136"/>
      <c r="J151" s="49"/>
      <c r="K151" s="49"/>
      <c r="L151" s="49"/>
    </row>
    <row r="152" spans="1:12" s="16" customFormat="1" ht="12" customHeight="1" x14ac:dyDescent="0.2">
      <c r="A152" s="32"/>
      <c r="B152" s="27"/>
      <c r="C152" s="26"/>
      <c r="D152" s="693" t="s">
        <v>33</v>
      </c>
      <c r="E152" s="94">
        <v>31096413</v>
      </c>
      <c r="F152" s="685">
        <f>SUM(F153:F156)</f>
        <v>438000</v>
      </c>
      <c r="G152" s="685">
        <f>SUM(G153:G156)</f>
        <v>0</v>
      </c>
      <c r="H152" s="685">
        <f t="shared" ref="H152:H157" si="44">SUM(E152+F152-G152)</f>
        <v>31534413</v>
      </c>
      <c r="I152" s="136"/>
      <c r="J152" s="49"/>
      <c r="K152" s="49"/>
      <c r="L152" s="49"/>
    </row>
    <row r="153" spans="1:12" s="16" customFormat="1" ht="12" customHeight="1" x14ac:dyDescent="0.2">
      <c r="A153" s="32"/>
      <c r="B153" s="27"/>
      <c r="C153" s="57" t="s">
        <v>58</v>
      </c>
      <c r="D153" s="69" t="s">
        <v>59</v>
      </c>
      <c r="E153" s="45">
        <v>1110100</v>
      </c>
      <c r="F153" s="42">
        <v>75000</v>
      </c>
      <c r="G153" s="42"/>
      <c r="H153" s="43">
        <f t="shared" si="44"/>
        <v>1185100</v>
      </c>
      <c r="I153" s="136"/>
      <c r="J153" s="49"/>
      <c r="K153" s="49"/>
      <c r="L153" s="49"/>
    </row>
    <row r="154" spans="1:12" s="16" customFormat="1" ht="12" customHeight="1" x14ac:dyDescent="0.2">
      <c r="A154" s="71"/>
      <c r="B154" s="138"/>
      <c r="C154" s="73">
        <v>4260</v>
      </c>
      <c r="D154" s="38" t="s">
        <v>143</v>
      </c>
      <c r="E154" s="74">
        <v>1215000</v>
      </c>
      <c r="F154" s="130">
        <v>340000</v>
      </c>
      <c r="G154" s="130"/>
      <c r="H154" s="39">
        <f t="shared" si="44"/>
        <v>1555000</v>
      </c>
      <c r="I154" s="136"/>
      <c r="J154" s="49"/>
      <c r="K154" s="49"/>
      <c r="L154" s="49"/>
    </row>
    <row r="155" spans="1:12" s="16" customFormat="1" ht="23.25" customHeight="1" x14ac:dyDescent="0.2">
      <c r="A155" s="32"/>
      <c r="B155" s="27"/>
      <c r="C155" s="64">
        <v>4400</v>
      </c>
      <c r="D155" s="112" t="s">
        <v>144</v>
      </c>
      <c r="E155" s="45">
        <v>85400</v>
      </c>
      <c r="F155" s="42">
        <v>5000</v>
      </c>
      <c r="G155" s="42"/>
      <c r="H155" s="43">
        <f t="shared" si="44"/>
        <v>90400</v>
      </c>
      <c r="I155" s="136"/>
      <c r="J155" s="49"/>
      <c r="K155" s="49"/>
      <c r="L155" s="49"/>
    </row>
    <row r="156" spans="1:12" s="16" customFormat="1" ht="12" customHeight="1" x14ac:dyDescent="0.2">
      <c r="A156" s="32"/>
      <c r="B156" s="27"/>
      <c r="C156" s="26">
        <v>4410</v>
      </c>
      <c r="D156" s="69" t="s">
        <v>70</v>
      </c>
      <c r="E156" s="45">
        <v>43000</v>
      </c>
      <c r="F156" s="45">
        <v>18000</v>
      </c>
      <c r="G156" s="45"/>
      <c r="H156" s="44">
        <f t="shared" si="44"/>
        <v>61000</v>
      </c>
      <c r="I156" s="136"/>
      <c r="J156" s="49"/>
      <c r="K156" s="49"/>
      <c r="L156" s="49"/>
    </row>
    <row r="157" spans="1:12" s="16" customFormat="1" ht="12" customHeight="1" x14ac:dyDescent="0.2">
      <c r="A157" s="32"/>
      <c r="B157" s="86">
        <v>75058</v>
      </c>
      <c r="C157" s="80"/>
      <c r="D157" s="81" t="s">
        <v>145</v>
      </c>
      <c r="E157" s="39">
        <v>109512.5</v>
      </c>
      <c r="F157" s="39">
        <f>SUM(F158)</f>
        <v>5000</v>
      </c>
      <c r="G157" s="39">
        <f>SUM(G158)</f>
        <v>0</v>
      </c>
      <c r="H157" s="39">
        <f t="shared" si="44"/>
        <v>114512.5</v>
      </c>
      <c r="I157" s="136"/>
      <c r="J157" s="49"/>
      <c r="K157" s="49"/>
      <c r="L157" s="49"/>
    </row>
    <row r="158" spans="1:12" s="16" customFormat="1" ht="12" customHeight="1" x14ac:dyDescent="0.2">
      <c r="A158" s="32"/>
      <c r="B158" s="56"/>
      <c r="C158" s="27"/>
      <c r="D158" s="695" t="s">
        <v>146</v>
      </c>
      <c r="E158" s="94">
        <v>11547.5</v>
      </c>
      <c r="F158" s="687">
        <f>SUM(F159:F159)</f>
        <v>5000</v>
      </c>
      <c r="G158" s="687">
        <f>SUM(G159:G159)</f>
        <v>0</v>
      </c>
      <c r="H158" s="94">
        <f>SUM(E158+F158-G158)</f>
        <v>16547.5</v>
      </c>
      <c r="I158" s="97"/>
      <c r="J158" s="49"/>
      <c r="K158" s="49"/>
      <c r="L158" s="49"/>
    </row>
    <row r="159" spans="1:12" s="16" customFormat="1" ht="12" customHeight="1" x14ac:dyDescent="0.2">
      <c r="A159" s="32"/>
      <c r="B159" s="33"/>
      <c r="C159" s="26">
        <v>4420</v>
      </c>
      <c r="D159" s="69" t="s">
        <v>147</v>
      </c>
      <c r="E159" s="45">
        <v>10847.5</v>
      </c>
      <c r="F159" s="42">
        <v>5000</v>
      </c>
      <c r="G159" s="42"/>
      <c r="H159" s="45">
        <f t="shared" ref="H159" si="45">SUM(E159+F159-G159)</f>
        <v>15847.5</v>
      </c>
      <c r="I159" s="97"/>
      <c r="J159" s="49"/>
      <c r="K159" s="49"/>
      <c r="L159" s="49"/>
    </row>
    <row r="160" spans="1:12" s="16" customFormat="1" ht="12" customHeight="1" x14ac:dyDescent="0.2">
      <c r="A160" s="32"/>
      <c r="B160" s="26">
        <v>75075</v>
      </c>
      <c r="C160" s="85"/>
      <c r="D160" s="72" t="s">
        <v>148</v>
      </c>
      <c r="E160" s="39">
        <v>889689.5</v>
      </c>
      <c r="F160" s="40">
        <f>SUM(F161)</f>
        <v>10000</v>
      </c>
      <c r="G160" s="40">
        <f>SUM(G161)</f>
        <v>15000</v>
      </c>
      <c r="H160" s="39">
        <f>SUM(E160+F160-G160)</f>
        <v>884689.5</v>
      </c>
      <c r="I160" s="136"/>
      <c r="J160" s="49"/>
      <c r="K160" s="49"/>
      <c r="L160" s="49"/>
    </row>
    <row r="161" spans="1:12" s="16" customFormat="1" ht="12" customHeight="1" x14ac:dyDescent="0.2">
      <c r="A161" s="32"/>
      <c r="B161" s="88"/>
      <c r="C161" s="26"/>
      <c r="D161" s="693" t="s">
        <v>146</v>
      </c>
      <c r="E161" s="685">
        <v>873624.5</v>
      </c>
      <c r="F161" s="687">
        <f>SUM(F162:F163)</f>
        <v>10000</v>
      </c>
      <c r="G161" s="687">
        <f>SUM(G162:G163)</f>
        <v>15000</v>
      </c>
      <c r="H161" s="94">
        <f>SUM(E161+F161-G161)</f>
        <v>868624.5</v>
      </c>
      <c r="I161" s="136"/>
      <c r="J161" s="49"/>
      <c r="K161" s="49"/>
      <c r="L161" s="49"/>
    </row>
    <row r="162" spans="1:12" s="16" customFormat="1" ht="12" customHeight="1" x14ac:dyDescent="0.2">
      <c r="A162" s="32"/>
      <c r="B162" s="27"/>
      <c r="C162" s="57" t="s">
        <v>58</v>
      </c>
      <c r="D162" s="69" t="s">
        <v>59</v>
      </c>
      <c r="E162" s="45">
        <v>16000</v>
      </c>
      <c r="F162" s="45">
        <v>10000</v>
      </c>
      <c r="G162" s="45"/>
      <c r="H162" s="43">
        <f t="shared" ref="H162:H173" si="46">SUM(E162+F162-G162)</f>
        <v>26000</v>
      </c>
      <c r="I162" s="136"/>
      <c r="J162" s="49"/>
      <c r="K162" s="49"/>
      <c r="L162" s="49"/>
    </row>
    <row r="163" spans="1:12" s="16" customFormat="1" ht="12" customHeight="1" x14ac:dyDescent="0.2">
      <c r="A163" s="32"/>
      <c r="B163" s="27"/>
      <c r="C163" s="26">
        <v>4300</v>
      </c>
      <c r="D163" s="41" t="s">
        <v>16</v>
      </c>
      <c r="E163" s="45">
        <v>840000</v>
      </c>
      <c r="F163" s="42"/>
      <c r="G163" s="42">
        <v>15000</v>
      </c>
      <c r="H163" s="43">
        <f t="shared" si="46"/>
        <v>825000</v>
      </c>
      <c r="I163" s="136"/>
      <c r="J163" s="49"/>
      <c r="K163" s="49"/>
      <c r="L163" s="49"/>
    </row>
    <row r="164" spans="1:12" s="16" customFormat="1" ht="12" customHeight="1" x14ac:dyDescent="0.2">
      <c r="A164" s="32"/>
      <c r="B164" s="27" t="s">
        <v>149</v>
      </c>
      <c r="C164" s="26"/>
      <c r="D164" s="38" t="s">
        <v>150</v>
      </c>
      <c r="E164" s="39">
        <v>7459347.5199999996</v>
      </c>
      <c r="F164" s="40">
        <f>SUM(F165)</f>
        <v>25000</v>
      </c>
      <c r="G164" s="40">
        <f>SUM(G165)</f>
        <v>25000</v>
      </c>
      <c r="H164" s="39">
        <f>SUM(E164+F164-G164)</f>
        <v>7459347.5199999996</v>
      </c>
      <c r="I164" s="97"/>
      <c r="J164" s="49"/>
      <c r="K164" s="49"/>
      <c r="L164" s="49"/>
    </row>
    <row r="165" spans="1:12" s="16" customFormat="1" ht="12" customHeight="1" x14ac:dyDescent="0.2">
      <c r="A165" s="32"/>
      <c r="B165" s="27"/>
      <c r="C165" s="27"/>
      <c r="D165" s="693" t="s">
        <v>151</v>
      </c>
      <c r="E165" s="685">
        <v>7434347.5199999996</v>
      </c>
      <c r="F165" s="687">
        <f>SUM(F166:F169)</f>
        <v>25000</v>
      </c>
      <c r="G165" s="687">
        <f>SUM(G166:G169)</f>
        <v>25000</v>
      </c>
      <c r="H165" s="94">
        <f>SUM(E165+F165-G165)</f>
        <v>7434347.5199999996</v>
      </c>
      <c r="I165" s="97"/>
      <c r="J165" s="49"/>
      <c r="K165" s="49"/>
      <c r="L165" s="49"/>
    </row>
    <row r="166" spans="1:12" s="16" customFormat="1" ht="12" customHeight="1" x14ac:dyDescent="0.2">
      <c r="A166" s="32"/>
      <c r="B166" s="27"/>
      <c r="C166" s="26">
        <v>4120</v>
      </c>
      <c r="D166" s="41" t="s">
        <v>62</v>
      </c>
      <c r="E166" s="45">
        <v>127222</v>
      </c>
      <c r="F166" s="42"/>
      <c r="G166" s="42">
        <v>20000</v>
      </c>
      <c r="H166" s="45">
        <f t="shared" ref="H166:H169" si="47">SUM(E166+F166-G166)</f>
        <v>107222</v>
      </c>
      <c r="I166" s="97"/>
      <c r="J166" s="49"/>
      <c r="K166" s="49"/>
      <c r="L166" s="49"/>
    </row>
    <row r="167" spans="1:12" s="16" customFormat="1" ht="12" customHeight="1" x14ac:dyDescent="0.2">
      <c r="A167" s="32"/>
      <c r="B167" s="27"/>
      <c r="C167" s="99" t="s">
        <v>58</v>
      </c>
      <c r="D167" s="139" t="s">
        <v>59</v>
      </c>
      <c r="E167" s="45">
        <v>78030</v>
      </c>
      <c r="F167" s="42">
        <v>5000</v>
      </c>
      <c r="G167" s="42"/>
      <c r="H167" s="45">
        <f t="shared" si="47"/>
        <v>83030</v>
      </c>
      <c r="I167" s="97"/>
      <c r="J167" s="49"/>
      <c r="K167" s="49"/>
      <c r="L167" s="49"/>
    </row>
    <row r="168" spans="1:12" s="16" customFormat="1" ht="12" customHeight="1" x14ac:dyDescent="0.2">
      <c r="A168" s="32"/>
      <c r="B168" s="27"/>
      <c r="C168" s="26">
        <v>4270</v>
      </c>
      <c r="D168" s="41" t="s">
        <v>60</v>
      </c>
      <c r="E168" s="45">
        <v>15200</v>
      </c>
      <c r="F168" s="42"/>
      <c r="G168" s="42">
        <v>5000</v>
      </c>
      <c r="H168" s="45">
        <f t="shared" si="47"/>
        <v>10200</v>
      </c>
      <c r="I168" s="97"/>
      <c r="J168" s="49"/>
      <c r="K168" s="49"/>
      <c r="L168" s="49"/>
    </row>
    <row r="169" spans="1:12" s="16" customFormat="1" ht="12" customHeight="1" x14ac:dyDescent="0.2">
      <c r="A169" s="32"/>
      <c r="B169" s="27"/>
      <c r="C169" s="26">
        <v>4300</v>
      </c>
      <c r="D169" s="41" t="s">
        <v>16</v>
      </c>
      <c r="E169" s="45">
        <v>233220.39</v>
      </c>
      <c r="F169" s="42">
        <v>20000</v>
      </c>
      <c r="G169" s="42"/>
      <c r="H169" s="45">
        <f t="shared" si="47"/>
        <v>253220.39</v>
      </c>
      <c r="I169" s="97"/>
      <c r="J169" s="49"/>
      <c r="K169" s="49"/>
      <c r="L169" s="49"/>
    </row>
    <row r="170" spans="1:12" s="16" customFormat="1" ht="12" customHeight="1" x14ac:dyDescent="0.2">
      <c r="A170" s="32"/>
      <c r="B170" s="86">
        <v>75095</v>
      </c>
      <c r="C170" s="86"/>
      <c r="D170" s="84" t="s">
        <v>15</v>
      </c>
      <c r="E170" s="39">
        <v>16917000.080000002</v>
      </c>
      <c r="F170" s="40">
        <f>SUM(F171)</f>
        <v>100</v>
      </c>
      <c r="G170" s="40">
        <f>SUM(G171)</f>
        <v>100</v>
      </c>
      <c r="H170" s="39">
        <f t="shared" si="46"/>
        <v>16917000.080000002</v>
      </c>
      <c r="I170" s="97"/>
      <c r="J170" s="49"/>
      <c r="K170" s="49"/>
      <c r="L170" s="49"/>
    </row>
    <row r="171" spans="1:12" s="16" customFormat="1" ht="22.5" customHeight="1" x14ac:dyDescent="0.2">
      <c r="A171" s="32"/>
      <c r="B171" s="86"/>
      <c r="C171" s="26"/>
      <c r="D171" s="696" t="s">
        <v>152</v>
      </c>
      <c r="E171" s="685">
        <v>317872.43</v>
      </c>
      <c r="F171" s="697">
        <f>SUM(F172:F173)</f>
        <v>100</v>
      </c>
      <c r="G171" s="697">
        <f>SUM(G172:G173)</f>
        <v>100</v>
      </c>
      <c r="H171" s="94">
        <f t="shared" si="46"/>
        <v>317872.43</v>
      </c>
      <c r="I171" s="97"/>
      <c r="J171" s="49"/>
      <c r="K171" s="49"/>
      <c r="L171" s="49"/>
    </row>
    <row r="172" spans="1:12" s="16" customFormat="1" ht="12" customHeight="1" x14ac:dyDescent="0.2">
      <c r="A172" s="32"/>
      <c r="B172" s="86"/>
      <c r="C172" s="26">
        <v>3257</v>
      </c>
      <c r="D172" s="140" t="s">
        <v>153</v>
      </c>
      <c r="E172" s="42">
        <v>71100</v>
      </c>
      <c r="F172" s="45">
        <v>100</v>
      </c>
      <c r="G172" s="45"/>
      <c r="H172" s="43">
        <f t="shared" si="46"/>
        <v>71200</v>
      </c>
      <c r="I172" s="97"/>
      <c r="J172" s="49"/>
      <c r="K172" s="49"/>
      <c r="L172" s="49"/>
    </row>
    <row r="173" spans="1:12" s="16" customFormat="1" ht="12" customHeight="1" x14ac:dyDescent="0.2">
      <c r="A173" s="32"/>
      <c r="B173" s="86"/>
      <c r="C173" s="26">
        <v>4177</v>
      </c>
      <c r="D173" s="41" t="s">
        <v>69</v>
      </c>
      <c r="E173" s="42">
        <v>39542.43</v>
      </c>
      <c r="F173" s="45"/>
      <c r="G173" s="45">
        <v>100</v>
      </c>
      <c r="H173" s="43">
        <f t="shared" si="46"/>
        <v>39442.43</v>
      </c>
      <c r="I173" s="97"/>
      <c r="J173" s="49"/>
      <c r="K173" s="49"/>
      <c r="L173" s="49"/>
    </row>
    <row r="174" spans="1:12" s="16" customFormat="1" ht="12" customHeight="1" x14ac:dyDescent="0.2">
      <c r="A174" s="141">
        <v>754</v>
      </c>
      <c r="B174" s="142"/>
      <c r="C174" s="143"/>
      <c r="D174" s="144" t="s">
        <v>76</v>
      </c>
      <c r="E174" s="42"/>
      <c r="F174" s="45"/>
      <c r="G174" s="45"/>
      <c r="H174" s="43"/>
      <c r="I174" s="97"/>
      <c r="J174" s="49"/>
      <c r="K174" s="49"/>
      <c r="L174" s="49"/>
    </row>
    <row r="175" spans="1:12" s="16" customFormat="1" ht="12" customHeight="1" thickBot="1" x14ac:dyDescent="0.25">
      <c r="A175" s="141"/>
      <c r="B175" s="142"/>
      <c r="C175" s="143"/>
      <c r="D175" s="144" t="s">
        <v>27</v>
      </c>
      <c r="E175" s="31">
        <v>6252028.0499999998</v>
      </c>
      <c r="F175" s="36">
        <f>SUM(F176,F183)</f>
        <v>236580</v>
      </c>
      <c r="G175" s="36">
        <f>SUM(G183)</f>
        <v>26580</v>
      </c>
      <c r="H175" s="31">
        <f>SUM(E175+F175-G175)</f>
        <v>6462028.0499999998</v>
      </c>
      <c r="I175" s="136"/>
      <c r="J175" s="49"/>
      <c r="K175" s="49"/>
      <c r="L175" s="49"/>
    </row>
    <row r="176" spans="1:12" s="16" customFormat="1" ht="12" customHeight="1" thickTop="1" x14ac:dyDescent="0.2">
      <c r="A176" s="141"/>
      <c r="B176" s="56">
        <v>75411</v>
      </c>
      <c r="C176" s="86"/>
      <c r="D176" s="84" t="s">
        <v>77</v>
      </c>
      <c r="E176" s="39">
        <v>100000</v>
      </c>
      <c r="F176" s="40">
        <f>SUM(F177)</f>
        <v>210000</v>
      </c>
      <c r="G176" s="40">
        <f>SUM(G177)</f>
        <v>0</v>
      </c>
      <c r="H176" s="39">
        <f>SUM(E176+F176-G176)</f>
        <v>310000</v>
      </c>
      <c r="I176" s="97"/>
      <c r="J176" s="49"/>
      <c r="K176" s="49"/>
      <c r="L176" s="49"/>
    </row>
    <row r="177" spans="1:12" s="16" customFormat="1" ht="12" customHeight="1" x14ac:dyDescent="0.2">
      <c r="A177" s="141"/>
      <c r="B177" s="80"/>
      <c r="C177" s="80"/>
      <c r="D177" s="688" t="s">
        <v>68</v>
      </c>
      <c r="E177" s="685">
        <v>100000</v>
      </c>
      <c r="F177" s="687">
        <f>SUM(F178:F182)</f>
        <v>210000</v>
      </c>
      <c r="G177" s="687">
        <f>SUM(G178:G182)</f>
        <v>0</v>
      </c>
      <c r="H177" s="94">
        <f>SUM(E177+F177-G177)</f>
        <v>310000</v>
      </c>
      <c r="I177" s="97"/>
      <c r="J177" s="49"/>
      <c r="K177" s="49"/>
      <c r="L177" s="49"/>
    </row>
    <row r="178" spans="1:12" s="16" customFormat="1" ht="12" customHeight="1" x14ac:dyDescent="0.2">
      <c r="A178" s="141"/>
      <c r="B178" s="80"/>
      <c r="C178" s="57" t="s">
        <v>58</v>
      </c>
      <c r="D178" s="69" t="s">
        <v>59</v>
      </c>
      <c r="E178" s="45">
        <v>21000</v>
      </c>
      <c r="F178" s="42">
        <v>63813</v>
      </c>
      <c r="G178" s="42"/>
      <c r="H178" s="43">
        <f t="shared" ref="H178:H182" si="48">SUM(E178+F178-G178)</f>
        <v>84813</v>
      </c>
      <c r="I178" s="97"/>
      <c r="J178" s="49"/>
      <c r="K178" s="49"/>
      <c r="L178" s="49"/>
    </row>
    <row r="179" spans="1:12" s="16" customFormat="1" ht="12" customHeight="1" x14ac:dyDescent="0.2">
      <c r="A179" s="141"/>
      <c r="B179" s="80"/>
      <c r="C179" s="26">
        <v>4260</v>
      </c>
      <c r="D179" s="41" t="s">
        <v>143</v>
      </c>
      <c r="E179" s="45">
        <v>0</v>
      </c>
      <c r="F179" s="42">
        <v>40000</v>
      </c>
      <c r="G179" s="42"/>
      <c r="H179" s="43">
        <f t="shared" si="48"/>
        <v>40000</v>
      </c>
      <c r="I179" s="97"/>
      <c r="J179" s="49"/>
      <c r="K179" s="49"/>
      <c r="L179" s="49"/>
    </row>
    <row r="180" spans="1:12" s="16" customFormat="1" ht="12" customHeight="1" x14ac:dyDescent="0.2">
      <c r="A180" s="141"/>
      <c r="B180" s="80"/>
      <c r="C180" s="26">
        <v>4270</v>
      </c>
      <c r="D180" s="41" t="s">
        <v>60</v>
      </c>
      <c r="E180" s="45">
        <v>0</v>
      </c>
      <c r="F180" s="42">
        <v>44332</v>
      </c>
      <c r="G180" s="42"/>
      <c r="H180" s="43">
        <f t="shared" si="48"/>
        <v>44332</v>
      </c>
      <c r="I180" s="97"/>
      <c r="J180" s="49"/>
      <c r="K180" s="49"/>
      <c r="L180" s="49"/>
    </row>
    <row r="181" spans="1:12" s="16" customFormat="1" ht="12" customHeight="1" x14ac:dyDescent="0.2">
      <c r="A181" s="141"/>
      <c r="B181" s="80"/>
      <c r="C181" s="26">
        <v>4300</v>
      </c>
      <c r="D181" s="41" t="s">
        <v>16</v>
      </c>
      <c r="E181" s="45">
        <v>0</v>
      </c>
      <c r="F181" s="42">
        <v>9855</v>
      </c>
      <c r="G181" s="42"/>
      <c r="H181" s="43">
        <f t="shared" si="48"/>
        <v>9855</v>
      </c>
      <c r="I181" s="97"/>
      <c r="J181" s="49"/>
      <c r="K181" s="49"/>
      <c r="L181" s="49"/>
    </row>
    <row r="182" spans="1:12" s="16" customFormat="1" ht="12" customHeight="1" x14ac:dyDescent="0.2">
      <c r="A182" s="141"/>
      <c r="B182" s="27"/>
      <c r="C182" s="64">
        <v>6060</v>
      </c>
      <c r="D182" s="145" t="s">
        <v>154</v>
      </c>
      <c r="E182" s="146">
        <v>79000</v>
      </c>
      <c r="F182" s="147">
        <v>52000</v>
      </c>
      <c r="G182" s="147"/>
      <c r="H182" s="43">
        <f t="shared" si="48"/>
        <v>131000</v>
      </c>
      <c r="I182" s="97"/>
      <c r="J182" s="49"/>
      <c r="K182" s="49"/>
      <c r="L182" s="49"/>
    </row>
    <row r="183" spans="1:12" s="16" customFormat="1" ht="12" customHeight="1" x14ac:dyDescent="0.2">
      <c r="A183" s="141"/>
      <c r="B183" s="56">
        <v>75416</v>
      </c>
      <c r="C183" s="86"/>
      <c r="D183" s="84" t="s">
        <v>155</v>
      </c>
      <c r="E183" s="39">
        <v>5791938</v>
      </c>
      <c r="F183" s="40">
        <f>SUM(F184,F190)</f>
        <v>26580</v>
      </c>
      <c r="G183" s="40">
        <f>SUM(G184,G190)</f>
        <v>26580</v>
      </c>
      <c r="H183" s="39">
        <f>SUM(E183+F183-G183)</f>
        <v>5791938</v>
      </c>
      <c r="I183" s="136"/>
      <c r="J183" s="49"/>
      <c r="K183" s="49"/>
      <c r="L183" s="49"/>
    </row>
    <row r="184" spans="1:12" s="16" customFormat="1" ht="12" customHeight="1" x14ac:dyDescent="0.2">
      <c r="A184" s="141"/>
      <c r="B184" s="56"/>
      <c r="C184" s="86"/>
      <c r="D184" s="698" t="s">
        <v>156</v>
      </c>
      <c r="E184" s="685">
        <v>4745460</v>
      </c>
      <c r="F184" s="687">
        <f>SUM(F185:F189)</f>
        <v>19700</v>
      </c>
      <c r="G184" s="687">
        <f>SUM(G185:G189)</f>
        <v>19700</v>
      </c>
      <c r="H184" s="94">
        <f>SUM(E184+F184-G184)</f>
        <v>4745460</v>
      </c>
      <c r="I184" s="97"/>
      <c r="J184" s="49"/>
      <c r="K184" s="49"/>
      <c r="L184" s="49"/>
    </row>
    <row r="185" spans="1:12" s="16" customFormat="1" ht="22.5" customHeight="1" x14ac:dyDescent="0.2">
      <c r="A185" s="141"/>
      <c r="B185" s="56"/>
      <c r="C185" s="67">
        <v>4140</v>
      </c>
      <c r="D185" s="68" t="s">
        <v>38</v>
      </c>
      <c r="E185" s="45">
        <v>34200</v>
      </c>
      <c r="F185" s="42"/>
      <c r="G185" s="42">
        <v>13700</v>
      </c>
      <c r="H185" s="45">
        <f t="shared" ref="H185:H193" si="49">SUM(E185+F185-G185)</f>
        <v>20500</v>
      </c>
      <c r="I185" s="97"/>
      <c r="J185" s="49"/>
      <c r="K185" s="49"/>
      <c r="L185" s="49"/>
    </row>
    <row r="186" spans="1:12" s="16" customFormat="1" ht="12" customHeight="1" x14ac:dyDescent="0.2">
      <c r="A186" s="141"/>
      <c r="B186" s="27"/>
      <c r="C186" s="26">
        <v>4270</v>
      </c>
      <c r="D186" s="41" t="s">
        <v>60</v>
      </c>
      <c r="E186" s="147">
        <v>35900</v>
      </c>
      <c r="F186" s="147">
        <v>7700</v>
      </c>
      <c r="G186" s="147"/>
      <c r="H186" s="43">
        <f t="shared" si="49"/>
        <v>43600</v>
      </c>
      <c r="I186" s="97"/>
      <c r="J186" s="49"/>
      <c r="K186" s="49"/>
      <c r="L186" s="49"/>
    </row>
    <row r="187" spans="1:12" s="16" customFormat="1" ht="12" customHeight="1" x14ac:dyDescent="0.2">
      <c r="A187" s="141"/>
      <c r="B187" s="27"/>
      <c r="C187" s="26">
        <v>4300</v>
      </c>
      <c r="D187" s="41" t="s">
        <v>16</v>
      </c>
      <c r="E187" s="147">
        <v>88190</v>
      </c>
      <c r="F187" s="147">
        <v>12000</v>
      </c>
      <c r="G187" s="147"/>
      <c r="H187" s="43">
        <f t="shared" si="49"/>
        <v>100190</v>
      </c>
      <c r="I187" s="97"/>
      <c r="J187" s="49"/>
      <c r="K187" s="49"/>
      <c r="L187" s="49"/>
    </row>
    <row r="188" spans="1:12" s="16" customFormat="1" ht="23.25" customHeight="1" x14ac:dyDescent="0.2">
      <c r="A188" s="141"/>
      <c r="B188" s="142"/>
      <c r="C188" s="64">
        <v>4390</v>
      </c>
      <c r="D188" s="65" t="s">
        <v>157</v>
      </c>
      <c r="E188" s="45">
        <v>3800</v>
      </c>
      <c r="F188" s="42"/>
      <c r="G188" s="42">
        <v>2500</v>
      </c>
      <c r="H188" s="43">
        <f t="shared" si="49"/>
        <v>1300</v>
      </c>
      <c r="I188" s="97"/>
      <c r="J188" s="49"/>
      <c r="K188" s="49"/>
      <c r="L188" s="49"/>
    </row>
    <row r="189" spans="1:12" s="16" customFormat="1" ht="12" customHeight="1" x14ac:dyDescent="0.2">
      <c r="A189" s="141"/>
      <c r="B189" s="142"/>
      <c r="C189" s="26">
        <v>4710</v>
      </c>
      <c r="D189" s="41" t="s">
        <v>39</v>
      </c>
      <c r="E189" s="45">
        <v>14820</v>
      </c>
      <c r="F189" s="42"/>
      <c r="G189" s="42">
        <v>3500</v>
      </c>
      <c r="H189" s="43">
        <f t="shared" si="49"/>
        <v>11320</v>
      </c>
      <c r="I189" s="97"/>
      <c r="J189" s="49"/>
      <c r="K189" s="49"/>
      <c r="L189" s="49"/>
    </row>
    <row r="190" spans="1:12" s="16" customFormat="1" ht="12" customHeight="1" x14ac:dyDescent="0.2">
      <c r="A190" s="141"/>
      <c r="B190" s="56"/>
      <c r="C190" s="86"/>
      <c r="D190" s="699" t="s">
        <v>158</v>
      </c>
      <c r="E190" s="94">
        <v>1046478</v>
      </c>
      <c r="F190" s="687">
        <f>SUM(F191:F193)</f>
        <v>6880</v>
      </c>
      <c r="G190" s="687">
        <f>SUM(G191:G193)</f>
        <v>6880</v>
      </c>
      <c r="H190" s="685">
        <f>SUM(E190+F190-G190)</f>
        <v>1046478</v>
      </c>
      <c r="I190" s="97"/>
      <c r="J190" s="49"/>
      <c r="K190" s="49"/>
      <c r="L190" s="49"/>
    </row>
    <row r="191" spans="1:12" s="16" customFormat="1" ht="12" customHeight="1" x14ac:dyDescent="0.2">
      <c r="A191" s="141"/>
      <c r="B191" s="56"/>
      <c r="C191" s="26">
        <v>4040</v>
      </c>
      <c r="D191" s="41" t="s">
        <v>35</v>
      </c>
      <c r="E191" s="45">
        <v>42610</v>
      </c>
      <c r="F191" s="42"/>
      <c r="G191" s="42">
        <v>2280</v>
      </c>
      <c r="H191" s="45">
        <f t="shared" si="49"/>
        <v>40330</v>
      </c>
      <c r="I191" s="97"/>
      <c r="J191" s="49"/>
      <c r="K191" s="49"/>
      <c r="L191" s="49"/>
    </row>
    <row r="192" spans="1:12" s="16" customFormat="1" ht="21" customHeight="1" x14ac:dyDescent="0.2">
      <c r="A192" s="141"/>
      <c r="B192" s="142"/>
      <c r="C192" s="67">
        <v>4140</v>
      </c>
      <c r="D192" s="68" t="s">
        <v>38</v>
      </c>
      <c r="E192" s="45">
        <v>9310</v>
      </c>
      <c r="F192" s="42"/>
      <c r="G192" s="42">
        <v>4600</v>
      </c>
      <c r="H192" s="43">
        <f t="shared" si="49"/>
        <v>4710</v>
      </c>
      <c r="I192" s="97"/>
      <c r="J192" s="49"/>
      <c r="K192" s="49"/>
      <c r="L192" s="49"/>
    </row>
    <row r="193" spans="1:12" s="16" customFormat="1" ht="12" customHeight="1" x14ac:dyDescent="0.2">
      <c r="A193" s="141"/>
      <c r="B193" s="142"/>
      <c r="C193" s="26">
        <v>4300</v>
      </c>
      <c r="D193" s="41" t="s">
        <v>16</v>
      </c>
      <c r="E193" s="45">
        <v>10840</v>
      </c>
      <c r="F193" s="42">
        <v>6880</v>
      </c>
      <c r="G193" s="42"/>
      <c r="H193" s="43">
        <f t="shared" si="49"/>
        <v>17720</v>
      </c>
      <c r="I193" s="97"/>
      <c r="J193" s="49"/>
      <c r="K193" s="49"/>
      <c r="L193" s="49"/>
    </row>
    <row r="194" spans="1:12" s="16" customFormat="1" ht="12" customHeight="1" thickBot="1" x14ac:dyDescent="0.25">
      <c r="A194" s="33">
        <v>758</v>
      </c>
      <c r="B194" s="33"/>
      <c r="C194" s="34"/>
      <c r="D194" s="35" t="s">
        <v>82</v>
      </c>
      <c r="E194" s="31">
        <v>16382920</v>
      </c>
      <c r="F194" s="36">
        <f>SUM(F195)</f>
        <v>0</v>
      </c>
      <c r="G194" s="36">
        <f>SUM(G195)</f>
        <v>458000</v>
      </c>
      <c r="H194" s="31">
        <f>SUM(E194+F194-G194)</f>
        <v>15924920</v>
      </c>
      <c r="I194" s="148"/>
      <c r="J194" s="49"/>
      <c r="K194" s="49"/>
      <c r="L194" s="49"/>
    </row>
    <row r="195" spans="1:12" s="16" customFormat="1" ht="12" customHeight="1" thickTop="1" x14ac:dyDescent="0.2">
      <c r="A195" s="54"/>
      <c r="B195" s="37">
        <v>75818</v>
      </c>
      <c r="C195" s="27"/>
      <c r="D195" s="63" t="s">
        <v>159</v>
      </c>
      <c r="E195" s="39">
        <v>16382920</v>
      </c>
      <c r="F195" s="40">
        <f>SUM(F196)</f>
        <v>0</v>
      </c>
      <c r="G195" s="40">
        <f>SUM(G196)</f>
        <v>458000</v>
      </c>
      <c r="H195" s="39">
        <f>SUM(E195+F195-G195)</f>
        <v>15924920</v>
      </c>
      <c r="I195" s="97"/>
      <c r="J195" s="49"/>
      <c r="K195" s="49"/>
      <c r="L195" s="49"/>
    </row>
    <row r="196" spans="1:12" s="16" customFormat="1" ht="12" customHeight="1" x14ac:dyDescent="0.2">
      <c r="A196" s="54"/>
      <c r="B196" s="37"/>
      <c r="C196" s="27" t="s">
        <v>160</v>
      </c>
      <c r="D196" s="61" t="s">
        <v>161</v>
      </c>
      <c r="E196" s="149">
        <v>16262920</v>
      </c>
      <c r="F196" s="149">
        <f>SUM(F197:F198)</f>
        <v>0</v>
      </c>
      <c r="G196" s="149">
        <f>SUM(G197:G198)</f>
        <v>458000</v>
      </c>
      <c r="H196" s="149">
        <f>SUM(E196+F196-G196)</f>
        <v>15804920</v>
      </c>
      <c r="I196" s="97"/>
      <c r="J196" s="49"/>
      <c r="K196" s="49"/>
      <c r="L196" s="49"/>
    </row>
    <row r="197" spans="1:12" s="16" customFormat="1" ht="12" customHeight="1" x14ac:dyDescent="0.2">
      <c r="A197" s="54"/>
      <c r="B197" s="37"/>
      <c r="C197" s="27"/>
      <c r="D197" s="69" t="s">
        <v>162</v>
      </c>
      <c r="E197" s="45">
        <v>788780</v>
      </c>
      <c r="F197" s="45"/>
      <c r="G197" s="45">
        <v>438000</v>
      </c>
      <c r="H197" s="45">
        <f t="shared" ref="H197:H198" si="50">SUM(E197+F197-G197)</f>
        <v>350780</v>
      </c>
      <c r="I197" s="97"/>
      <c r="J197" s="49"/>
      <c r="K197" s="49"/>
      <c r="L197" s="49"/>
    </row>
    <row r="198" spans="1:12" s="16" customFormat="1" ht="12" customHeight="1" x14ac:dyDescent="0.2">
      <c r="A198" s="54"/>
      <c r="B198" s="37"/>
      <c r="C198" s="27"/>
      <c r="D198" s="69" t="s">
        <v>163</v>
      </c>
      <c r="E198" s="45">
        <v>15474140</v>
      </c>
      <c r="F198" s="45"/>
      <c r="G198" s="45">
        <v>20000</v>
      </c>
      <c r="H198" s="45">
        <f t="shared" si="50"/>
        <v>15454140</v>
      </c>
      <c r="I198" s="97"/>
      <c r="J198" s="49"/>
      <c r="K198" s="49"/>
      <c r="L198" s="49"/>
    </row>
    <row r="199" spans="1:12" s="16" customFormat="1" ht="12" customHeight="1" thickBot="1" x14ac:dyDescent="0.25">
      <c r="A199" s="33">
        <v>801</v>
      </c>
      <c r="B199" s="33"/>
      <c r="C199" s="34"/>
      <c r="D199" s="35" t="s">
        <v>40</v>
      </c>
      <c r="E199" s="70">
        <v>364449962.38</v>
      </c>
      <c r="F199" s="36">
        <f>SUM(F200,F228,F239,F243,F274,F283,F287,F294,F299,F324,F330,F343,F362,F373,F382,F389,F399,F409,F419,F427,F440,F449,F455)</f>
        <v>811221.81999999983</v>
      </c>
      <c r="G199" s="36">
        <f>SUM(G200,G228,G239,G243,G274,G283,G287,G294,G299,G324,G330,G343,G362,G373,G382,G389,G399,G409,G419,G427,G440,G449,G455)</f>
        <v>535627.11999999988</v>
      </c>
      <c r="H199" s="31">
        <f>SUM(E199+F199-G199)</f>
        <v>364725557.07999998</v>
      </c>
      <c r="I199" s="96"/>
      <c r="J199" s="49"/>
      <c r="K199" s="49"/>
    </row>
    <row r="200" spans="1:12" s="16" customFormat="1" ht="12" customHeight="1" thickTop="1" x14ac:dyDescent="0.2">
      <c r="A200" s="33"/>
      <c r="B200" s="37">
        <v>80101</v>
      </c>
      <c r="C200" s="27"/>
      <c r="D200" s="38" t="s">
        <v>41</v>
      </c>
      <c r="E200" s="39">
        <v>95664954.030000016</v>
      </c>
      <c r="F200" s="40">
        <f>SUM(F201,F205,F224)</f>
        <v>289782.95</v>
      </c>
      <c r="G200" s="40">
        <f>SUM(G201,G205,G224)</f>
        <v>84826.7</v>
      </c>
      <c r="H200" s="39">
        <f>SUM(E200+F200-G200)</f>
        <v>95869910.280000016</v>
      </c>
      <c r="I200" s="96"/>
      <c r="J200" s="49"/>
      <c r="K200" s="49"/>
    </row>
    <row r="201" spans="1:12" s="16" customFormat="1" ht="12" customHeight="1" x14ac:dyDescent="0.2">
      <c r="A201" s="33"/>
      <c r="B201" s="37"/>
      <c r="C201" s="27"/>
      <c r="D201" s="684" t="s">
        <v>56</v>
      </c>
      <c r="E201" s="685">
        <v>9750222</v>
      </c>
      <c r="F201" s="685">
        <f>SUM(F202:F204)</f>
        <v>72220.950000000012</v>
      </c>
      <c r="G201" s="685">
        <f>SUM(G202:G204)</f>
        <v>5024.7</v>
      </c>
      <c r="H201" s="685">
        <f t="shared" ref="H201:H204" si="51">SUM(E201+F201-G201)</f>
        <v>9817418.25</v>
      </c>
      <c r="I201" s="96"/>
      <c r="J201" s="49"/>
      <c r="K201" s="49"/>
    </row>
    <row r="202" spans="1:12" s="16" customFormat="1" ht="33" customHeight="1" x14ac:dyDescent="0.2">
      <c r="A202" s="33"/>
      <c r="B202" s="37"/>
      <c r="C202" s="64">
        <v>2590</v>
      </c>
      <c r="D202" s="150" t="s">
        <v>164</v>
      </c>
      <c r="E202" s="44">
        <v>6553078</v>
      </c>
      <c r="F202" s="44">
        <v>71578.350000000006</v>
      </c>
      <c r="G202" s="44"/>
      <c r="H202" s="44">
        <f t="shared" si="51"/>
        <v>6624656.3499999996</v>
      </c>
      <c r="I202" s="96"/>
      <c r="J202" s="49"/>
      <c r="K202" s="49"/>
    </row>
    <row r="203" spans="1:12" s="16" customFormat="1" ht="23.25" customHeight="1" x14ac:dyDescent="0.2">
      <c r="A203" s="33"/>
      <c r="B203" s="37"/>
      <c r="C203" s="64">
        <v>2810</v>
      </c>
      <c r="D203" s="65" t="s">
        <v>165</v>
      </c>
      <c r="E203" s="45">
        <v>10125</v>
      </c>
      <c r="F203" s="45">
        <v>642.6</v>
      </c>
      <c r="G203" s="45"/>
      <c r="H203" s="42">
        <f t="shared" si="51"/>
        <v>10767.6</v>
      </c>
      <c r="I203" s="96"/>
      <c r="J203" s="49"/>
      <c r="K203" s="49"/>
    </row>
    <row r="204" spans="1:12" s="16" customFormat="1" ht="33.75" customHeight="1" x14ac:dyDescent="0.2">
      <c r="A204" s="33"/>
      <c r="B204" s="37"/>
      <c r="C204" s="64">
        <v>2830</v>
      </c>
      <c r="D204" s="65" t="s">
        <v>166</v>
      </c>
      <c r="E204" s="45">
        <v>104625</v>
      </c>
      <c r="F204" s="45"/>
      <c r="G204" s="45">
        <v>5024.7</v>
      </c>
      <c r="H204" s="42">
        <f t="shared" si="51"/>
        <v>99600.3</v>
      </c>
      <c r="I204" s="96"/>
      <c r="J204" s="49"/>
      <c r="K204" s="49"/>
    </row>
    <row r="205" spans="1:12" s="16" customFormat="1" ht="12" customHeight="1" x14ac:dyDescent="0.2">
      <c r="A205" s="33"/>
      <c r="B205" s="37"/>
      <c r="C205" s="27"/>
      <c r="D205" s="693" t="s">
        <v>42</v>
      </c>
      <c r="E205" s="685">
        <v>83832820.900000006</v>
      </c>
      <c r="F205" s="685">
        <f>SUM(F206:F223)</f>
        <v>61314</v>
      </c>
      <c r="G205" s="685">
        <f>SUM(G206:G223)</f>
        <v>79802</v>
      </c>
      <c r="H205" s="94">
        <f>SUM(E205+F205-G205)</f>
        <v>83814332.900000006</v>
      </c>
      <c r="I205" s="96"/>
      <c r="J205" s="49"/>
      <c r="K205" s="49"/>
      <c r="L205" s="49"/>
    </row>
    <row r="206" spans="1:12" s="16" customFormat="1" ht="12" customHeight="1" x14ac:dyDescent="0.2">
      <c r="A206" s="113"/>
      <c r="B206" s="72"/>
      <c r="C206" s="73">
        <v>3020</v>
      </c>
      <c r="D206" s="38" t="s">
        <v>167</v>
      </c>
      <c r="E206" s="74">
        <v>455457</v>
      </c>
      <c r="F206" s="74">
        <f>4630</f>
        <v>4630</v>
      </c>
      <c r="G206" s="74"/>
      <c r="H206" s="39">
        <f t="shared" ref="H206:H223" si="52">SUM(E206+F206-G206)</f>
        <v>460087</v>
      </c>
      <c r="I206" s="96"/>
      <c r="J206" s="49"/>
      <c r="K206" s="49"/>
      <c r="L206" s="49"/>
    </row>
    <row r="207" spans="1:12" s="16" customFormat="1" ht="22.5" customHeight="1" x14ac:dyDescent="0.2">
      <c r="A207" s="33"/>
      <c r="B207" s="37"/>
      <c r="C207" s="64">
        <v>3040</v>
      </c>
      <c r="D207" s="65" t="s">
        <v>168</v>
      </c>
      <c r="E207" s="45">
        <v>649090.68000000005</v>
      </c>
      <c r="F207" s="45"/>
      <c r="G207" s="45">
        <f>19275</f>
        <v>19275</v>
      </c>
      <c r="H207" s="43">
        <f t="shared" si="52"/>
        <v>629815.68000000005</v>
      </c>
      <c r="I207" s="96"/>
      <c r="J207" s="49"/>
      <c r="K207" s="49"/>
      <c r="L207" s="49"/>
    </row>
    <row r="208" spans="1:12" s="16" customFormat="1" ht="12" customHeight="1" x14ac:dyDescent="0.2">
      <c r="A208" s="33"/>
      <c r="B208" s="37"/>
      <c r="C208" s="26">
        <v>4040</v>
      </c>
      <c r="D208" s="41" t="s">
        <v>35</v>
      </c>
      <c r="E208" s="45">
        <v>719541</v>
      </c>
      <c r="F208" s="45"/>
      <c r="G208" s="45">
        <f>350</f>
        <v>350</v>
      </c>
      <c r="H208" s="43">
        <f t="shared" si="52"/>
        <v>719191</v>
      </c>
      <c r="I208" s="96"/>
      <c r="J208" s="49"/>
      <c r="K208" s="49"/>
      <c r="L208" s="49"/>
    </row>
    <row r="209" spans="1:12" s="16" customFormat="1" ht="12" customHeight="1" x14ac:dyDescent="0.2">
      <c r="A209" s="33"/>
      <c r="B209" s="37"/>
      <c r="C209" s="26">
        <v>4110</v>
      </c>
      <c r="D209" s="41" t="s">
        <v>36</v>
      </c>
      <c r="E209" s="45">
        <v>10288986.949999999</v>
      </c>
      <c r="F209" s="45"/>
      <c r="G209" s="45">
        <f>2001</f>
        <v>2001</v>
      </c>
      <c r="H209" s="43">
        <f t="shared" si="52"/>
        <v>10286985.949999999</v>
      </c>
      <c r="I209" s="96"/>
      <c r="J209" s="49"/>
      <c r="K209" s="49"/>
      <c r="L209" s="49"/>
    </row>
    <row r="210" spans="1:12" s="16" customFormat="1" ht="12" customHeight="1" x14ac:dyDescent="0.2">
      <c r="A210" s="33"/>
      <c r="B210" s="37"/>
      <c r="C210" s="26">
        <v>4120</v>
      </c>
      <c r="D210" s="41" t="s">
        <v>62</v>
      </c>
      <c r="E210" s="45">
        <v>1247440</v>
      </c>
      <c r="F210" s="45"/>
      <c r="G210" s="45">
        <f>400</f>
        <v>400</v>
      </c>
      <c r="H210" s="43">
        <f t="shared" si="52"/>
        <v>1247040</v>
      </c>
      <c r="I210" s="96"/>
      <c r="J210" s="49"/>
      <c r="K210" s="49"/>
      <c r="L210" s="49"/>
    </row>
    <row r="211" spans="1:12" s="16" customFormat="1" ht="12" customHeight="1" x14ac:dyDescent="0.2">
      <c r="A211" s="33"/>
      <c r="B211" s="37"/>
      <c r="C211" s="26">
        <v>4170</v>
      </c>
      <c r="D211" s="41" t="s">
        <v>69</v>
      </c>
      <c r="E211" s="45">
        <v>46947</v>
      </c>
      <c r="F211" s="45"/>
      <c r="G211" s="45">
        <f>7000</f>
        <v>7000</v>
      </c>
      <c r="H211" s="43">
        <f t="shared" si="52"/>
        <v>39947</v>
      </c>
      <c r="I211" s="96"/>
      <c r="J211" s="49"/>
      <c r="K211" s="49"/>
      <c r="L211" s="49"/>
    </row>
    <row r="212" spans="1:12" s="16" customFormat="1" ht="12" customHeight="1" x14ac:dyDescent="0.2">
      <c r="A212" s="33"/>
      <c r="B212" s="37"/>
      <c r="C212" s="57" t="s">
        <v>58</v>
      </c>
      <c r="D212" s="69" t="s">
        <v>59</v>
      </c>
      <c r="E212" s="45">
        <v>579731</v>
      </c>
      <c r="F212" s="45">
        <f>23779</f>
        <v>23779</v>
      </c>
      <c r="G212" s="45"/>
      <c r="H212" s="43">
        <f t="shared" si="52"/>
        <v>603510</v>
      </c>
      <c r="I212" s="96"/>
      <c r="J212" s="49"/>
      <c r="K212" s="49"/>
      <c r="L212" s="49"/>
    </row>
    <row r="213" spans="1:12" s="16" customFormat="1" ht="12" customHeight="1" x14ac:dyDescent="0.2">
      <c r="A213" s="33"/>
      <c r="B213" s="37"/>
      <c r="C213" s="26">
        <v>4240</v>
      </c>
      <c r="D213" s="41" t="s">
        <v>169</v>
      </c>
      <c r="E213" s="45">
        <v>370760</v>
      </c>
      <c r="F213" s="45"/>
      <c r="G213" s="45">
        <f>22079</f>
        <v>22079</v>
      </c>
      <c r="H213" s="43">
        <f t="shared" si="52"/>
        <v>348681</v>
      </c>
      <c r="I213" s="96"/>
      <c r="J213" s="49"/>
      <c r="K213" s="49"/>
      <c r="L213" s="49"/>
    </row>
    <row r="214" spans="1:12" s="16" customFormat="1" ht="12" customHeight="1" x14ac:dyDescent="0.2">
      <c r="A214" s="33"/>
      <c r="B214" s="37"/>
      <c r="C214" s="26">
        <v>4260</v>
      </c>
      <c r="D214" s="41" t="s">
        <v>143</v>
      </c>
      <c r="E214" s="45">
        <v>6610835</v>
      </c>
      <c r="F214" s="45"/>
      <c r="G214" s="45">
        <f>20000</f>
        <v>20000</v>
      </c>
      <c r="H214" s="43">
        <f t="shared" si="52"/>
        <v>6590835</v>
      </c>
      <c r="I214" s="96"/>
      <c r="J214" s="49"/>
      <c r="K214" s="49"/>
    </row>
    <row r="215" spans="1:12" s="16" customFormat="1" ht="12" customHeight="1" x14ac:dyDescent="0.2">
      <c r="A215" s="33"/>
      <c r="B215" s="37"/>
      <c r="C215" s="26">
        <v>4270</v>
      </c>
      <c r="D215" s="41" t="s">
        <v>60</v>
      </c>
      <c r="E215" s="45">
        <v>239073</v>
      </c>
      <c r="F215" s="45">
        <f>3000</f>
        <v>3000</v>
      </c>
      <c r="G215" s="45"/>
      <c r="H215" s="43">
        <f t="shared" si="52"/>
        <v>242073</v>
      </c>
      <c r="I215" s="96"/>
      <c r="J215" s="49"/>
      <c r="K215" s="49"/>
    </row>
    <row r="216" spans="1:12" s="16" customFormat="1" ht="12" customHeight="1" x14ac:dyDescent="0.2">
      <c r="A216" s="33"/>
      <c r="B216" s="37"/>
      <c r="C216" s="26">
        <v>4280</v>
      </c>
      <c r="D216" s="41" t="s">
        <v>170</v>
      </c>
      <c r="E216" s="45">
        <v>79580</v>
      </c>
      <c r="F216" s="45">
        <f>350</f>
        <v>350</v>
      </c>
      <c r="G216" s="45"/>
      <c r="H216" s="43">
        <f t="shared" si="52"/>
        <v>79930</v>
      </c>
      <c r="I216" s="96"/>
      <c r="J216" s="49"/>
      <c r="K216" s="49"/>
    </row>
    <row r="217" spans="1:12" s="16" customFormat="1" ht="12" customHeight="1" x14ac:dyDescent="0.2">
      <c r="A217" s="33"/>
      <c r="B217" s="37"/>
      <c r="C217" s="26">
        <v>4300</v>
      </c>
      <c r="D217" s="41" t="s">
        <v>16</v>
      </c>
      <c r="E217" s="42">
        <v>884668</v>
      </c>
      <c r="F217" s="42">
        <f>13500</f>
        <v>13500</v>
      </c>
      <c r="G217" s="42"/>
      <c r="H217" s="43">
        <f t="shared" si="52"/>
        <v>898168</v>
      </c>
      <c r="I217" s="96"/>
      <c r="J217" s="49"/>
      <c r="K217" s="49"/>
    </row>
    <row r="218" spans="1:12" s="16" customFormat="1" ht="12" customHeight="1" x14ac:dyDescent="0.2">
      <c r="A218" s="33"/>
      <c r="B218" s="37"/>
      <c r="C218" s="26">
        <v>4360</v>
      </c>
      <c r="D218" s="41" t="s">
        <v>171</v>
      </c>
      <c r="E218" s="42">
        <v>57532</v>
      </c>
      <c r="F218" s="42">
        <f>400</f>
        <v>400</v>
      </c>
      <c r="G218" s="42"/>
      <c r="H218" s="43">
        <f t="shared" si="52"/>
        <v>57932</v>
      </c>
      <c r="I218" s="96"/>
      <c r="J218" s="49"/>
      <c r="K218" s="49"/>
    </row>
    <row r="219" spans="1:12" s="16" customFormat="1" ht="12" customHeight="1" x14ac:dyDescent="0.2">
      <c r="A219" s="33"/>
      <c r="B219" s="37"/>
      <c r="C219" s="26">
        <v>4410</v>
      </c>
      <c r="D219" s="69" t="s">
        <v>70</v>
      </c>
      <c r="E219" s="151">
        <v>22775</v>
      </c>
      <c r="F219" s="42">
        <f>200</f>
        <v>200</v>
      </c>
      <c r="G219" s="42"/>
      <c r="H219" s="43">
        <f t="shared" si="52"/>
        <v>22975</v>
      </c>
      <c r="I219" s="96"/>
      <c r="J219" s="49"/>
      <c r="K219" s="49"/>
    </row>
    <row r="220" spans="1:12" s="16" customFormat="1" ht="23.25" customHeight="1" x14ac:dyDescent="0.2">
      <c r="A220" s="33"/>
      <c r="B220" s="37"/>
      <c r="C220" s="64">
        <v>4700</v>
      </c>
      <c r="D220" s="68" t="s">
        <v>138</v>
      </c>
      <c r="E220" s="151">
        <v>64536</v>
      </c>
      <c r="F220" s="42">
        <f>4300</f>
        <v>4300</v>
      </c>
      <c r="G220" s="42"/>
      <c r="H220" s="43">
        <f t="shared" si="52"/>
        <v>68836</v>
      </c>
      <c r="I220" s="96"/>
      <c r="J220" s="49"/>
      <c r="K220" s="49"/>
    </row>
    <row r="221" spans="1:12" s="16" customFormat="1" ht="12" customHeight="1" x14ac:dyDescent="0.2">
      <c r="A221" s="33"/>
      <c r="B221" s="37"/>
      <c r="C221" s="26">
        <v>4710</v>
      </c>
      <c r="D221" s="41" t="s">
        <v>39</v>
      </c>
      <c r="E221" s="42">
        <v>150787.26999999999</v>
      </c>
      <c r="F221" s="42"/>
      <c r="G221" s="42">
        <f>8500</f>
        <v>8500</v>
      </c>
      <c r="H221" s="43">
        <f t="shared" si="52"/>
        <v>142287.26999999999</v>
      </c>
      <c r="I221" s="96"/>
      <c r="J221" s="49"/>
      <c r="K221" s="49"/>
    </row>
    <row r="222" spans="1:12" s="16" customFormat="1" ht="12" customHeight="1" x14ac:dyDescent="0.2">
      <c r="A222" s="33"/>
      <c r="B222" s="37"/>
      <c r="C222" s="86">
        <v>4790</v>
      </c>
      <c r="D222" s="152" t="s">
        <v>172</v>
      </c>
      <c r="E222" s="42">
        <v>44388587</v>
      </c>
      <c r="F222" s="42">
        <f>11155</f>
        <v>11155</v>
      </c>
      <c r="G222" s="42"/>
      <c r="H222" s="43">
        <f t="shared" si="52"/>
        <v>44399742</v>
      </c>
      <c r="I222" s="96"/>
      <c r="J222" s="49"/>
      <c r="K222" s="49"/>
    </row>
    <row r="223" spans="1:12" s="16" customFormat="1" ht="12" customHeight="1" x14ac:dyDescent="0.2">
      <c r="A223" s="33"/>
      <c r="B223" s="37"/>
      <c r="C223" s="86">
        <v>4800</v>
      </c>
      <c r="D223" s="152" t="s">
        <v>173</v>
      </c>
      <c r="E223" s="42">
        <v>3205698</v>
      </c>
      <c r="F223" s="42"/>
      <c r="G223" s="42">
        <f>197</f>
        <v>197</v>
      </c>
      <c r="H223" s="43">
        <f t="shared" si="52"/>
        <v>3205501</v>
      </c>
      <c r="I223" s="96"/>
      <c r="J223" s="49"/>
      <c r="K223" s="49"/>
    </row>
    <row r="224" spans="1:12" s="16" customFormat="1" ht="21" customHeight="1" x14ac:dyDescent="0.2">
      <c r="A224" s="33"/>
      <c r="B224" s="37"/>
      <c r="C224" s="27"/>
      <c r="D224" s="686" t="s">
        <v>174</v>
      </c>
      <c r="E224" s="685">
        <v>1730195.59</v>
      </c>
      <c r="F224" s="685">
        <f>SUM(F225:F227)</f>
        <v>156248</v>
      </c>
      <c r="G224" s="685">
        <f>SUM(G225:G227)</f>
        <v>0</v>
      </c>
      <c r="H224" s="94">
        <f>SUM(E224+F224-G224)</f>
        <v>1886443.59</v>
      </c>
      <c r="I224" s="97"/>
      <c r="J224" s="49"/>
      <c r="K224" s="49"/>
    </row>
    <row r="225" spans="1:11" s="16" customFormat="1" ht="23.25" customHeight="1" x14ac:dyDescent="0.2">
      <c r="A225" s="33"/>
      <c r="B225" s="37"/>
      <c r="C225" s="99" t="s">
        <v>175</v>
      </c>
      <c r="D225" s="68" t="s">
        <v>176</v>
      </c>
      <c r="E225" s="45">
        <v>1137338.27</v>
      </c>
      <c r="F225" s="45">
        <v>105218</v>
      </c>
      <c r="G225" s="45"/>
      <c r="H225" s="43">
        <f t="shared" ref="H225:H227" si="53">SUM(E225+F225-G225)</f>
        <v>1242556.27</v>
      </c>
      <c r="I225" s="97"/>
      <c r="J225" s="49"/>
      <c r="K225" s="49"/>
    </row>
    <row r="226" spans="1:11" s="16" customFormat="1" ht="23.25" customHeight="1" x14ac:dyDescent="0.2">
      <c r="A226" s="33"/>
      <c r="B226" s="37"/>
      <c r="C226" s="64">
        <v>4750</v>
      </c>
      <c r="D226" s="65" t="s">
        <v>177</v>
      </c>
      <c r="E226" s="45">
        <v>331090.77</v>
      </c>
      <c r="F226" s="45">
        <v>42900</v>
      </c>
      <c r="G226" s="45"/>
      <c r="H226" s="43">
        <f t="shared" si="53"/>
        <v>373990.77</v>
      </c>
      <c r="I226" s="97"/>
      <c r="J226" s="49"/>
      <c r="K226" s="49"/>
    </row>
    <row r="227" spans="1:11" s="16" customFormat="1" ht="24" customHeight="1" x14ac:dyDescent="0.2">
      <c r="A227" s="33"/>
      <c r="B227" s="37"/>
      <c r="C227" s="64">
        <v>4850</v>
      </c>
      <c r="D227" s="65" t="s">
        <v>178</v>
      </c>
      <c r="E227" s="45">
        <v>69523.55</v>
      </c>
      <c r="F227" s="45">
        <v>8130</v>
      </c>
      <c r="G227" s="45"/>
      <c r="H227" s="43">
        <f t="shared" si="53"/>
        <v>77653.55</v>
      </c>
      <c r="I227" s="97"/>
      <c r="J227" s="49"/>
      <c r="K227" s="49"/>
    </row>
    <row r="228" spans="1:11" s="16" customFormat="1" ht="12" customHeight="1" x14ac:dyDescent="0.2">
      <c r="A228" s="33"/>
      <c r="B228" s="37">
        <v>80102</v>
      </c>
      <c r="C228" s="27"/>
      <c r="D228" s="38" t="s">
        <v>44</v>
      </c>
      <c r="E228" s="40">
        <v>12349839.27</v>
      </c>
      <c r="F228" s="40">
        <f>SUM(F229,F236)</f>
        <v>42946</v>
      </c>
      <c r="G228" s="40">
        <f>SUM(G229,G236)</f>
        <v>7249</v>
      </c>
      <c r="H228" s="39">
        <f>SUM(E228+F228-G228)</f>
        <v>12385536.27</v>
      </c>
      <c r="I228" s="96"/>
      <c r="J228" s="49"/>
      <c r="K228" s="49"/>
    </row>
    <row r="229" spans="1:11" s="16" customFormat="1" ht="12" customHeight="1" x14ac:dyDescent="0.2">
      <c r="A229" s="33"/>
      <c r="B229" s="37"/>
      <c r="C229" s="27"/>
      <c r="D229" s="693" t="s">
        <v>42</v>
      </c>
      <c r="E229" s="685">
        <v>12275107.77</v>
      </c>
      <c r="F229" s="685">
        <f>SUM(F230:F235)</f>
        <v>30249</v>
      </c>
      <c r="G229" s="685">
        <f>SUM(G230:G235)</f>
        <v>7249</v>
      </c>
      <c r="H229" s="685">
        <f t="shared" ref="H229:H235" si="54">SUM(E229+F229-G229)</f>
        <v>12298107.77</v>
      </c>
      <c r="I229" s="96"/>
      <c r="J229" s="49"/>
      <c r="K229" s="49"/>
    </row>
    <row r="230" spans="1:11" s="16" customFormat="1" ht="21.75" customHeight="1" x14ac:dyDescent="0.2">
      <c r="A230" s="33"/>
      <c r="B230" s="37"/>
      <c r="C230" s="64">
        <v>3040</v>
      </c>
      <c r="D230" s="65" t="s">
        <v>168</v>
      </c>
      <c r="E230" s="45">
        <v>85729.77</v>
      </c>
      <c r="F230" s="45"/>
      <c r="G230" s="45">
        <f>2249</f>
        <v>2249</v>
      </c>
      <c r="H230" s="44">
        <f t="shared" si="54"/>
        <v>83480.77</v>
      </c>
      <c r="I230" s="96"/>
      <c r="J230" s="49"/>
      <c r="K230" s="49"/>
    </row>
    <row r="231" spans="1:11" s="16" customFormat="1" ht="12" customHeight="1" x14ac:dyDescent="0.2">
      <c r="A231" s="33"/>
      <c r="B231" s="37"/>
      <c r="C231" s="64">
        <v>4210</v>
      </c>
      <c r="D231" s="69" t="s">
        <v>59</v>
      </c>
      <c r="E231" s="45">
        <v>32300</v>
      </c>
      <c r="F231" s="45">
        <f>8000</f>
        <v>8000</v>
      </c>
      <c r="G231" s="45"/>
      <c r="H231" s="44">
        <f t="shared" si="54"/>
        <v>40300</v>
      </c>
      <c r="I231" s="96"/>
      <c r="J231" s="49"/>
      <c r="K231" s="49"/>
    </row>
    <row r="232" spans="1:11" s="16" customFormat="1" ht="12" customHeight="1" x14ac:dyDescent="0.2">
      <c r="A232" s="33"/>
      <c r="B232" s="37"/>
      <c r="C232" s="64">
        <v>4270</v>
      </c>
      <c r="D232" s="41" t="s">
        <v>60</v>
      </c>
      <c r="E232" s="45">
        <v>10000</v>
      </c>
      <c r="F232" s="45">
        <f>15000</f>
        <v>15000</v>
      </c>
      <c r="G232" s="45"/>
      <c r="H232" s="44">
        <f t="shared" si="54"/>
        <v>25000</v>
      </c>
      <c r="I232" s="96"/>
      <c r="J232" s="49"/>
      <c r="K232" s="49"/>
    </row>
    <row r="233" spans="1:11" s="16" customFormat="1" ht="12" customHeight="1" x14ac:dyDescent="0.2">
      <c r="A233" s="33"/>
      <c r="B233" s="37"/>
      <c r="C233" s="64">
        <v>4280</v>
      </c>
      <c r="D233" s="41" t="s">
        <v>170</v>
      </c>
      <c r="E233" s="45">
        <v>9542</v>
      </c>
      <c r="F233" s="45">
        <f>5000</f>
        <v>5000</v>
      </c>
      <c r="G233" s="45"/>
      <c r="H233" s="44">
        <f t="shared" si="54"/>
        <v>14542</v>
      </c>
      <c r="I233" s="96"/>
      <c r="J233" s="49"/>
      <c r="K233" s="49"/>
    </row>
    <row r="234" spans="1:11" s="16" customFormat="1" ht="12" customHeight="1" x14ac:dyDescent="0.2">
      <c r="A234" s="33"/>
      <c r="B234" s="37"/>
      <c r="C234" s="26">
        <v>4710</v>
      </c>
      <c r="D234" s="69" t="s">
        <v>39</v>
      </c>
      <c r="E234" s="45">
        <v>18621</v>
      </c>
      <c r="F234" s="45"/>
      <c r="G234" s="45">
        <f>5000</f>
        <v>5000</v>
      </c>
      <c r="H234" s="44">
        <f t="shared" si="54"/>
        <v>13621</v>
      </c>
      <c r="I234" s="96"/>
      <c r="J234" s="49"/>
      <c r="K234" s="49"/>
    </row>
    <row r="235" spans="1:11" s="16" customFormat="1" ht="12" customHeight="1" x14ac:dyDescent="0.2">
      <c r="A235" s="33"/>
      <c r="B235" s="37"/>
      <c r="C235" s="86">
        <v>4790</v>
      </c>
      <c r="D235" s="152" t="s">
        <v>172</v>
      </c>
      <c r="E235" s="45">
        <v>7031018</v>
      </c>
      <c r="F235" s="45">
        <f>2249</f>
        <v>2249</v>
      </c>
      <c r="G235" s="45"/>
      <c r="H235" s="44">
        <f t="shared" si="54"/>
        <v>7033267</v>
      </c>
      <c r="I235" s="96"/>
      <c r="J235" s="49"/>
      <c r="K235" s="49"/>
    </row>
    <row r="236" spans="1:11" s="16" customFormat="1" ht="23.25" customHeight="1" x14ac:dyDescent="0.2">
      <c r="A236" s="33"/>
      <c r="B236" s="37"/>
      <c r="C236" s="27"/>
      <c r="D236" s="686" t="s">
        <v>174</v>
      </c>
      <c r="E236" s="685">
        <v>74731.5</v>
      </c>
      <c r="F236" s="685">
        <f>SUM(F237:F238)</f>
        <v>12697</v>
      </c>
      <c r="G236" s="685">
        <f>SUM(G237:G238)</f>
        <v>0</v>
      </c>
      <c r="H236" s="94">
        <f>SUM(E236+F236-G236)</f>
        <v>87428.5</v>
      </c>
      <c r="I236" s="97"/>
      <c r="J236" s="49"/>
      <c r="K236" s="49"/>
    </row>
    <row r="237" spans="1:11" s="16" customFormat="1" ht="24.75" customHeight="1" x14ac:dyDescent="0.2">
      <c r="A237" s="33"/>
      <c r="B237" s="37"/>
      <c r="C237" s="99" t="s">
        <v>175</v>
      </c>
      <c r="D237" s="68" t="s">
        <v>176</v>
      </c>
      <c r="E237" s="45">
        <v>48310.57</v>
      </c>
      <c r="F237" s="45">
        <v>11273</v>
      </c>
      <c r="G237" s="45"/>
      <c r="H237" s="43">
        <f t="shared" ref="H237:H238" si="55">SUM(E237+F237-G237)</f>
        <v>59583.57</v>
      </c>
      <c r="I237" s="96"/>
      <c r="J237" s="49"/>
      <c r="K237" s="49"/>
    </row>
    <row r="238" spans="1:11" s="16" customFormat="1" ht="20.25" customHeight="1" x14ac:dyDescent="0.2">
      <c r="A238" s="33"/>
      <c r="B238" s="37"/>
      <c r="C238" s="64">
        <v>4750</v>
      </c>
      <c r="D238" s="65" t="s">
        <v>177</v>
      </c>
      <c r="E238" s="45">
        <v>15596.93</v>
      </c>
      <c r="F238" s="45">
        <v>1424</v>
      </c>
      <c r="G238" s="45"/>
      <c r="H238" s="43">
        <f t="shared" si="55"/>
        <v>17020.93</v>
      </c>
      <c r="I238" s="96"/>
      <c r="J238" s="49"/>
      <c r="K238" s="49"/>
    </row>
    <row r="239" spans="1:11" s="16" customFormat="1" ht="12" customHeight="1" x14ac:dyDescent="0.2">
      <c r="A239" s="33"/>
      <c r="B239" s="37">
        <v>80103</v>
      </c>
      <c r="C239" s="27"/>
      <c r="D239" s="38" t="s">
        <v>179</v>
      </c>
      <c r="E239" s="40">
        <v>900676.81</v>
      </c>
      <c r="F239" s="40">
        <f>SUM(F240)</f>
        <v>1100</v>
      </c>
      <c r="G239" s="40">
        <f>SUM(G240)</f>
        <v>1100</v>
      </c>
      <c r="H239" s="39">
        <f>SUM(E239+F239-G239)</f>
        <v>900676.81</v>
      </c>
      <c r="I239" s="96"/>
      <c r="J239" s="49"/>
      <c r="K239" s="49"/>
    </row>
    <row r="240" spans="1:11" s="16" customFormat="1" ht="12" customHeight="1" x14ac:dyDescent="0.2">
      <c r="A240" s="33"/>
      <c r="B240" s="37"/>
      <c r="C240" s="27"/>
      <c r="D240" s="693" t="s">
        <v>42</v>
      </c>
      <c r="E240" s="685">
        <v>728180.81</v>
      </c>
      <c r="F240" s="685">
        <f>SUM(F241:F242)</f>
        <v>1100</v>
      </c>
      <c r="G240" s="685">
        <f>SUM(G241:G242)</f>
        <v>1100</v>
      </c>
      <c r="H240" s="94">
        <f>SUM(E240+F240-G240)</f>
        <v>728180.81</v>
      </c>
      <c r="I240" s="96"/>
      <c r="J240" s="49"/>
      <c r="K240" s="49"/>
    </row>
    <row r="241" spans="1:11" s="16" customFormat="1" ht="23.25" customHeight="1" x14ac:dyDescent="0.2">
      <c r="A241" s="33"/>
      <c r="B241" s="37"/>
      <c r="C241" s="64">
        <v>3040</v>
      </c>
      <c r="D241" s="65" t="s">
        <v>168</v>
      </c>
      <c r="E241" s="45">
        <v>6126</v>
      </c>
      <c r="F241" s="45"/>
      <c r="G241" s="45">
        <f>1100</f>
        <v>1100</v>
      </c>
      <c r="H241" s="43">
        <f t="shared" ref="H241:H242" si="56">SUM(E241+F241-G241)</f>
        <v>5026</v>
      </c>
      <c r="I241" s="96"/>
      <c r="J241" s="49"/>
      <c r="K241" s="49"/>
    </row>
    <row r="242" spans="1:11" s="16" customFormat="1" ht="12" customHeight="1" x14ac:dyDescent="0.2">
      <c r="A242" s="33"/>
      <c r="B242" s="37"/>
      <c r="C242" s="86">
        <v>4790</v>
      </c>
      <c r="D242" s="152" t="s">
        <v>172</v>
      </c>
      <c r="E242" s="45">
        <v>425631</v>
      </c>
      <c r="F242" s="45">
        <f>1100</f>
        <v>1100</v>
      </c>
      <c r="G242" s="45"/>
      <c r="H242" s="43">
        <f t="shared" si="56"/>
        <v>426731</v>
      </c>
      <c r="I242" s="96"/>
      <c r="J242" s="49"/>
      <c r="K242" s="49"/>
    </row>
    <row r="243" spans="1:11" s="16" customFormat="1" ht="12" customHeight="1" x14ac:dyDescent="0.2">
      <c r="A243" s="33"/>
      <c r="B243" s="37">
        <v>80104</v>
      </c>
      <c r="C243" s="27"/>
      <c r="D243" s="38" t="s">
        <v>45</v>
      </c>
      <c r="E243" s="40">
        <v>49644810.119999997</v>
      </c>
      <c r="F243" s="40">
        <f>SUM(F244,F249,F270,F272)</f>
        <v>199240</v>
      </c>
      <c r="G243" s="40">
        <f>SUM(G244,G249,G270,G272)</f>
        <v>106713.75</v>
      </c>
      <c r="H243" s="39">
        <f>SUM(E243+F243-G243)</f>
        <v>49737336.369999997</v>
      </c>
      <c r="I243" s="96"/>
      <c r="J243" s="49"/>
      <c r="K243" s="49"/>
    </row>
    <row r="244" spans="1:11" s="16" customFormat="1" ht="12" customHeight="1" x14ac:dyDescent="0.2">
      <c r="A244" s="33"/>
      <c r="B244" s="37"/>
      <c r="C244" s="27"/>
      <c r="D244" s="684" t="s">
        <v>56</v>
      </c>
      <c r="E244" s="685">
        <v>11020811</v>
      </c>
      <c r="F244" s="685">
        <f>SUM(F245:F248)</f>
        <v>44000</v>
      </c>
      <c r="G244" s="685">
        <f>SUM(G245:G248)</f>
        <v>11553.75</v>
      </c>
      <c r="H244" s="685">
        <f t="shared" ref="H244:H248" si="57">SUM(E244+F244-G244)</f>
        <v>11053257.25</v>
      </c>
      <c r="I244" s="96"/>
      <c r="J244" s="49"/>
      <c r="K244" s="49"/>
    </row>
    <row r="245" spans="1:11" s="16" customFormat="1" ht="24" customHeight="1" x14ac:dyDescent="0.2">
      <c r="A245" s="33"/>
      <c r="B245" s="37"/>
      <c r="C245" s="59" t="s">
        <v>180</v>
      </c>
      <c r="D245" s="65" t="s">
        <v>181</v>
      </c>
      <c r="E245" s="44">
        <v>250000</v>
      </c>
      <c r="F245" s="44">
        <v>30000</v>
      </c>
      <c r="G245" s="44"/>
      <c r="H245" s="44">
        <f t="shared" si="57"/>
        <v>280000</v>
      </c>
      <c r="I245" s="96"/>
      <c r="J245" s="49"/>
      <c r="K245" s="49"/>
    </row>
    <row r="246" spans="1:11" s="16" customFormat="1" ht="23.25" customHeight="1" x14ac:dyDescent="0.2">
      <c r="A246" s="33"/>
      <c r="B246" s="37"/>
      <c r="C246" s="64">
        <v>2540</v>
      </c>
      <c r="D246" s="65" t="s">
        <v>182</v>
      </c>
      <c r="E246" s="45">
        <v>8057256</v>
      </c>
      <c r="F246" s="45">
        <v>14000</v>
      </c>
      <c r="G246" s="45"/>
      <c r="H246" s="42">
        <f t="shared" si="57"/>
        <v>8071256</v>
      </c>
      <c r="I246" s="96"/>
      <c r="J246" s="49"/>
      <c r="K246" s="49"/>
    </row>
    <row r="247" spans="1:11" s="16" customFormat="1" ht="33" customHeight="1" x14ac:dyDescent="0.2">
      <c r="A247" s="33"/>
      <c r="B247" s="37"/>
      <c r="C247" s="99" t="s">
        <v>183</v>
      </c>
      <c r="D247" s="68" t="s">
        <v>184</v>
      </c>
      <c r="E247" s="45">
        <v>10125</v>
      </c>
      <c r="F247" s="45"/>
      <c r="G247" s="45">
        <v>2049.3000000000002</v>
      </c>
      <c r="H247" s="42">
        <f t="shared" si="57"/>
        <v>8075.7</v>
      </c>
      <c r="I247" s="96"/>
      <c r="J247" s="49"/>
      <c r="K247" s="49"/>
    </row>
    <row r="248" spans="1:11" s="16" customFormat="1" ht="33.75" customHeight="1" x14ac:dyDescent="0.2">
      <c r="A248" s="33"/>
      <c r="B248" s="37"/>
      <c r="C248" s="64">
        <v>2830</v>
      </c>
      <c r="D248" s="65" t="s">
        <v>166</v>
      </c>
      <c r="E248" s="45">
        <v>102375</v>
      </c>
      <c r="F248" s="45"/>
      <c r="G248" s="45">
        <v>9504.4500000000007</v>
      </c>
      <c r="H248" s="42">
        <f t="shared" si="57"/>
        <v>92870.55</v>
      </c>
      <c r="I248" s="96"/>
      <c r="J248" s="49"/>
      <c r="K248" s="49"/>
    </row>
    <row r="249" spans="1:11" s="16" customFormat="1" ht="12" customHeight="1" x14ac:dyDescent="0.2">
      <c r="A249" s="33"/>
      <c r="B249" s="37"/>
      <c r="C249" s="27"/>
      <c r="D249" s="693" t="s">
        <v>42</v>
      </c>
      <c r="E249" s="685">
        <v>38003375.259999998</v>
      </c>
      <c r="F249" s="685">
        <f>SUM(F250:F269)</f>
        <v>125062</v>
      </c>
      <c r="G249" s="685">
        <f>SUM(G250:G269)</f>
        <v>95160</v>
      </c>
      <c r="H249" s="94">
        <f>SUM(E249+F249-G249)</f>
        <v>38033277.259999998</v>
      </c>
      <c r="I249" s="96"/>
      <c r="J249" s="49"/>
      <c r="K249" s="49"/>
    </row>
    <row r="250" spans="1:11" s="16" customFormat="1" ht="12" customHeight="1" x14ac:dyDescent="0.2">
      <c r="A250" s="113"/>
      <c r="B250" s="72"/>
      <c r="C250" s="73">
        <v>3020</v>
      </c>
      <c r="D250" s="38" t="s">
        <v>167</v>
      </c>
      <c r="E250" s="74">
        <v>70373</v>
      </c>
      <c r="F250" s="74">
        <f>2750</f>
        <v>2750</v>
      </c>
      <c r="G250" s="74"/>
      <c r="H250" s="39">
        <f t="shared" ref="H250:H269" si="58">SUM(E250+F250-G250)</f>
        <v>73123</v>
      </c>
      <c r="I250" s="96"/>
      <c r="J250" s="49"/>
      <c r="K250" s="49"/>
    </row>
    <row r="251" spans="1:11" s="16" customFormat="1" ht="23.25" customHeight="1" x14ac:dyDescent="0.2">
      <c r="A251" s="33"/>
      <c r="B251" s="37"/>
      <c r="C251" s="64">
        <v>3040</v>
      </c>
      <c r="D251" s="65" t="s">
        <v>168</v>
      </c>
      <c r="E251" s="45">
        <v>270124</v>
      </c>
      <c r="F251" s="45"/>
      <c r="G251" s="45">
        <f>36019</f>
        <v>36019</v>
      </c>
      <c r="H251" s="43">
        <f t="shared" si="58"/>
        <v>234105</v>
      </c>
      <c r="I251" s="96"/>
      <c r="J251" s="49"/>
      <c r="K251" s="49"/>
    </row>
    <row r="252" spans="1:11" s="16" customFormat="1" ht="12" customHeight="1" x14ac:dyDescent="0.2">
      <c r="A252" s="33"/>
      <c r="B252" s="37"/>
      <c r="C252" s="26">
        <v>4040</v>
      </c>
      <c r="D252" s="41" t="s">
        <v>35</v>
      </c>
      <c r="E252" s="151">
        <v>674987</v>
      </c>
      <c r="F252" s="45"/>
      <c r="G252" s="45">
        <f>200</f>
        <v>200</v>
      </c>
      <c r="H252" s="43">
        <f t="shared" si="58"/>
        <v>674787</v>
      </c>
      <c r="I252" s="96"/>
      <c r="J252" s="49"/>
      <c r="K252" s="49"/>
    </row>
    <row r="253" spans="1:11" s="16" customFormat="1" ht="12" customHeight="1" x14ac:dyDescent="0.2">
      <c r="A253" s="33"/>
      <c r="B253" s="37"/>
      <c r="C253" s="26">
        <v>4110</v>
      </c>
      <c r="D253" s="41" t="s">
        <v>36</v>
      </c>
      <c r="E253" s="45">
        <v>4729994.0999999996</v>
      </c>
      <c r="F253" s="45"/>
      <c r="G253" s="45">
        <f>3600+8823</f>
        <v>12423</v>
      </c>
      <c r="H253" s="43">
        <f t="shared" si="58"/>
        <v>4717571.0999999996</v>
      </c>
      <c r="I253" s="96"/>
      <c r="J253" s="49"/>
      <c r="K253" s="49"/>
    </row>
    <row r="254" spans="1:11" s="16" customFormat="1" ht="12" customHeight="1" x14ac:dyDescent="0.2">
      <c r="A254" s="33"/>
      <c r="B254" s="37"/>
      <c r="C254" s="26">
        <v>4120</v>
      </c>
      <c r="D254" s="41" t="s">
        <v>62</v>
      </c>
      <c r="E254" s="45">
        <v>563114.81000000006</v>
      </c>
      <c r="F254" s="45"/>
      <c r="G254" s="45">
        <f>5000+2625</f>
        <v>7625</v>
      </c>
      <c r="H254" s="43">
        <f t="shared" si="58"/>
        <v>555489.81000000006</v>
      </c>
      <c r="I254" s="96"/>
      <c r="J254" s="49"/>
      <c r="K254" s="49"/>
    </row>
    <row r="255" spans="1:11" s="16" customFormat="1" ht="12" customHeight="1" x14ac:dyDescent="0.2">
      <c r="A255" s="33"/>
      <c r="B255" s="37"/>
      <c r="C255" s="57" t="s">
        <v>58</v>
      </c>
      <c r="D255" s="69" t="s">
        <v>59</v>
      </c>
      <c r="E255" s="45">
        <v>677838</v>
      </c>
      <c r="F255" s="45"/>
      <c r="G255" s="45">
        <f>15720</f>
        <v>15720</v>
      </c>
      <c r="H255" s="43">
        <f t="shared" si="58"/>
        <v>662118</v>
      </c>
      <c r="I255" s="96"/>
      <c r="J255" s="49"/>
      <c r="K255" s="49"/>
    </row>
    <row r="256" spans="1:11" s="16" customFormat="1" ht="12" customHeight="1" x14ac:dyDescent="0.2">
      <c r="A256" s="33"/>
      <c r="B256" s="37"/>
      <c r="C256" s="26">
        <v>4240</v>
      </c>
      <c r="D256" s="41" t="s">
        <v>169</v>
      </c>
      <c r="E256" s="45">
        <v>107223</v>
      </c>
      <c r="F256" s="45">
        <f>3460</f>
        <v>3460</v>
      </c>
      <c r="G256" s="45"/>
      <c r="H256" s="43">
        <f t="shared" si="58"/>
        <v>110683</v>
      </c>
      <c r="I256" s="96"/>
      <c r="J256" s="49"/>
      <c r="K256" s="49"/>
    </row>
    <row r="257" spans="1:11" s="16" customFormat="1" ht="12" customHeight="1" x14ac:dyDescent="0.2">
      <c r="A257" s="33"/>
      <c r="B257" s="37"/>
      <c r="C257" s="26">
        <v>4260</v>
      </c>
      <c r="D257" s="41" t="s">
        <v>143</v>
      </c>
      <c r="E257" s="45">
        <v>2531081</v>
      </c>
      <c r="F257" s="45">
        <f>8500</f>
        <v>8500</v>
      </c>
      <c r="G257" s="45"/>
      <c r="H257" s="43">
        <f t="shared" si="58"/>
        <v>2539581</v>
      </c>
      <c r="I257" s="96"/>
      <c r="J257" s="49"/>
      <c r="K257" s="49"/>
    </row>
    <row r="258" spans="1:11" s="16" customFormat="1" ht="12" customHeight="1" x14ac:dyDescent="0.2">
      <c r="A258" s="33"/>
      <c r="B258" s="37"/>
      <c r="C258" s="26">
        <v>4270</v>
      </c>
      <c r="D258" s="41" t="s">
        <v>60</v>
      </c>
      <c r="E258" s="45">
        <v>222227</v>
      </c>
      <c r="F258" s="45"/>
      <c r="G258" s="45">
        <f>4991</f>
        <v>4991</v>
      </c>
      <c r="H258" s="43">
        <f t="shared" si="58"/>
        <v>217236</v>
      </c>
      <c r="I258" s="96"/>
      <c r="J258" s="49"/>
      <c r="K258" s="49"/>
    </row>
    <row r="259" spans="1:11" s="16" customFormat="1" ht="12" customHeight="1" x14ac:dyDescent="0.2">
      <c r="A259" s="33"/>
      <c r="B259" s="37"/>
      <c r="C259" s="26">
        <v>4280</v>
      </c>
      <c r="D259" s="41" t="s">
        <v>170</v>
      </c>
      <c r="E259" s="45">
        <v>39665</v>
      </c>
      <c r="F259" s="45"/>
      <c r="G259" s="45">
        <f>1396</f>
        <v>1396</v>
      </c>
      <c r="H259" s="43">
        <f t="shared" si="58"/>
        <v>38269</v>
      </c>
      <c r="I259" s="96"/>
      <c r="J259" s="49"/>
      <c r="K259" s="49"/>
    </row>
    <row r="260" spans="1:11" s="16" customFormat="1" ht="12" customHeight="1" x14ac:dyDescent="0.2">
      <c r="A260" s="33"/>
      <c r="B260" s="37"/>
      <c r="C260" s="26">
        <v>4300</v>
      </c>
      <c r="D260" s="41" t="s">
        <v>16</v>
      </c>
      <c r="E260" s="42">
        <v>588216</v>
      </c>
      <c r="F260" s="42">
        <f>46570</f>
        <v>46570</v>
      </c>
      <c r="G260" s="42"/>
      <c r="H260" s="43">
        <f t="shared" si="58"/>
        <v>634786</v>
      </c>
      <c r="I260" s="96"/>
      <c r="J260" s="49"/>
      <c r="K260" s="49"/>
    </row>
    <row r="261" spans="1:11" s="16" customFormat="1" ht="12" customHeight="1" x14ac:dyDescent="0.2">
      <c r="A261" s="33"/>
      <c r="B261" s="37"/>
      <c r="C261" s="26">
        <v>4360</v>
      </c>
      <c r="D261" s="41" t="s">
        <v>185</v>
      </c>
      <c r="E261" s="42">
        <v>23929</v>
      </c>
      <c r="F261" s="42">
        <f>650</f>
        <v>650</v>
      </c>
      <c r="G261" s="42"/>
      <c r="H261" s="43">
        <f t="shared" si="58"/>
        <v>24579</v>
      </c>
      <c r="I261" s="96"/>
      <c r="J261" s="49"/>
      <c r="K261" s="49"/>
    </row>
    <row r="262" spans="1:11" s="16" customFormat="1" ht="21.75" customHeight="1" x14ac:dyDescent="0.2">
      <c r="A262" s="33"/>
      <c r="B262" s="37"/>
      <c r="C262" s="64">
        <v>4390</v>
      </c>
      <c r="D262" s="65" t="s">
        <v>157</v>
      </c>
      <c r="E262" s="42">
        <v>0</v>
      </c>
      <c r="F262" s="42">
        <f>120</f>
        <v>120</v>
      </c>
      <c r="G262" s="42"/>
      <c r="H262" s="43">
        <f t="shared" si="58"/>
        <v>120</v>
      </c>
      <c r="I262" s="96"/>
      <c r="J262" s="49"/>
      <c r="K262" s="49"/>
    </row>
    <row r="263" spans="1:11" s="16" customFormat="1" ht="12" customHeight="1" x14ac:dyDescent="0.2">
      <c r="A263" s="33"/>
      <c r="B263" s="37"/>
      <c r="C263" s="26">
        <v>4410</v>
      </c>
      <c r="D263" s="69" t="s">
        <v>70</v>
      </c>
      <c r="E263" s="42">
        <v>4467</v>
      </c>
      <c r="F263" s="42"/>
      <c r="G263" s="42">
        <f>233</f>
        <v>233</v>
      </c>
      <c r="H263" s="43">
        <f t="shared" si="58"/>
        <v>4234</v>
      </c>
      <c r="I263" s="96"/>
      <c r="J263" s="49"/>
      <c r="K263" s="49"/>
    </row>
    <row r="264" spans="1:11" s="16" customFormat="1" ht="12" customHeight="1" x14ac:dyDescent="0.2">
      <c r="A264" s="33"/>
      <c r="B264" s="37"/>
      <c r="C264" s="26">
        <v>4530</v>
      </c>
      <c r="D264" s="41" t="s">
        <v>186</v>
      </c>
      <c r="E264" s="42">
        <v>10</v>
      </c>
      <c r="F264" s="42">
        <v>5</v>
      </c>
      <c r="G264" s="42"/>
      <c r="H264" s="43">
        <f t="shared" si="58"/>
        <v>15</v>
      </c>
      <c r="I264" s="96"/>
      <c r="J264" s="49"/>
      <c r="K264" s="49"/>
    </row>
    <row r="265" spans="1:11" s="16" customFormat="1" ht="12" customHeight="1" x14ac:dyDescent="0.2">
      <c r="A265" s="33"/>
      <c r="B265" s="37"/>
      <c r="C265" s="26">
        <v>4580</v>
      </c>
      <c r="D265" s="41" t="s">
        <v>137</v>
      </c>
      <c r="E265" s="42">
        <v>10</v>
      </c>
      <c r="F265" s="42">
        <v>5</v>
      </c>
      <c r="G265" s="42"/>
      <c r="H265" s="43">
        <f t="shared" si="58"/>
        <v>15</v>
      </c>
      <c r="I265" s="96"/>
      <c r="J265" s="49"/>
      <c r="K265" s="49"/>
    </row>
    <row r="266" spans="1:11" s="16" customFormat="1" ht="12" customHeight="1" x14ac:dyDescent="0.2">
      <c r="A266" s="33"/>
      <c r="B266" s="37"/>
      <c r="C266" s="26">
        <v>4610</v>
      </c>
      <c r="D266" s="134" t="s">
        <v>132</v>
      </c>
      <c r="E266" s="42">
        <v>452</v>
      </c>
      <c r="F266" s="42">
        <f>233</f>
        <v>233</v>
      </c>
      <c r="G266" s="42"/>
      <c r="H266" s="43">
        <f t="shared" si="58"/>
        <v>685</v>
      </c>
      <c r="I266" s="96"/>
      <c r="J266" s="49"/>
      <c r="K266" s="49"/>
    </row>
    <row r="267" spans="1:11" s="16" customFormat="1" ht="21.75" customHeight="1" x14ac:dyDescent="0.2">
      <c r="A267" s="33"/>
      <c r="B267" s="37"/>
      <c r="C267" s="64">
        <v>4700</v>
      </c>
      <c r="D267" s="65" t="s">
        <v>138</v>
      </c>
      <c r="E267" s="42">
        <v>43620</v>
      </c>
      <c r="F267" s="42"/>
      <c r="G267" s="42">
        <f>364</f>
        <v>364</v>
      </c>
      <c r="H267" s="43">
        <f t="shared" si="58"/>
        <v>43256</v>
      </c>
      <c r="I267" s="96"/>
      <c r="J267" s="49"/>
      <c r="K267" s="49"/>
    </row>
    <row r="268" spans="1:11" s="16" customFormat="1" ht="12" customHeight="1" x14ac:dyDescent="0.2">
      <c r="A268" s="33"/>
      <c r="B268" s="37"/>
      <c r="C268" s="26">
        <v>4710</v>
      </c>
      <c r="D268" s="41" t="s">
        <v>39</v>
      </c>
      <c r="E268" s="42">
        <v>104051</v>
      </c>
      <c r="F268" s="42"/>
      <c r="G268" s="42">
        <f>16189</f>
        <v>16189</v>
      </c>
      <c r="H268" s="43">
        <f t="shared" si="58"/>
        <v>87862</v>
      </c>
      <c r="I268" s="96"/>
      <c r="J268" s="49"/>
      <c r="K268" s="49"/>
    </row>
    <row r="269" spans="1:11" s="16" customFormat="1" ht="12" customHeight="1" x14ac:dyDescent="0.2">
      <c r="A269" s="33"/>
      <c r="B269" s="37"/>
      <c r="C269" s="86">
        <v>4790</v>
      </c>
      <c r="D269" s="152" t="s">
        <v>172</v>
      </c>
      <c r="E269" s="42">
        <v>14771757.35</v>
      </c>
      <c r="F269" s="42">
        <f>62769</f>
        <v>62769</v>
      </c>
      <c r="G269" s="42"/>
      <c r="H269" s="43">
        <f t="shared" si="58"/>
        <v>14834526.35</v>
      </c>
      <c r="I269" s="96"/>
      <c r="J269" s="49"/>
      <c r="K269" s="49"/>
    </row>
    <row r="270" spans="1:11" s="16" customFormat="1" ht="21.75" customHeight="1" x14ac:dyDescent="0.2">
      <c r="A270" s="33"/>
      <c r="B270" s="37"/>
      <c r="C270" s="27"/>
      <c r="D270" s="686" t="s">
        <v>174</v>
      </c>
      <c r="E270" s="700">
        <v>370749.01</v>
      </c>
      <c r="F270" s="685">
        <f>SUM(F271:F271)</f>
        <v>25281</v>
      </c>
      <c r="G270" s="685">
        <f>SUM(G271:G271)</f>
        <v>0</v>
      </c>
      <c r="H270" s="94">
        <f>SUM(E270+F270-G270)</f>
        <v>396030.01</v>
      </c>
      <c r="I270" s="97"/>
      <c r="J270" s="49"/>
      <c r="K270" s="49"/>
    </row>
    <row r="271" spans="1:11" s="16" customFormat="1" ht="23.25" customHeight="1" x14ac:dyDescent="0.2">
      <c r="A271" s="33"/>
      <c r="B271" s="37"/>
      <c r="C271" s="99" t="s">
        <v>175</v>
      </c>
      <c r="D271" s="68" t="s">
        <v>176</v>
      </c>
      <c r="E271" s="146">
        <v>311214.01</v>
      </c>
      <c r="F271" s="45">
        <v>25281</v>
      </c>
      <c r="G271" s="45"/>
      <c r="H271" s="43">
        <f t="shared" ref="H271" si="59">SUM(E271+F271-G271)</f>
        <v>336495.01</v>
      </c>
      <c r="I271" s="97"/>
      <c r="J271" s="49"/>
      <c r="K271" s="49"/>
    </row>
    <row r="272" spans="1:11" s="16" customFormat="1" ht="21" customHeight="1" x14ac:dyDescent="0.2">
      <c r="A272" s="33"/>
      <c r="B272" s="37"/>
      <c r="C272" s="27"/>
      <c r="D272" s="686" t="s">
        <v>187</v>
      </c>
      <c r="E272" s="685">
        <v>49874.85</v>
      </c>
      <c r="F272" s="685">
        <f>SUM(F273)</f>
        <v>4897</v>
      </c>
      <c r="G272" s="685">
        <f>SUM(G273)</f>
        <v>0</v>
      </c>
      <c r="H272" s="94">
        <f>SUM(E272+F272-G272)</f>
        <v>54771.85</v>
      </c>
      <c r="I272" s="97"/>
      <c r="J272" s="49"/>
      <c r="K272" s="49"/>
    </row>
    <row r="273" spans="1:11" s="16" customFormat="1" ht="32.25" customHeight="1" x14ac:dyDescent="0.2">
      <c r="A273" s="33"/>
      <c r="B273" s="37"/>
      <c r="C273" s="99" t="s">
        <v>188</v>
      </c>
      <c r="D273" s="68" t="s">
        <v>189</v>
      </c>
      <c r="E273" s="42">
        <v>49874.85</v>
      </c>
      <c r="F273" s="45">
        <v>4897</v>
      </c>
      <c r="G273" s="45"/>
      <c r="H273" s="43">
        <f t="shared" ref="H273" si="60">SUM(E273+F273-G273)</f>
        <v>54771.85</v>
      </c>
      <c r="I273" s="96"/>
      <c r="J273" s="49"/>
      <c r="K273" s="49"/>
    </row>
    <row r="274" spans="1:11" s="16" customFormat="1" ht="12" customHeight="1" x14ac:dyDescent="0.2">
      <c r="A274" s="33"/>
      <c r="B274" s="37">
        <v>80105</v>
      </c>
      <c r="C274" s="27"/>
      <c r="D274" s="38" t="s">
        <v>190</v>
      </c>
      <c r="E274" s="40">
        <v>930655.52</v>
      </c>
      <c r="F274" s="40">
        <f>SUM(F275,F281)</f>
        <v>17268</v>
      </c>
      <c r="G274" s="40">
        <f>SUM(G275,G281)</f>
        <v>1850</v>
      </c>
      <c r="H274" s="39">
        <f>SUM(E274+F274-G274)</f>
        <v>946073.52</v>
      </c>
      <c r="I274" s="96"/>
      <c r="J274" s="49"/>
      <c r="K274" s="49"/>
    </row>
    <row r="275" spans="1:11" s="16" customFormat="1" ht="12" customHeight="1" x14ac:dyDescent="0.2">
      <c r="A275" s="33"/>
      <c r="B275" s="37"/>
      <c r="C275" s="27"/>
      <c r="D275" s="693" t="s">
        <v>42</v>
      </c>
      <c r="E275" s="685">
        <v>872868</v>
      </c>
      <c r="F275" s="685">
        <f>SUM(F276:F280)</f>
        <v>11000</v>
      </c>
      <c r="G275" s="685">
        <f>SUM(G276:G280)</f>
        <v>1850</v>
      </c>
      <c r="H275" s="685">
        <f t="shared" ref="H275:H280" si="61">SUM(E275+F275-G275)</f>
        <v>882018</v>
      </c>
      <c r="I275" s="96"/>
      <c r="J275" s="49"/>
      <c r="K275" s="49"/>
    </row>
    <row r="276" spans="1:11" s="16" customFormat="1" ht="12" customHeight="1" x14ac:dyDescent="0.2">
      <c r="A276" s="33"/>
      <c r="B276" s="37"/>
      <c r="C276" s="64">
        <v>4210</v>
      </c>
      <c r="D276" s="69" t="s">
        <v>59</v>
      </c>
      <c r="E276" s="45">
        <v>3568</v>
      </c>
      <c r="F276" s="45">
        <f>5000</f>
        <v>5000</v>
      </c>
      <c r="G276" s="45"/>
      <c r="H276" s="44">
        <f t="shared" si="61"/>
        <v>8568</v>
      </c>
      <c r="I276" s="96"/>
      <c r="J276" s="49"/>
      <c r="K276" s="49"/>
    </row>
    <row r="277" spans="1:11" s="16" customFormat="1" ht="12" customHeight="1" x14ac:dyDescent="0.2">
      <c r="A277" s="33"/>
      <c r="B277" s="37"/>
      <c r="C277" s="64">
        <v>4270</v>
      </c>
      <c r="D277" s="41" t="s">
        <v>60</v>
      </c>
      <c r="E277" s="151">
        <v>1074</v>
      </c>
      <c r="F277" s="45">
        <f>5000</f>
        <v>5000</v>
      </c>
      <c r="G277" s="45"/>
      <c r="H277" s="44">
        <f t="shared" si="61"/>
        <v>6074</v>
      </c>
      <c r="I277" s="96"/>
      <c r="J277" s="49"/>
      <c r="K277" s="49"/>
    </row>
    <row r="278" spans="1:11" s="16" customFormat="1" ht="12" customHeight="1" x14ac:dyDescent="0.2">
      <c r="A278" s="33"/>
      <c r="B278" s="37"/>
      <c r="C278" s="64">
        <v>4280</v>
      </c>
      <c r="D278" s="41" t="s">
        <v>170</v>
      </c>
      <c r="E278" s="151">
        <v>625</v>
      </c>
      <c r="F278" s="45">
        <f>1000</f>
        <v>1000</v>
      </c>
      <c r="G278" s="45"/>
      <c r="H278" s="44">
        <f t="shared" si="61"/>
        <v>1625</v>
      </c>
      <c r="I278" s="96"/>
      <c r="J278" s="49"/>
      <c r="K278" s="49"/>
    </row>
    <row r="279" spans="1:11" s="16" customFormat="1" ht="12" customHeight="1" x14ac:dyDescent="0.2">
      <c r="A279" s="33"/>
      <c r="B279" s="37"/>
      <c r="C279" s="26">
        <v>4710</v>
      </c>
      <c r="D279" s="69" t="s">
        <v>39</v>
      </c>
      <c r="E279" s="45">
        <v>3186</v>
      </c>
      <c r="F279" s="45"/>
      <c r="G279" s="45">
        <f>1500</f>
        <v>1500</v>
      </c>
      <c r="H279" s="44">
        <f t="shared" si="61"/>
        <v>1686</v>
      </c>
      <c r="I279" s="96"/>
      <c r="J279" s="49"/>
      <c r="K279" s="49"/>
    </row>
    <row r="280" spans="1:11" s="16" customFormat="1" ht="12" customHeight="1" x14ac:dyDescent="0.2">
      <c r="A280" s="33"/>
      <c r="B280" s="37"/>
      <c r="C280" s="86">
        <v>4800</v>
      </c>
      <c r="D280" s="152" t="s">
        <v>173</v>
      </c>
      <c r="E280" s="45">
        <v>30141</v>
      </c>
      <c r="F280" s="45"/>
      <c r="G280" s="45">
        <f>350</f>
        <v>350</v>
      </c>
      <c r="H280" s="44">
        <f t="shared" si="61"/>
        <v>29791</v>
      </c>
      <c r="I280" s="96"/>
      <c r="J280" s="49"/>
      <c r="K280" s="49"/>
    </row>
    <row r="281" spans="1:11" s="16" customFormat="1" ht="20.25" customHeight="1" x14ac:dyDescent="0.2">
      <c r="A281" s="33"/>
      <c r="B281" s="26"/>
      <c r="C281" s="27"/>
      <c r="D281" s="686" t="s">
        <v>174</v>
      </c>
      <c r="E281" s="685">
        <v>57787.519999999997</v>
      </c>
      <c r="F281" s="685">
        <f>SUM(F282:F282)</f>
        <v>6268</v>
      </c>
      <c r="G281" s="685">
        <f>SUM(G282:G282)</f>
        <v>0</v>
      </c>
      <c r="H281" s="94">
        <f>SUM(E281+F281-G281)</f>
        <v>64055.519999999997</v>
      </c>
      <c r="I281" s="97"/>
      <c r="J281" s="49"/>
      <c r="K281" s="49"/>
    </row>
    <row r="282" spans="1:11" s="16" customFormat="1" ht="24" customHeight="1" x14ac:dyDescent="0.2">
      <c r="A282" s="33"/>
      <c r="B282" s="26"/>
      <c r="C282" s="99" t="s">
        <v>175</v>
      </c>
      <c r="D282" s="68" t="s">
        <v>176</v>
      </c>
      <c r="E282" s="45">
        <v>55074.52</v>
      </c>
      <c r="F282" s="45">
        <v>6268</v>
      </c>
      <c r="G282" s="45"/>
      <c r="H282" s="43">
        <f t="shared" ref="H282" si="62">SUM(E282+F282-G282)</f>
        <v>61342.52</v>
      </c>
      <c r="I282" s="97"/>
      <c r="J282" s="49"/>
      <c r="K282" s="49"/>
    </row>
    <row r="283" spans="1:11" s="16" customFormat="1" ht="12" customHeight="1" x14ac:dyDescent="0.2">
      <c r="A283" s="33"/>
      <c r="B283" s="86">
        <v>80106</v>
      </c>
      <c r="C283" s="80"/>
      <c r="D283" s="81" t="s">
        <v>191</v>
      </c>
      <c r="E283" s="39">
        <v>95822</v>
      </c>
      <c r="F283" s="40">
        <f>SUM(F284)</f>
        <v>2355.6999999999998</v>
      </c>
      <c r="G283" s="40">
        <f>SUM(G284)</f>
        <v>904.05</v>
      </c>
      <c r="H283" s="39">
        <f>SUM(E283+F283-G283)</f>
        <v>97273.65</v>
      </c>
      <c r="I283" s="97"/>
      <c r="J283" s="49"/>
      <c r="K283" s="49"/>
    </row>
    <row r="284" spans="1:11" s="16" customFormat="1" ht="12" customHeight="1" x14ac:dyDescent="0.2">
      <c r="A284" s="33"/>
      <c r="B284" s="37"/>
      <c r="C284" s="27"/>
      <c r="D284" s="684" t="s">
        <v>56</v>
      </c>
      <c r="E284" s="685">
        <v>95822</v>
      </c>
      <c r="F284" s="685">
        <f>SUM(F285:F286)</f>
        <v>2355.6999999999998</v>
      </c>
      <c r="G284" s="685">
        <f>SUM(G285:G286)</f>
        <v>904.05</v>
      </c>
      <c r="H284" s="685">
        <f t="shared" ref="H284:H286" si="63">SUM(E284+F284-G284)</f>
        <v>97273.65</v>
      </c>
      <c r="I284" s="97"/>
      <c r="J284" s="49"/>
      <c r="K284" s="49"/>
    </row>
    <row r="285" spans="1:11" s="16" customFormat="1" ht="21.75" customHeight="1" x14ac:dyDescent="0.2">
      <c r="A285" s="33"/>
      <c r="B285" s="37"/>
      <c r="C285" s="64">
        <v>2540</v>
      </c>
      <c r="D285" s="65" t="s">
        <v>182</v>
      </c>
      <c r="E285" s="44">
        <v>93572</v>
      </c>
      <c r="F285" s="44">
        <v>2355.6999999999998</v>
      </c>
      <c r="G285" s="44"/>
      <c r="H285" s="44">
        <f t="shared" si="63"/>
        <v>95927.7</v>
      </c>
      <c r="I285" s="97"/>
      <c r="J285" s="49"/>
      <c r="K285" s="49"/>
    </row>
    <row r="286" spans="1:11" s="16" customFormat="1" ht="31.5" customHeight="1" x14ac:dyDescent="0.2">
      <c r="A286" s="33"/>
      <c r="B286" s="37"/>
      <c r="C286" s="64">
        <v>2830</v>
      </c>
      <c r="D286" s="65" t="s">
        <v>166</v>
      </c>
      <c r="E286" s="44">
        <v>2250</v>
      </c>
      <c r="F286" s="44"/>
      <c r="G286" s="44">
        <v>904.05</v>
      </c>
      <c r="H286" s="44">
        <f t="shared" si="63"/>
        <v>1345.95</v>
      </c>
      <c r="I286" s="97"/>
      <c r="J286" s="49"/>
      <c r="K286" s="49"/>
    </row>
    <row r="287" spans="1:11" s="16" customFormat="1" ht="12" customHeight="1" x14ac:dyDescent="0.2">
      <c r="A287" s="33"/>
      <c r="B287" s="37">
        <v>80107</v>
      </c>
      <c r="C287" s="27"/>
      <c r="D287" s="81" t="s">
        <v>46</v>
      </c>
      <c r="E287" s="39">
        <v>6859628.1600000001</v>
      </c>
      <c r="F287" s="40">
        <f>SUM(F288)</f>
        <v>2513.11</v>
      </c>
      <c r="G287" s="40">
        <f>SUM(G288)</f>
        <v>11146.11</v>
      </c>
      <c r="H287" s="39">
        <f>SUM(E287+F287-G287)</f>
        <v>6850995.1600000001</v>
      </c>
      <c r="I287" s="96"/>
      <c r="J287" s="49"/>
      <c r="K287" s="49"/>
    </row>
    <row r="288" spans="1:11" s="16" customFormat="1" ht="12" customHeight="1" x14ac:dyDescent="0.2">
      <c r="A288" s="33"/>
      <c r="B288" s="33"/>
      <c r="C288" s="27"/>
      <c r="D288" s="693" t="s">
        <v>42</v>
      </c>
      <c r="E288" s="685">
        <v>6859628.1600000001</v>
      </c>
      <c r="F288" s="685">
        <f>SUM(F289:F293)</f>
        <v>2513.11</v>
      </c>
      <c r="G288" s="685">
        <f>SUM(G289:G293)</f>
        <v>11146.11</v>
      </c>
      <c r="H288" s="685">
        <f t="shared" ref="H288:H293" si="64">SUM(E288+F288-G288)</f>
        <v>6850995.1600000001</v>
      </c>
      <c r="I288" s="96"/>
      <c r="J288" s="49"/>
      <c r="K288" s="49"/>
    </row>
    <row r="289" spans="1:11" s="16" customFormat="1" ht="12" customHeight="1" x14ac:dyDescent="0.2">
      <c r="A289" s="33"/>
      <c r="B289" s="33"/>
      <c r="C289" s="26">
        <v>3020</v>
      </c>
      <c r="D289" s="41" t="s">
        <v>167</v>
      </c>
      <c r="E289" s="45">
        <v>36953</v>
      </c>
      <c r="F289" s="45">
        <f>567</f>
        <v>567</v>
      </c>
      <c r="G289" s="45"/>
      <c r="H289" s="44">
        <f t="shared" si="64"/>
        <v>37520</v>
      </c>
      <c r="I289" s="96"/>
      <c r="J289" s="49"/>
      <c r="K289" s="49"/>
    </row>
    <row r="290" spans="1:11" s="16" customFormat="1" ht="23.25" customHeight="1" x14ac:dyDescent="0.2">
      <c r="A290" s="33"/>
      <c r="B290" s="33"/>
      <c r="C290" s="64">
        <v>3040</v>
      </c>
      <c r="D290" s="65" t="s">
        <v>168</v>
      </c>
      <c r="E290" s="45">
        <v>81368.88</v>
      </c>
      <c r="F290" s="45"/>
      <c r="G290" s="45">
        <f>592.11+1354</f>
        <v>1946.1100000000001</v>
      </c>
      <c r="H290" s="44">
        <f t="shared" si="64"/>
        <v>79422.77</v>
      </c>
      <c r="I290" s="96"/>
      <c r="J290" s="49"/>
      <c r="K290" s="49"/>
    </row>
    <row r="291" spans="1:11" s="16" customFormat="1" ht="12" customHeight="1" x14ac:dyDescent="0.2">
      <c r="A291" s="33"/>
      <c r="B291" s="33"/>
      <c r="C291" s="86">
        <v>4710</v>
      </c>
      <c r="D291" s="69" t="s">
        <v>39</v>
      </c>
      <c r="E291" s="45">
        <v>43556</v>
      </c>
      <c r="F291" s="45"/>
      <c r="G291" s="45">
        <f>6300+2500</f>
        <v>8800</v>
      </c>
      <c r="H291" s="44">
        <f t="shared" si="64"/>
        <v>34756</v>
      </c>
      <c r="I291" s="96"/>
      <c r="J291" s="49"/>
      <c r="K291" s="49"/>
    </row>
    <row r="292" spans="1:11" s="16" customFormat="1" ht="12" customHeight="1" x14ac:dyDescent="0.2">
      <c r="A292" s="33"/>
      <c r="B292" s="33"/>
      <c r="C292" s="86">
        <v>4790</v>
      </c>
      <c r="D292" s="152" t="s">
        <v>172</v>
      </c>
      <c r="E292" s="45">
        <v>5021920</v>
      </c>
      <c r="F292" s="45">
        <f>592.11+1354</f>
        <v>1946.1100000000001</v>
      </c>
      <c r="G292" s="45"/>
      <c r="H292" s="44">
        <f t="shared" si="64"/>
        <v>5023866.1100000003</v>
      </c>
      <c r="I292" s="96"/>
      <c r="J292" s="49"/>
      <c r="K292" s="49"/>
    </row>
    <row r="293" spans="1:11" s="16" customFormat="1" ht="12" customHeight="1" x14ac:dyDescent="0.2">
      <c r="A293" s="33"/>
      <c r="B293" s="54"/>
      <c r="C293" s="86">
        <v>4800</v>
      </c>
      <c r="D293" s="152" t="s">
        <v>173</v>
      </c>
      <c r="E293" s="45">
        <v>313590</v>
      </c>
      <c r="F293" s="45"/>
      <c r="G293" s="42">
        <f>400</f>
        <v>400</v>
      </c>
      <c r="H293" s="44">
        <f t="shared" si="64"/>
        <v>313190</v>
      </c>
      <c r="I293" s="96"/>
      <c r="J293" s="49"/>
      <c r="K293" s="49"/>
    </row>
    <row r="294" spans="1:11" s="16" customFormat="1" ht="12" customHeight="1" x14ac:dyDescent="0.2">
      <c r="A294" s="33"/>
      <c r="B294" s="37">
        <v>80113</v>
      </c>
      <c r="C294" s="27"/>
      <c r="D294" s="81" t="s">
        <v>192</v>
      </c>
      <c r="E294" s="39">
        <v>920177</v>
      </c>
      <c r="F294" s="40">
        <f>SUM(F295)</f>
        <v>6000</v>
      </c>
      <c r="G294" s="40">
        <f>SUM(G295)</f>
        <v>1100</v>
      </c>
      <c r="H294" s="39">
        <f>SUM(E294+F294-G294)</f>
        <v>925077</v>
      </c>
      <c r="I294" s="96"/>
      <c r="J294" s="49"/>
      <c r="K294" s="49"/>
    </row>
    <row r="295" spans="1:11" s="16" customFormat="1" ht="12" customHeight="1" x14ac:dyDescent="0.2">
      <c r="A295" s="33"/>
      <c r="B295" s="33"/>
      <c r="C295" s="27"/>
      <c r="D295" s="693" t="s">
        <v>42</v>
      </c>
      <c r="E295" s="685">
        <v>750177</v>
      </c>
      <c r="F295" s="685">
        <f>SUM(F296:F298)</f>
        <v>6000</v>
      </c>
      <c r="G295" s="685">
        <f>SUM(G296:G298)</f>
        <v>1100</v>
      </c>
      <c r="H295" s="685">
        <f t="shared" ref="H295:H298" si="65">SUM(E295+F295-G295)</f>
        <v>755077</v>
      </c>
      <c r="I295" s="96"/>
      <c r="J295" s="49"/>
      <c r="K295" s="49"/>
    </row>
    <row r="296" spans="1:11" s="16" customFormat="1" ht="12" customHeight="1" x14ac:dyDescent="0.2">
      <c r="A296" s="33"/>
      <c r="B296" s="54"/>
      <c r="C296" s="26">
        <v>4040</v>
      </c>
      <c r="D296" s="41" t="s">
        <v>35</v>
      </c>
      <c r="E296" s="151">
        <v>28007</v>
      </c>
      <c r="F296" s="45"/>
      <c r="G296" s="45">
        <f>1100</f>
        <v>1100</v>
      </c>
      <c r="H296" s="43">
        <f t="shared" si="65"/>
        <v>26907</v>
      </c>
      <c r="I296" s="96"/>
      <c r="J296" s="49"/>
      <c r="K296" s="49"/>
    </row>
    <row r="297" spans="1:11" s="16" customFormat="1" ht="12" customHeight="1" x14ac:dyDescent="0.2">
      <c r="A297" s="33"/>
      <c r="B297" s="54"/>
      <c r="C297" s="64">
        <v>4270</v>
      </c>
      <c r="D297" s="41" t="s">
        <v>60</v>
      </c>
      <c r="E297" s="151">
        <v>27100</v>
      </c>
      <c r="F297" s="45">
        <f>5000</f>
        <v>5000</v>
      </c>
      <c r="G297" s="45"/>
      <c r="H297" s="44">
        <f t="shared" si="65"/>
        <v>32100</v>
      </c>
      <c r="I297" s="96"/>
      <c r="J297" s="49"/>
      <c r="K297" s="49"/>
    </row>
    <row r="298" spans="1:11" s="16" customFormat="1" ht="12" customHeight="1" x14ac:dyDescent="0.2">
      <c r="A298" s="113"/>
      <c r="B298" s="122"/>
      <c r="C298" s="124">
        <v>4280</v>
      </c>
      <c r="D298" s="38" t="s">
        <v>170</v>
      </c>
      <c r="E298" s="92">
        <v>1810</v>
      </c>
      <c r="F298" s="74">
        <f>1000</f>
        <v>1000</v>
      </c>
      <c r="G298" s="74"/>
      <c r="H298" s="40">
        <f t="shared" si="65"/>
        <v>2810</v>
      </c>
      <c r="I298" s="96"/>
      <c r="J298" s="49"/>
      <c r="K298" s="49"/>
    </row>
    <row r="299" spans="1:11" s="16" customFormat="1" ht="12" customHeight="1" x14ac:dyDescent="0.2">
      <c r="A299" s="33"/>
      <c r="B299" s="37">
        <v>80115</v>
      </c>
      <c r="C299" s="27"/>
      <c r="D299" s="38" t="s">
        <v>47</v>
      </c>
      <c r="E299" s="39">
        <v>66876992.099999994</v>
      </c>
      <c r="F299" s="40">
        <f>SUM(F300,F302,F318,F322)</f>
        <v>20840</v>
      </c>
      <c r="G299" s="40">
        <f>SUM(G300,G302,G318,G322)</f>
        <v>47474.35</v>
      </c>
      <c r="H299" s="39">
        <f>SUM(E299+F299-G299)</f>
        <v>66850357.749999993</v>
      </c>
      <c r="I299" s="96"/>
      <c r="J299" s="49"/>
      <c r="K299" s="49"/>
    </row>
    <row r="300" spans="1:11" s="16" customFormat="1" ht="12" customHeight="1" x14ac:dyDescent="0.2">
      <c r="A300" s="33"/>
      <c r="B300" s="37"/>
      <c r="C300" s="27"/>
      <c r="D300" s="684" t="s">
        <v>56</v>
      </c>
      <c r="E300" s="685">
        <v>3334009</v>
      </c>
      <c r="F300" s="685">
        <f>SUM(F301:F301)</f>
        <v>0</v>
      </c>
      <c r="G300" s="685">
        <f>SUM(G301:G301)</f>
        <v>5284.35</v>
      </c>
      <c r="H300" s="685">
        <f t="shared" ref="H300:H301" si="66">SUM(E300+F300-G300)</f>
        <v>3328724.65</v>
      </c>
      <c r="I300" s="96"/>
      <c r="J300" s="49"/>
      <c r="K300" s="49"/>
    </row>
    <row r="301" spans="1:11" s="16" customFormat="1" ht="36" customHeight="1" x14ac:dyDescent="0.2">
      <c r="A301" s="33"/>
      <c r="B301" s="37"/>
      <c r="C301" s="64">
        <v>2830</v>
      </c>
      <c r="D301" s="65" t="s">
        <v>166</v>
      </c>
      <c r="E301" s="44">
        <v>41625</v>
      </c>
      <c r="F301" s="44"/>
      <c r="G301" s="44">
        <v>5284.35</v>
      </c>
      <c r="H301" s="44">
        <f t="shared" si="66"/>
        <v>36340.65</v>
      </c>
      <c r="I301" s="96"/>
      <c r="J301" s="49"/>
      <c r="K301" s="49"/>
    </row>
    <row r="302" spans="1:11" s="16" customFormat="1" ht="12" customHeight="1" x14ac:dyDescent="0.2">
      <c r="A302" s="33"/>
      <c r="B302" s="37"/>
      <c r="C302" s="27"/>
      <c r="D302" s="693" t="s">
        <v>42</v>
      </c>
      <c r="E302" s="685">
        <v>47816789.799999997</v>
      </c>
      <c r="F302" s="685">
        <f>SUM(F303:F317)</f>
        <v>9471</v>
      </c>
      <c r="G302" s="685">
        <f>SUM(G303:G317)</f>
        <v>42190</v>
      </c>
      <c r="H302" s="94">
        <f>SUM(E302+F302-G302)</f>
        <v>47784070.799999997</v>
      </c>
      <c r="I302" s="96"/>
      <c r="J302" s="49"/>
      <c r="K302" s="49"/>
    </row>
    <row r="303" spans="1:11" s="16" customFormat="1" ht="12" customHeight="1" x14ac:dyDescent="0.2">
      <c r="A303" s="33"/>
      <c r="B303" s="37"/>
      <c r="C303" s="26">
        <v>3020</v>
      </c>
      <c r="D303" s="41" t="s">
        <v>167</v>
      </c>
      <c r="E303" s="45">
        <v>110554</v>
      </c>
      <c r="F303" s="45">
        <f>2000</f>
        <v>2000</v>
      </c>
      <c r="G303" s="45"/>
      <c r="H303" s="43">
        <f t="shared" ref="H303:H317" si="67">SUM(E303+F303-G303)</f>
        <v>112554</v>
      </c>
      <c r="I303" s="96"/>
      <c r="J303" s="49"/>
      <c r="K303" s="49"/>
    </row>
    <row r="304" spans="1:11" s="16" customFormat="1" ht="23.25" customHeight="1" x14ac:dyDescent="0.2">
      <c r="A304" s="33"/>
      <c r="B304" s="37"/>
      <c r="C304" s="64">
        <v>3040</v>
      </c>
      <c r="D304" s="65" t="s">
        <v>168</v>
      </c>
      <c r="E304" s="45">
        <v>348838.99</v>
      </c>
      <c r="F304" s="45"/>
      <c r="G304" s="45">
        <f>2250</f>
        <v>2250</v>
      </c>
      <c r="H304" s="43">
        <f t="shared" si="67"/>
        <v>346588.99</v>
      </c>
      <c r="I304" s="96"/>
      <c r="J304" s="49"/>
      <c r="K304" s="49"/>
    </row>
    <row r="305" spans="1:11" s="16" customFormat="1" ht="12" customHeight="1" x14ac:dyDescent="0.2">
      <c r="A305" s="33"/>
      <c r="B305" s="37"/>
      <c r="C305" s="26">
        <v>4040</v>
      </c>
      <c r="D305" s="41" t="s">
        <v>35</v>
      </c>
      <c r="E305" s="45">
        <v>422093</v>
      </c>
      <c r="F305" s="45"/>
      <c r="G305" s="45">
        <f>6270</f>
        <v>6270</v>
      </c>
      <c r="H305" s="43">
        <f t="shared" si="67"/>
        <v>415823</v>
      </c>
      <c r="I305" s="96"/>
      <c r="J305" s="49"/>
      <c r="K305" s="49"/>
    </row>
    <row r="306" spans="1:11" s="16" customFormat="1" ht="22.5" customHeight="1" x14ac:dyDescent="0.2">
      <c r="A306" s="33"/>
      <c r="B306" s="37"/>
      <c r="C306" s="64">
        <v>4140</v>
      </c>
      <c r="D306" s="68" t="s">
        <v>38</v>
      </c>
      <c r="E306" s="45">
        <v>18000</v>
      </c>
      <c r="F306" s="45"/>
      <c r="G306" s="45">
        <f>3500</f>
        <v>3500</v>
      </c>
      <c r="H306" s="43">
        <f t="shared" si="67"/>
        <v>14500</v>
      </c>
      <c r="I306" s="96"/>
      <c r="J306" s="49"/>
      <c r="K306" s="49"/>
    </row>
    <row r="307" spans="1:11" s="16" customFormat="1" ht="12" customHeight="1" x14ac:dyDescent="0.2">
      <c r="A307" s="33"/>
      <c r="B307" s="37"/>
      <c r="C307" s="64">
        <v>4210</v>
      </c>
      <c r="D307" s="69" t="s">
        <v>59</v>
      </c>
      <c r="E307" s="45">
        <v>278023</v>
      </c>
      <c r="F307" s="45">
        <f>2500</f>
        <v>2500</v>
      </c>
      <c r="G307" s="45"/>
      <c r="H307" s="44">
        <f t="shared" si="67"/>
        <v>280523</v>
      </c>
      <c r="I307" s="96"/>
      <c r="J307" s="49"/>
      <c r="K307" s="49"/>
    </row>
    <row r="308" spans="1:11" s="16" customFormat="1" ht="12" customHeight="1" x14ac:dyDescent="0.2">
      <c r="A308" s="33"/>
      <c r="B308" s="37"/>
      <c r="C308" s="26">
        <v>4240</v>
      </c>
      <c r="D308" s="41" t="s">
        <v>169</v>
      </c>
      <c r="E308" s="45">
        <v>210255</v>
      </c>
      <c r="F308" s="45"/>
      <c r="G308" s="45">
        <f>2500</f>
        <v>2500</v>
      </c>
      <c r="H308" s="43">
        <f t="shared" si="67"/>
        <v>207755</v>
      </c>
      <c r="I308" s="96"/>
      <c r="J308" s="49"/>
      <c r="K308" s="49"/>
    </row>
    <row r="309" spans="1:11" s="16" customFormat="1" ht="12" customHeight="1" x14ac:dyDescent="0.2">
      <c r="A309" s="33"/>
      <c r="B309" s="37"/>
      <c r="C309" s="26">
        <v>4270</v>
      </c>
      <c r="D309" s="41" t="s">
        <v>60</v>
      </c>
      <c r="E309" s="45">
        <v>178493</v>
      </c>
      <c r="F309" s="45"/>
      <c r="G309" s="45">
        <f>400</f>
        <v>400</v>
      </c>
      <c r="H309" s="43">
        <f t="shared" si="67"/>
        <v>178093</v>
      </c>
      <c r="I309" s="96"/>
      <c r="J309" s="49"/>
      <c r="K309" s="49"/>
    </row>
    <row r="310" spans="1:11" s="16" customFormat="1" ht="12" customHeight="1" x14ac:dyDescent="0.2">
      <c r="A310" s="33"/>
      <c r="B310" s="37"/>
      <c r="C310" s="26">
        <v>4300</v>
      </c>
      <c r="D310" s="41" t="s">
        <v>16</v>
      </c>
      <c r="E310" s="42">
        <v>355846</v>
      </c>
      <c r="F310" s="42"/>
      <c r="G310" s="42">
        <f>40</f>
        <v>40</v>
      </c>
      <c r="H310" s="43">
        <f t="shared" si="67"/>
        <v>355806</v>
      </c>
      <c r="I310" s="96"/>
      <c r="J310" s="49"/>
      <c r="K310" s="49"/>
    </row>
    <row r="311" spans="1:11" s="16" customFormat="1" ht="12" customHeight="1" x14ac:dyDescent="0.2">
      <c r="A311" s="33"/>
      <c r="B311" s="37"/>
      <c r="C311" s="26">
        <v>4410</v>
      </c>
      <c r="D311" s="69" t="s">
        <v>70</v>
      </c>
      <c r="E311" s="42">
        <v>16848</v>
      </c>
      <c r="F311" s="42">
        <f>2181</f>
        <v>2181</v>
      </c>
      <c r="G311" s="42"/>
      <c r="H311" s="43">
        <f t="shared" si="67"/>
        <v>19029</v>
      </c>
      <c r="I311" s="96"/>
      <c r="J311" s="49"/>
      <c r="K311" s="49"/>
    </row>
    <row r="312" spans="1:11" s="16" customFormat="1" ht="12" customHeight="1" x14ac:dyDescent="0.2">
      <c r="A312" s="33"/>
      <c r="B312" s="37"/>
      <c r="C312" s="26">
        <v>4430</v>
      </c>
      <c r="D312" s="41" t="s">
        <v>136</v>
      </c>
      <c r="E312" s="42">
        <v>24414</v>
      </c>
      <c r="F312" s="42"/>
      <c r="G312" s="42">
        <f>500</f>
        <v>500</v>
      </c>
      <c r="H312" s="43">
        <f t="shared" si="67"/>
        <v>23914</v>
      </c>
      <c r="I312" s="96"/>
      <c r="J312" s="49"/>
      <c r="K312" s="49"/>
    </row>
    <row r="313" spans="1:11" s="16" customFormat="1" ht="12" customHeight="1" x14ac:dyDescent="0.2">
      <c r="A313" s="33"/>
      <c r="B313" s="37"/>
      <c r="C313" s="26">
        <v>4510</v>
      </c>
      <c r="D313" s="41" t="s">
        <v>193</v>
      </c>
      <c r="E313" s="42">
        <v>538</v>
      </c>
      <c r="F313" s="42">
        <f>500</f>
        <v>500</v>
      </c>
      <c r="G313" s="42"/>
      <c r="H313" s="43">
        <f t="shared" si="67"/>
        <v>1038</v>
      </c>
      <c r="I313" s="96"/>
      <c r="J313" s="49"/>
      <c r="K313" s="49"/>
    </row>
    <row r="314" spans="1:11" s="16" customFormat="1" ht="12" customHeight="1" x14ac:dyDescent="0.2">
      <c r="A314" s="33"/>
      <c r="B314" s="37"/>
      <c r="C314" s="26">
        <v>4530</v>
      </c>
      <c r="D314" s="41" t="s">
        <v>186</v>
      </c>
      <c r="E314" s="42">
        <v>2103</v>
      </c>
      <c r="F314" s="42">
        <f>40</f>
        <v>40</v>
      </c>
      <c r="G314" s="42"/>
      <c r="H314" s="43">
        <f t="shared" si="67"/>
        <v>2143</v>
      </c>
      <c r="I314" s="96"/>
      <c r="J314" s="49"/>
      <c r="K314" s="49"/>
    </row>
    <row r="315" spans="1:11" s="16" customFormat="1" ht="12" customHeight="1" x14ac:dyDescent="0.2">
      <c r="A315" s="33"/>
      <c r="B315" s="37"/>
      <c r="C315" s="26">
        <v>4710</v>
      </c>
      <c r="D315" s="41" t="s">
        <v>39</v>
      </c>
      <c r="E315" s="42">
        <v>120371.75</v>
      </c>
      <c r="F315" s="42"/>
      <c r="G315" s="42">
        <f>24500</f>
        <v>24500</v>
      </c>
      <c r="H315" s="43">
        <f t="shared" si="67"/>
        <v>95871.75</v>
      </c>
      <c r="I315" s="96"/>
      <c r="J315" s="49"/>
      <c r="K315" s="49"/>
    </row>
    <row r="316" spans="1:11" s="16" customFormat="1" ht="12" customHeight="1" x14ac:dyDescent="0.2">
      <c r="A316" s="33"/>
      <c r="B316" s="37"/>
      <c r="C316" s="86">
        <v>4790</v>
      </c>
      <c r="D316" s="152" t="s">
        <v>172</v>
      </c>
      <c r="E316" s="42">
        <v>26581514</v>
      </c>
      <c r="F316" s="42">
        <f>2250</f>
        <v>2250</v>
      </c>
      <c r="G316" s="42"/>
      <c r="H316" s="43">
        <f t="shared" si="67"/>
        <v>26583764</v>
      </c>
      <c r="I316" s="96"/>
      <c r="J316" s="49"/>
      <c r="K316" s="49"/>
    </row>
    <row r="317" spans="1:11" s="16" customFormat="1" ht="12" customHeight="1" x14ac:dyDescent="0.2">
      <c r="A317" s="33"/>
      <c r="B317" s="37"/>
      <c r="C317" s="86">
        <v>4800</v>
      </c>
      <c r="D317" s="152" t="s">
        <v>173</v>
      </c>
      <c r="E317" s="42">
        <v>1887031</v>
      </c>
      <c r="F317" s="42"/>
      <c r="G317" s="42">
        <f>2230</f>
        <v>2230</v>
      </c>
      <c r="H317" s="43">
        <f t="shared" si="67"/>
        <v>1884801</v>
      </c>
      <c r="I317" s="96"/>
      <c r="J317" s="49"/>
      <c r="K317" s="49"/>
    </row>
    <row r="318" spans="1:11" s="16" customFormat="1" ht="25.5" customHeight="1" x14ac:dyDescent="0.2">
      <c r="A318" s="33"/>
      <c r="B318" s="37"/>
      <c r="C318" s="27"/>
      <c r="D318" s="686" t="s">
        <v>174</v>
      </c>
      <c r="E318" s="685">
        <v>105146.40999999999</v>
      </c>
      <c r="F318" s="685">
        <f>SUM(F319:F321)</f>
        <v>10470</v>
      </c>
      <c r="G318" s="685">
        <f>SUM(G319:G321)</f>
        <v>0</v>
      </c>
      <c r="H318" s="94">
        <f>SUM(E318+F318-G318)</f>
        <v>115616.40999999999</v>
      </c>
      <c r="I318" s="97"/>
      <c r="J318" s="49"/>
      <c r="K318" s="49"/>
    </row>
    <row r="319" spans="1:11" s="16" customFormat="1" ht="23.25" customHeight="1" x14ac:dyDescent="0.2">
      <c r="A319" s="33"/>
      <c r="B319" s="37"/>
      <c r="C319" s="99" t="s">
        <v>175</v>
      </c>
      <c r="D319" s="68" t="s">
        <v>176</v>
      </c>
      <c r="E319" s="45">
        <v>65254.41</v>
      </c>
      <c r="F319" s="45">
        <v>869</v>
      </c>
      <c r="G319" s="45"/>
      <c r="H319" s="43">
        <f t="shared" ref="H319:H329" si="68">SUM(E319+F319-G319)</f>
        <v>66123.41</v>
      </c>
      <c r="I319" s="97"/>
      <c r="J319" s="49"/>
      <c r="K319" s="49"/>
    </row>
    <row r="320" spans="1:11" s="16" customFormat="1" ht="24" customHeight="1" x14ac:dyDescent="0.2">
      <c r="A320" s="33"/>
      <c r="B320" s="37"/>
      <c r="C320" s="64">
        <v>4750</v>
      </c>
      <c r="D320" s="65" t="s">
        <v>177</v>
      </c>
      <c r="E320" s="45">
        <v>27133.71</v>
      </c>
      <c r="F320" s="45">
        <v>8352</v>
      </c>
      <c r="G320" s="45"/>
      <c r="H320" s="43">
        <f t="shared" si="68"/>
        <v>35485.71</v>
      </c>
      <c r="I320" s="97"/>
      <c r="J320" s="49"/>
      <c r="K320" s="49"/>
    </row>
    <row r="321" spans="1:11" s="16" customFormat="1" ht="22.5" customHeight="1" x14ac:dyDescent="0.2">
      <c r="A321" s="33"/>
      <c r="B321" s="37"/>
      <c r="C321" s="64">
        <v>4850</v>
      </c>
      <c r="D321" s="65" t="s">
        <v>178</v>
      </c>
      <c r="E321" s="45">
        <v>6518.29</v>
      </c>
      <c r="F321" s="45">
        <v>1249</v>
      </c>
      <c r="G321" s="45"/>
      <c r="H321" s="43">
        <f t="shared" si="68"/>
        <v>7767.29</v>
      </c>
      <c r="I321" s="97"/>
      <c r="J321" s="49"/>
      <c r="K321" s="49"/>
    </row>
    <row r="322" spans="1:11" s="16" customFormat="1" ht="22.5" customHeight="1" x14ac:dyDescent="0.2">
      <c r="A322" s="33"/>
      <c r="B322" s="37"/>
      <c r="C322" s="27"/>
      <c r="D322" s="686" t="s">
        <v>187</v>
      </c>
      <c r="E322" s="685">
        <v>0</v>
      </c>
      <c r="F322" s="685">
        <f>SUM(F323)</f>
        <v>899</v>
      </c>
      <c r="G322" s="685">
        <f>SUM(G323)</f>
        <v>0</v>
      </c>
      <c r="H322" s="94">
        <f>SUM(E322+F322-G322)</f>
        <v>899</v>
      </c>
      <c r="I322" s="97"/>
      <c r="J322" s="49"/>
      <c r="K322" s="49"/>
    </row>
    <row r="323" spans="1:11" s="16" customFormat="1" ht="36" customHeight="1" x14ac:dyDescent="0.2">
      <c r="A323" s="33"/>
      <c r="B323" s="37"/>
      <c r="C323" s="99" t="s">
        <v>188</v>
      </c>
      <c r="D323" s="68" t="s">
        <v>189</v>
      </c>
      <c r="E323" s="42">
        <v>0</v>
      </c>
      <c r="F323" s="45">
        <v>899</v>
      </c>
      <c r="G323" s="45"/>
      <c r="H323" s="43">
        <f t="shared" ref="H323" si="69">SUM(E323+F323-G323)</f>
        <v>899</v>
      </c>
      <c r="I323" s="97"/>
      <c r="J323" s="49"/>
      <c r="K323" s="49"/>
    </row>
    <row r="324" spans="1:11" s="16" customFormat="1" ht="12" customHeight="1" x14ac:dyDescent="0.2">
      <c r="A324" s="33"/>
      <c r="B324" s="37">
        <v>80116</v>
      </c>
      <c r="C324" s="27"/>
      <c r="D324" s="38" t="s">
        <v>194</v>
      </c>
      <c r="E324" s="39">
        <v>7810633</v>
      </c>
      <c r="F324" s="40">
        <f>SUM(F325,F328)</f>
        <v>3000</v>
      </c>
      <c r="G324" s="40">
        <f>SUM(G325,G328)</f>
        <v>76319.55</v>
      </c>
      <c r="H324" s="39">
        <f t="shared" si="68"/>
        <v>7737313.4500000002</v>
      </c>
      <c r="I324" s="97"/>
      <c r="J324" s="49"/>
      <c r="K324" s="49"/>
    </row>
    <row r="325" spans="1:11" s="16" customFormat="1" ht="12" customHeight="1" x14ac:dyDescent="0.2">
      <c r="A325" s="33"/>
      <c r="B325" s="37"/>
      <c r="C325" s="27"/>
      <c r="D325" s="684" t="s">
        <v>56</v>
      </c>
      <c r="E325" s="685">
        <v>6742708</v>
      </c>
      <c r="F325" s="685">
        <f>SUM(F326:F327)</f>
        <v>0</v>
      </c>
      <c r="G325" s="685">
        <f>SUM(G326:G327)</f>
        <v>76319.55</v>
      </c>
      <c r="H325" s="685">
        <f t="shared" si="68"/>
        <v>6666388.4500000002</v>
      </c>
      <c r="I325" s="97"/>
      <c r="J325" s="49"/>
      <c r="K325" s="49"/>
    </row>
    <row r="326" spans="1:11" s="16" customFormat="1" ht="21.75" customHeight="1" x14ac:dyDescent="0.2">
      <c r="A326" s="33"/>
      <c r="B326" s="37"/>
      <c r="C326" s="64">
        <v>2810</v>
      </c>
      <c r="D326" s="65" t="s">
        <v>165</v>
      </c>
      <c r="E326" s="45">
        <v>10125</v>
      </c>
      <c r="F326" s="45"/>
      <c r="G326" s="45">
        <v>4741.2</v>
      </c>
      <c r="H326" s="43">
        <f t="shared" si="68"/>
        <v>5383.8</v>
      </c>
      <c r="I326" s="97"/>
      <c r="J326" s="49"/>
      <c r="K326" s="49"/>
    </row>
    <row r="327" spans="1:11" s="16" customFormat="1" ht="33" customHeight="1" x14ac:dyDescent="0.2">
      <c r="A327" s="33"/>
      <c r="B327" s="37"/>
      <c r="C327" s="64">
        <v>2830</v>
      </c>
      <c r="D327" s="65" t="s">
        <v>166</v>
      </c>
      <c r="E327" s="44">
        <v>81000</v>
      </c>
      <c r="F327" s="42"/>
      <c r="G327" s="42">
        <v>71578.350000000006</v>
      </c>
      <c r="H327" s="43">
        <f t="shared" si="68"/>
        <v>9421.6499999999942</v>
      </c>
      <c r="I327" s="97"/>
      <c r="J327" s="49"/>
      <c r="K327" s="49"/>
    </row>
    <row r="328" spans="1:11" s="16" customFormat="1" ht="12" customHeight="1" x14ac:dyDescent="0.2">
      <c r="A328" s="33"/>
      <c r="B328" s="37"/>
      <c r="C328" s="64"/>
      <c r="D328" s="693" t="s">
        <v>42</v>
      </c>
      <c r="E328" s="685">
        <v>1067925</v>
      </c>
      <c r="F328" s="685">
        <f>SUM(F329)</f>
        <v>3000</v>
      </c>
      <c r="G328" s="685">
        <f>SUM(G329)</f>
        <v>0</v>
      </c>
      <c r="H328" s="685">
        <f t="shared" si="68"/>
        <v>1070925</v>
      </c>
      <c r="I328" s="97"/>
      <c r="J328" s="49"/>
      <c r="K328" s="49"/>
    </row>
    <row r="329" spans="1:11" s="16" customFormat="1" ht="12" customHeight="1" x14ac:dyDescent="0.2">
      <c r="A329" s="33"/>
      <c r="B329" s="37"/>
      <c r="C329" s="26">
        <v>4240</v>
      </c>
      <c r="D329" s="41" t="s">
        <v>169</v>
      </c>
      <c r="E329" s="44">
        <v>5000</v>
      </c>
      <c r="F329" s="44">
        <f>3000</f>
        <v>3000</v>
      </c>
      <c r="G329" s="44"/>
      <c r="H329" s="44">
        <f t="shared" si="68"/>
        <v>8000</v>
      </c>
      <c r="I329" s="97"/>
      <c r="J329" s="49"/>
      <c r="K329" s="49"/>
    </row>
    <row r="330" spans="1:11" s="16" customFormat="1" ht="12" customHeight="1" x14ac:dyDescent="0.2">
      <c r="A330" s="33"/>
      <c r="B330" s="37">
        <v>80117</v>
      </c>
      <c r="C330" s="27"/>
      <c r="D330" s="38" t="s">
        <v>48</v>
      </c>
      <c r="E330" s="74">
        <v>9826611.1300000008</v>
      </c>
      <c r="F330" s="40">
        <f>SUM(F331,F334,F337,F341)</f>
        <v>17997.599999999999</v>
      </c>
      <c r="G330" s="40">
        <f>SUM(G331,G334,G337,G341)</f>
        <v>3435.05</v>
      </c>
      <c r="H330" s="39">
        <f>SUM(E330+F330-G330)</f>
        <v>9841173.6799999997</v>
      </c>
      <c r="I330" s="96"/>
      <c r="J330" s="49"/>
      <c r="K330" s="49"/>
    </row>
    <row r="331" spans="1:11" s="16" customFormat="1" ht="12" customHeight="1" x14ac:dyDescent="0.2">
      <c r="A331" s="33"/>
      <c r="B331" s="37"/>
      <c r="C331" s="27"/>
      <c r="D331" s="684" t="s">
        <v>56</v>
      </c>
      <c r="E331" s="685">
        <v>2424278</v>
      </c>
      <c r="F331" s="685">
        <f>SUM(F332:F333)</f>
        <v>1767.6</v>
      </c>
      <c r="G331" s="685">
        <f>SUM(G332:G333)</f>
        <v>3154.05</v>
      </c>
      <c r="H331" s="685">
        <f t="shared" ref="H331:H336" si="70">SUM(E331+F331-G331)</f>
        <v>2422891.5500000003</v>
      </c>
      <c r="I331" s="96"/>
      <c r="J331" s="49"/>
      <c r="K331" s="49"/>
    </row>
    <row r="332" spans="1:11" s="16" customFormat="1" ht="33.75" customHeight="1" x14ac:dyDescent="0.2">
      <c r="A332" s="33"/>
      <c r="B332" s="37"/>
      <c r="C332" s="99" t="s">
        <v>183</v>
      </c>
      <c r="D332" s="68" t="s">
        <v>184</v>
      </c>
      <c r="E332" s="44">
        <v>9000</v>
      </c>
      <c r="F332" s="44">
        <v>1767.6</v>
      </c>
      <c r="G332" s="44"/>
      <c r="H332" s="44">
        <f t="shared" si="70"/>
        <v>10767.6</v>
      </c>
      <c r="I332" s="96"/>
      <c r="J332" s="49"/>
      <c r="K332" s="49"/>
    </row>
    <row r="333" spans="1:11" s="16" customFormat="1" ht="35.25" customHeight="1" x14ac:dyDescent="0.2">
      <c r="A333" s="33"/>
      <c r="B333" s="37"/>
      <c r="C333" s="64">
        <v>2830</v>
      </c>
      <c r="D333" s="65" t="s">
        <v>166</v>
      </c>
      <c r="E333" s="45">
        <v>4500</v>
      </c>
      <c r="F333" s="45"/>
      <c r="G333" s="45">
        <v>3154.05</v>
      </c>
      <c r="H333" s="42">
        <f t="shared" si="70"/>
        <v>1345.9499999999998</v>
      </c>
      <c r="I333" s="96"/>
      <c r="J333" s="49"/>
      <c r="K333" s="49"/>
    </row>
    <row r="334" spans="1:11" s="16" customFormat="1" ht="12" customHeight="1" x14ac:dyDescent="0.2">
      <c r="A334" s="33"/>
      <c r="B334" s="37"/>
      <c r="C334" s="27"/>
      <c r="D334" s="693" t="s">
        <v>42</v>
      </c>
      <c r="E334" s="685">
        <v>7368789.46</v>
      </c>
      <c r="F334" s="685">
        <f>SUM(F335:F336)</f>
        <v>0</v>
      </c>
      <c r="G334" s="685">
        <f>SUM(G335:G336)</f>
        <v>281</v>
      </c>
      <c r="H334" s="685">
        <f t="shared" si="70"/>
        <v>7368508.46</v>
      </c>
      <c r="I334" s="96"/>
      <c r="J334" s="49"/>
      <c r="K334" s="49"/>
    </row>
    <row r="335" spans="1:11" s="16" customFormat="1" ht="12" customHeight="1" x14ac:dyDescent="0.2">
      <c r="A335" s="33"/>
      <c r="B335" s="37"/>
      <c r="C335" s="26">
        <v>4270</v>
      </c>
      <c r="D335" s="41" t="s">
        <v>60</v>
      </c>
      <c r="E335" s="44">
        <v>22622</v>
      </c>
      <c r="F335" s="44"/>
      <c r="G335" s="44">
        <f>200</f>
        <v>200</v>
      </c>
      <c r="H335" s="44">
        <f t="shared" si="70"/>
        <v>22422</v>
      </c>
      <c r="I335" s="96"/>
      <c r="J335" s="49"/>
      <c r="K335" s="49"/>
    </row>
    <row r="336" spans="1:11" s="16" customFormat="1" ht="24" customHeight="1" x14ac:dyDescent="0.2">
      <c r="A336" s="33"/>
      <c r="B336" s="37"/>
      <c r="C336" s="64">
        <v>4700</v>
      </c>
      <c r="D336" s="68" t="s">
        <v>138</v>
      </c>
      <c r="E336" s="44">
        <v>2820</v>
      </c>
      <c r="F336" s="44"/>
      <c r="G336" s="44">
        <f>81</f>
        <v>81</v>
      </c>
      <c r="H336" s="44">
        <f t="shared" si="70"/>
        <v>2739</v>
      </c>
      <c r="I336" s="96"/>
      <c r="J336" s="49"/>
      <c r="K336" s="49"/>
    </row>
    <row r="337" spans="1:11" s="16" customFormat="1" ht="24" customHeight="1" x14ac:dyDescent="0.2">
      <c r="A337" s="33"/>
      <c r="B337" s="37"/>
      <c r="C337" s="27"/>
      <c r="D337" s="686" t="s">
        <v>174</v>
      </c>
      <c r="E337" s="685">
        <v>26143</v>
      </c>
      <c r="F337" s="685">
        <f>SUM(F338:F340)</f>
        <v>13826</v>
      </c>
      <c r="G337" s="685">
        <f>SUM(G338:G340)</f>
        <v>0</v>
      </c>
      <c r="H337" s="94">
        <f>SUM(E337+F337-G337)</f>
        <v>39969</v>
      </c>
      <c r="I337" s="97"/>
      <c r="J337" s="49"/>
      <c r="K337" s="49"/>
    </row>
    <row r="338" spans="1:11" s="16" customFormat="1" ht="23.25" customHeight="1" x14ac:dyDescent="0.2">
      <c r="A338" s="113"/>
      <c r="B338" s="72"/>
      <c r="C338" s="153" t="s">
        <v>175</v>
      </c>
      <c r="D338" s="154" t="s">
        <v>176</v>
      </c>
      <c r="E338" s="74">
        <v>13880</v>
      </c>
      <c r="F338" s="74">
        <v>2500</v>
      </c>
      <c r="G338" s="74"/>
      <c r="H338" s="39">
        <f t="shared" ref="H338:H340" si="71">SUM(E338+F338-G338)</f>
        <v>16380</v>
      </c>
      <c r="I338" s="97"/>
      <c r="J338" s="49"/>
      <c r="K338" s="49"/>
    </row>
    <row r="339" spans="1:11" s="16" customFormat="1" ht="21.75" customHeight="1" x14ac:dyDescent="0.2">
      <c r="A339" s="33"/>
      <c r="B339" s="37"/>
      <c r="C339" s="64">
        <v>4750</v>
      </c>
      <c r="D339" s="65" t="s">
        <v>177</v>
      </c>
      <c r="E339" s="45">
        <v>6003</v>
      </c>
      <c r="F339" s="45">
        <v>9441</v>
      </c>
      <c r="G339" s="45"/>
      <c r="H339" s="43">
        <f t="shared" si="71"/>
        <v>15444</v>
      </c>
      <c r="I339" s="97"/>
      <c r="J339" s="49"/>
      <c r="K339" s="49"/>
    </row>
    <row r="340" spans="1:11" s="16" customFormat="1" ht="21.75" customHeight="1" x14ac:dyDescent="0.2">
      <c r="A340" s="33"/>
      <c r="B340" s="37"/>
      <c r="C340" s="64">
        <v>4850</v>
      </c>
      <c r="D340" s="65" t="s">
        <v>178</v>
      </c>
      <c r="E340" s="45">
        <v>1160</v>
      </c>
      <c r="F340" s="45">
        <v>1885</v>
      </c>
      <c r="G340" s="45"/>
      <c r="H340" s="43">
        <f t="shared" si="71"/>
        <v>3045</v>
      </c>
      <c r="I340" s="97"/>
      <c r="J340" s="49"/>
      <c r="K340" s="49"/>
    </row>
    <row r="341" spans="1:11" s="16" customFormat="1" ht="21.75" customHeight="1" x14ac:dyDescent="0.2">
      <c r="A341" s="33"/>
      <c r="B341" s="33"/>
      <c r="C341" s="27"/>
      <c r="D341" s="686" t="s">
        <v>187</v>
      </c>
      <c r="E341" s="685">
        <v>7400.67</v>
      </c>
      <c r="F341" s="685">
        <f>SUM(F342)</f>
        <v>2404</v>
      </c>
      <c r="G341" s="685">
        <f>SUM(G342)</f>
        <v>0</v>
      </c>
      <c r="H341" s="94">
        <f>SUM(E341+F341-G341)</f>
        <v>9804.67</v>
      </c>
      <c r="I341" s="97"/>
      <c r="J341" s="49"/>
      <c r="K341" s="49"/>
    </row>
    <row r="342" spans="1:11" s="16" customFormat="1" ht="33" customHeight="1" x14ac:dyDescent="0.2">
      <c r="A342" s="33"/>
      <c r="B342" s="33"/>
      <c r="C342" s="99" t="s">
        <v>188</v>
      </c>
      <c r="D342" s="68" t="s">
        <v>189</v>
      </c>
      <c r="E342" s="42">
        <v>7400.67</v>
      </c>
      <c r="F342" s="45">
        <v>2404</v>
      </c>
      <c r="G342" s="45"/>
      <c r="H342" s="43">
        <f t="shared" ref="H342" si="72">SUM(E342+F342-G342)</f>
        <v>9804.67</v>
      </c>
      <c r="I342" s="96"/>
      <c r="J342" s="49"/>
      <c r="K342" s="49"/>
    </row>
    <row r="343" spans="1:11" s="16" customFormat="1" ht="12" customHeight="1" x14ac:dyDescent="0.2">
      <c r="A343" s="33"/>
      <c r="B343" s="86">
        <v>80120</v>
      </c>
      <c r="C343" s="80"/>
      <c r="D343" s="81" t="s">
        <v>49</v>
      </c>
      <c r="E343" s="74">
        <v>38073412.280000001</v>
      </c>
      <c r="F343" s="40">
        <f>SUM(F344,F347,F356,F360)</f>
        <v>102873.45</v>
      </c>
      <c r="G343" s="40">
        <f>SUM(G344,G347,G356,G360)</f>
        <v>70440.350000000006</v>
      </c>
      <c r="H343" s="39">
        <f>SUM(E343+F343-G343)</f>
        <v>38105845.380000003</v>
      </c>
      <c r="I343" s="96"/>
      <c r="J343" s="49"/>
      <c r="K343" s="49"/>
    </row>
    <row r="344" spans="1:11" s="16" customFormat="1" ht="11.25" customHeight="1" x14ac:dyDescent="0.2">
      <c r="A344" s="33"/>
      <c r="B344" s="86"/>
      <c r="C344" s="27"/>
      <c r="D344" s="684" t="s">
        <v>56</v>
      </c>
      <c r="E344" s="685">
        <v>6729436</v>
      </c>
      <c r="F344" s="685">
        <f>SUM(F345:F346)</f>
        <v>33534.449999999997</v>
      </c>
      <c r="G344" s="685">
        <f>SUM(G345:G346)</f>
        <v>17740.349999999999</v>
      </c>
      <c r="H344" s="685">
        <f t="shared" ref="H344:H346" si="73">SUM(E344+F344-G344)</f>
        <v>6745230.1000000006</v>
      </c>
      <c r="I344" s="96"/>
      <c r="J344" s="49"/>
      <c r="K344" s="49"/>
    </row>
    <row r="345" spans="1:11" s="16" customFormat="1" ht="33.75" customHeight="1" x14ac:dyDescent="0.2">
      <c r="A345" s="33"/>
      <c r="B345" s="86"/>
      <c r="C345" s="64">
        <v>2590</v>
      </c>
      <c r="D345" s="150" t="s">
        <v>164</v>
      </c>
      <c r="E345" s="44">
        <v>3434625</v>
      </c>
      <c r="F345" s="44">
        <v>33534.449999999997</v>
      </c>
      <c r="G345" s="44"/>
      <c r="H345" s="44">
        <f t="shared" si="73"/>
        <v>3468159.45</v>
      </c>
      <c r="I345" s="96"/>
      <c r="J345" s="49"/>
      <c r="K345" s="49"/>
    </row>
    <row r="346" spans="1:11" s="16" customFormat="1" ht="34.5" customHeight="1" x14ac:dyDescent="0.2">
      <c r="A346" s="33"/>
      <c r="B346" s="86"/>
      <c r="C346" s="64">
        <v>2830</v>
      </c>
      <c r="D346" s="65" t="s">
        <v>166</v>
      </c>
      <c r="E346" s="44">
        <v>81000</v>
      </c>
      <c r="F346" s="44"/>
      <c r="G346" s="44">
        <v>17740.349999999999</v>
      </c>
      <c r="H346" s="44">
        <f t="shared" si="73"/>
        <v>63259.65</v>
      </c>
      <c r="I346" s="96"/>
      <c r="J346" s="49"/>
      <c r="K346" s="49"/>
    </row>
    <row r="347" spans="1:11" s="16" customFormat="1" ht="12" customHeight="1" x14ac:dyDescent="0.2">
      <c r="A347" s="33"/>
      <c r="B347" s="33"/>
      <c r="C347" s="27"/>
      <c r="D347" s="693" t="s">
        <v>42</v>
      </c>
      <c r="E347" s="685">
        <v>30892085.130000003</v>
      </c>
      <c r="F347" s="685">
        <f>SUM(F348:F355)</f>
        <v>51700</v>
      </c>
      <c r="G347" s="685">
        <f>SUM(G348:G355)</f>
        <v>52700</v>
      </c>
      <c r="H347" s="685">
        <f>SUM(E347+F347-G347)</f>
        <v>30891085.130000003</v>
      </c>
      <c r="I347" s="96"/>
      <c r="J347" s="49"/>
      <c r="K347" s="49"/>
    </row>
    <row r="348" spans="1:11" s="16" customFormat="1" ht="12" customHeight="1" x14ac:dyDescent="0.2">
      <c r="A348" s="33"/>
      <c r="B348" s="33"/>
      <c r="C348" s="26">
        <v>3020</v>
      </c>
      <c r="D348" s="41" t="s">
        <v>167</v>
      </c>
      <c r="E348" s="45">
        <v>33914</v>
      </c>
      <c r="F348" s="45">
        <f>200</f>
        <v>200</v>
      </c>
      <c r="G348" s="45"/>
      <c r="H348" s="44">
        <f t="shared" ref="H348:H355" si="74">SUM(E348+F348-G348)</f>
        <v>34114</v>
      </c>
      <c r="I348" s="96"/>
      <c r="J348" s="49"/>
      <c r="K348" s="49"/>
    </row>
    <row r="349" spans="1:11" s="16" customFormat="1" ht="23.25" customHeight="1" x14ac:dyDescent="0.2">
      <c r="A349" s="33"/>
      <c r="B349" s="33"/>
      <c r="C349" s="64">
        <v>3040</v>
      </c>
      <c r="D349" s="65" t="s">
        <v>168</v>
      </c>
      <c r="E349" s="45">
        <v>260151.33</v>
      </c>
      <c r="F349" s="45"/>
      <c r="G349" s="45">
        <f>22500</f>
        <v>22500</v>
      </c>
      <c r="H349" s="44">
        <f t="shared" si="74"/>
        <v>237651.33</v>
      </c>
      <c r="I349" s="96"/>
      <c r="J349" s="49"/>
      <c r="K349" s="49"/>
    </row>
    <row r="350" spans="1:11" s="16" customFormat="1" ht="12" customHeight="1" x14ac:dyDescent="0.2">
      <c r="A350" s="33"/>
      <c r="B350" s="33"/>
      <c r="C350" s="26">
        <v>4040</v>
      </c>
      <c r="D350" s="41" t="s">
        <v>35</v>
      </c>
      <c r="E350" s="45">
        <v>206230</v>
      </c>
      <c r="F350" s="45"/>
      <c r="G350" s="45">
        <f>1200</f>
        <v>1200</v>
      </c>
      <c r="H350" s="43">
        <f t="shared" si="74"/>
        <v>205030</v>
      </c>
      <c r="I350" s="96"/>
      <c r="J350" s="49"/>
      <c r="K350" s="49"/>
    </row>
    <row r="351" spans="1:11" s="16" customFormat="1" ht="12" customHeight="1" x14ac:dyDescent="0.2">
      <c r="A351" s="33"/>
      <c r="B351" s="33"/>
      <c r="C351" s="64">
        <v>4210</v>
      </c>
      <c r="D351" s="69" t="s">
        <v>59</v>
      </c>
      <c r="E351" s="45">
        <v>155967</v>
      </c>
      <c r="F351" s="45">
        <f>23500</f>
        <v>23500</v>
      </c>
      <c r="G351" s="45"/>
      <c r="H351" s="44">
        <f t="shared" si="74"/>
        <v>179467</v>
      </c>
      <c r="I351" s="96"/>
      <c r="J351" s="49"/>
      <c r="K351" s="49"/>
    </row>
    <row r="352" spans="1:11" s="16" customFormat="1" ht="12" customHeight="1" x14ac:dyDescent="0.2">
      <c r="A352" s="33"/>
      <c r="B352" s="33"/>
      <c r="C352" s="26">
        <v>4240</v>
      </c>
      <c r="D352" s="41" t="s">
        <v>169</v>
      </c>
      <c r="E352" s="45">
        <v>93316</v>
      </c>
      <c r="F352" s="45"/>
      <c r="G352" s="45">
        <f>19000</f>
        <v>19000</v>
      </c>
      <c r="H352" s="43">
        <f t="shared" si="74"/>
        <v>74316</v>
      </c>
      <c r="I352" s="96"/>
      <c r="J352" s="49"/>
      <c r="K352" s="49"/>
    </row>
    <row r="353" spans="1:11" s="16" customFormat="1" ht="12" customHeight="1" x14ac:dyDescent="0.2">
      <c r="A353" s="33"/>
      <c r="B353" s="33"/>
      <c r="C353" s="26">
        <v>4270</v>
      </c>
      <c r="D353" s="37" t="s">
        <v>60</v>
      </c>
      <c r="E353" s="45">
        <v>47235</v>
      </c>
      <c r="F353" s="45">
        <f>5500</f>
        <v>5500</v>
      </c>
      <c r="G353" s="45"/>
      <c r="H353" s="44">
        <f t="shared" si="74"/>
        <v>52735</v>
      </c>
      <c r="I353" s="96"/>
      <c r="J353" s="49"/>
      <c r="K353" s="49"/>
    </row>
    <row r="354" spans="1:11" s="16" customFormat="1" ht="12" customHeight="1" x14ac:dyDescent="0.2">
      <c r="A354" s="33"/>
      <c r="B354" s="33"/>
      <c r="C354" s="26">
        <v>4710</v>
      </c>
      <c r="D354" s="69" t="s">
        <v>39</v>
      </c>
      <c r="E354" s="45">
        <v>92386.05</v>
      </c>
      <c r="F354" s="45"/>
      <c r="G354" s="45">
        <f>10000</f>
        <v>10000</v>
      </c>
      <c r="H354" s="44">
        <f t="shared" si="74"/>
        <v>82386.05</v>
      </c>
      <c r="I354" s="96"/>
      <c r="J354" s="49"/>
      <c r="K354" s="49"/>
    </row>
    <row r="355" spans="1:11" s="16" customFormat="1" ht="12" customHeight="1" x14ac:dyDescent="0.2">
      <c r="A355" s="33"/>
      <c r="B355" s="33"/>
      <c r="C355" s="86">
        <v>4790</v>
      </c>
      <c r="D355" s="152" t="s">
        <v>172</v>
      </c>
      <c r="E355" s="45">
        <v>17309476</v>
      </c>
      <c r="F355" s="45">
        <f>22500</f>
        <v>22500</v>
      </c>
      <c r="G355" s="45"/>
      <c r="H355" s="44">
        <f t="shared" si="74"/>
        <v>17331976</v>
      </c>
      <c r="I355" s="96"/>
      <c r="J355" s="49"/>
      <c r="K355" s="49"/>
    </row>
    <row r="356" spans="1:11" s="16" customFormat="1" ht="21" customHeight="1" x14ac:dyDescent="0.2">
      <c r="A356" s="33"/>
      <c r="B356" s="37"/>
      <c r="C356" s="27"/>
      <c r="D356" s="686" t="s">
        <v>174</v>
      </c>
      <c r="E356" s="685">
        <v>142977.75</v>
      </c>
      <c r="F356" s="685">
        <f>SUM(F357:F359)</f>
        <v>13435</v>
      </c>
      <c r="G356" s="685">
        <f>SUM(G357:G359)</f>
        <v>0</v>
      </c>
      <c r="H356" s="94">
        <f>SUM(E356+F356-G356)</f>
        <v>156412.75</v>
      </c>
      <c r="I356" s="97"/>
      <c r="J356" s="49"/>
      <c r="K356" s="49"/>
    </row>
    <row r="357" spans="1:11" s="16" customFormat="1" ht="24" customHeight="1" x14ac:dyDescent="0.2">
      <c r="A357" s="33"/>
      <c r="B357" s="37"/>
      <c r="C357" s="99" t="s">
        <v>175</v>
      </c>
      <c r="D357" s="68" t="s">
        <v>176</v>
      </c>
      <c r="E357" s="45">
        <v>70156.75</v>
      </c>
      <c r="F357" s="45">
        <v>1000</v>
      </c>
      <c r="G357" s="45"/>
      <c r="H357" s="43">
        <f t="shared" ref="H357:H359" si="75">SUM(E357+F357-G357)</f>
        <v>71156.75</v>
      </c>
      <c r="I357" s="97"/>
      <c r="J357" s="49"/>
      <c r="K357" s="49"/>
    </row>
    <row r="358" spans="1:11" s="16" customFormat="1" ht="21.75" customHeight="1" x14ac:dyDescent="0.2">
      <c r="A358" s="33"/>
      <c r="B358" s="37"/>
      <c r="C358" s="64">
        <v>4750</v>
      </c>
      <c r="D358" s="65" t="s">
        <v>177</v>
      </c>
      <c r="E358" s="45">
        <v>47886</v>
      </c>
      <c r="F358" s="45">
        <v>9749</v>
      </c>
      <c r="G358" s="45"/>
      <c r="H358" s="43">
        <f t="shared" si="75"/>
        <v>57635</v>
      </c>
      <c r="I358" s="97"/>
      <c r="J358" s="49"/>
      <c r="K358" s="49"/>
    </row>
    <row r="359" spans="1:11" s="16" customFormat="1" ht="21.75" customHeight="1" x14ac:dyDescent="0.2">
      <c r="A359" s="33"/>
      <c r="B359" s="37"/>
      <c r="C359" s="64">
        <v>4850</v>
      </c>
      <c r="D359" s="65" t="s">
        <v>178</v>
      </c>
      <c r="E359" s="45">
        <v>9855</v>
      </c>
      <c r="F359" s="45">
        <v>2686</v>
      </c>
      <c r="G359" s="45"/>
      <c r="H359" s="43">
        <f t="shared" si="75"/>
        <v>12541</v>
      </c>
      <c r="I359" s="97"/>
      <c r="J359" s="49"/>
      <c r="K359" s="49"/>
    </row>
    <row r="360" spans="1:11" s="16" customFormat="1" ht="23.25" customHeight="1" x14ac:dyDescent="0.2">
      <c r="A360" s="33"/>
      <c r="B360" s="37"/>
      <c r="C360" s="27"/>
      <c r="D360" s="686" t="s">
        <v>187</v>
      </c>
      <c r="E360" s="685">
        <v>88913.4</v>
      </c>
      <c r="F360" s="685">
        <f>SUM(F361)</f>
        <v>4204</v>
      </c>
      <c r="G360" s="685">
        <f>SUM(G361)</f>
        <v>0</v>
      </c>
      <c r="H360" s="94">
        <f>SUM(E360+F360-G360)</f>
        <v>93117.4</v>
      </c>
      <c r="I360" s="97"/>
      <c r="J360" s="49"/>
      <c r="K360" s="49"/>
    </row>
    <row r="361" spans="1:11" s="16" customFormat="1" ht="33" customHeight="1" x14ac:dyDescent="0.2">
      <c r="A361" s="33"/>
      <c r="B361" s="37"/>
      <c r="C361" s="99" t="s">
        <v>188</v>
      </c>
      <c r="D361" s="68" t="s">
        <v>189</v>
      </c>
      <c r="E361" s="42">
        <v>88913.4</v>
      </c>
      <c r="F361" s="45">
        <v>4204</v>
      </c>
      <c r="G361" s="45"/>
      <c r="H361" s="43">
        <f t="shared" ref="H361" si="76">SUM(E361+F361-G361)</f>
        <v>93117.4</v>
      </c>
      <c r="I361" s="96"/>
      <c r="J361" s="49"/>
      <c r="K361" s="49"/>
    </row>
    <row r="362" spans="1:11" s="16" customFormat="1" ht="12" customHeight="1" x14ac:dyDescent="0.2">
      <c r="A362" s="33"/>
      <c r="B362" s="26">
        <v>80132</v>
      </c>
      <c r="C362" s="27"/>
      <c r="D362" s="38" t="s">
        <v>50</v>
      </c>
      <c r="E362" s="40">
        <v>9221418.7799999993</v>
      </c>
      <c r="F362" s="40">
        <f>SUM(F363,F370)</f>
        <v>20739.400000000001</v>
      </c>
      <c r="G362" s="40">
        <f>SUM(G363,G370)</f>
        <v>15532.4</v>
      </c>
      <c r="H362" s="39">
        <f>SUM(E362+F362-G362)</f>
        <v>9226625.7799999993</v>
      </c>
      <c r="I362" s="96"/>
      <c r="J362" s="49"/>
      <c r="K362" s="49"/>
    </row>
    <row r="363" spans="1:11" s="16" customFormat="1" ht="12" customHeight="1" x14ac:dyDescent="0.2">
      <c r="A363" s="33"/>
      <c r="B363" s="26"/>
      <c r="C363" s="27"/>
      <c r="D363" s="693" t="s">
        <v>42</v>
      </c>
      <c r="E363" s="685">
        <v>6389182</v>
      </c>
      <c r="F363" s="685">
        <f>SUM(F364:F369)</f>
        <v>14752.4</v>
      </c>
      <c r="G363" s="685">
        <f>SUM(G364:G369)</f>
        <v>15532.4</v>
      </c>
      <c r="H363" s="685">
        <f t="shared" ref="H363:H369" si="77">SUM(E363+F363-G363)</f>
        <v>6388402</v>
      </c>
      <c r="I363" s="96"/>
      <c r="J363" s="49"/>
      <c r="K363" s="49"/>
    </row>
    <row r="364" spans="1:11" s="16" customFormat="1" ht="21" customHeight="1" x14ac:dyDescent="0.2">
      <c r="A364" s="33"/>
      <c r="B364" s="26"/>
      <c r="C364" s="64">
        <v>3040</v>
      </c>
      <c r="D364" s="65" t="s">
        <v>168</v>
      </c>
      <c r="E364" s="45">
        <v>56250</v>
      </c>
      <c r="F364" s="45"/>
      <c r="G364" s="45">
        <f>752.4</f>
        <v>752.4</v>
      </c>
      <c r="H364" s="43">
        <f t="shared" si="77"/>
        <v>55497.599999999999</v>
      </c>
      <c r="I364" s="96"/>
      <c r="J364" s="49"/>
      <c r="K364" s="49"/>
    </row>
    <row r="365" spans="1:11" s="16" customFormat="1" ht="12" customHeight="1" x14ac:dyDescent="0.2">
      <c r="A365" s="33"/>
      <c r="B365" s="26"/>
      <c r="C365" s="26">
        <v>4040</v>
      </c>
      <c r="D365" s="41" t="s">
        <v>35</v>
      </c>
      <c r="E365" s="45">
        <v>47000</v>
      </c>
      <c r="F365" s="45"/>
      <c r="G365" s="45">
        <f>5000</f>
        <v>5000</v>
      </c>
      <c r="H365" s="43">
        <f t="shared" si="77"/>
        <v>42000</v>
      </c>
      <c r="I365" s="96"/>
      <c r="J365" s="49"/>
      <c r="K365" s="49"/>
    </row>
    <row r="366" spans="1:11" s="16" customFormat="1" ht="12" customHeight="1" x14ac:dyDescent="0.2">
      <c r="A366" s="33"/>
      <c r="B366" s="26"/>
      <c r="C366" s="26">
        <v>4260</v>
      </c>
      <c r="D366" s="41" t="s">
        <v>143</v>
      </c>
      <c r="E366" s="44">
        <v>335000</v>
      </c>
      <c r="F366" s="44">
        <f>4000</f>
        <v>4000</v>
      </c>
      <c r="G366" s="44"/>
      <c r="H366" s="44">
        <f t="shared" si="77"/>
        <v>339000</v>
      </c>
      <c r="I366" s="96"/>
      <c r="J366" s="49"/>
      <c r="K366" s="49"/>
    </row>
    <row r="367" spans="1:11" s="16" customFormat="1" ht="12" customHeight="1" x14ac:dyDescent="0.2">
      <c r="A367" s="33"/>
      <c r="B367" s="26"/>
      <c r="C367" s="26">
        <v>4300</v>
      </c>
      <c r="D367" s="41" t="s">
        <v>16</v>
      </c>
      <c r="E367" s="45">
        <v>27000</v>
      </c>
      <c r="F367" s="45">
        <f>10000</f>
        <v>10000</v>
      </c>
      <c r="G367" s="45"/>
      <c r="H367" s="44">
        <f t="shared" si="77"/>
        <v>37000</v>
      </c>
      <c r="I367" s="96"/>
      <c r="J367" s="49"/>
      <c r="K367" s="49"/>
    </row>
    <row r="368" spans="1:11" s="16" customFormat="1" ht="11.45" customHeight="1" x14ac:dyDescent="0.2">
      <c r="A368" s="33"/>
      <c r="B368" s="26"/>
      <c r="C368" s="86">
        <v>4790</v>
      </c>
      <c r="D368" s="152" t="s">
        <v>172</v>
      </c>
      <c r="E368" s="45">
        <v>3691851</v>
      </c>
      <c r="F368" s="45">
        <f>752.4</f>
        <v>752.4</v>
      </c>
      <c r="G368" s="45"/>
      <c r="H368" s="43">
        <f t="shared" si="77"/>
        <v>3692603.4</v>
      </c>
      <c r="I368" s="96"/>
      <c r="J368" s="49"/>
      <c r="K368" s="49"/>
    </row>
    <row r="369" spans="1:11" s="16" customFormat="1" ht="11.45" customHeight="1" x14ac:dyDescent="0.2">
      <c r="A369" s="33"/>
      <c r="B369" s="26"/>
      <c r="C369" s="86">
        <v>4800</v>
      </c>
      <c r="D369" s="152" t="s">
        <v>173</v>
      </c>
      <c r="E369" s="45">
        <v>286900</v>
      </c>
      <c r="F369" s="45"/>
      <c r="G369" s="45">
        <f>9780</f>
        <v>9780</v>
      </c>
      <c r="H369" s="44">
        <f t="shared" si="77"/>
        <v>277120</v>
      </c>
      <c r="I369" s="96"/>
      <c r="J369" s="49"/>
      <c r="K369" s="49"/>
    </row>
    <row r="370" spans="1:11" s="16" customFormat="1" ht="27" customHeight="1" x14ac:dyDescent="0.2">
      <c r="A370" s="33"/>
      <c r="B370" s="26"/>
      <c r="C370" s="27"/>
      <c r="D370" s="686" t="s">
        <v>174</v>
      </c>
      <c r="E370" s="685">
        <v>52236.78</v>
      </c>
      <c r="F370" s="685">
        <f>SUM(F371:F372)</f>
        <v>5987</v>
      </c>
      <c r="G370" s="685">
        <f>SUM(G371:G372)</f>
        <v>0</v>
      </c>
      <c r="H370" s="94">
        <f>SUM(E370+F370-G370)</f>
        <v>58223.78</v>
      </c>
      <c r="I370" s="97"/>
      <c r="J370" s="49"/>
      <c r="K370" s="49"/>
    </row>
    <row r="371" spans="1:11" s="16" customFormat="1" ht="21.75" customHeight="1" x14ac:dyDescent="0.2">
      <c r="A371" s="33"/>
      <c r="B371" s="26"/>
      <c r="C371" s="64">
        <v>4750</v>
      </c>
      <c r="D371" s="65" t="s">
        <v>177</v>
      </c>
      <c r="E371" s="45">
        <v>19120</v>
      </c>
      <c r="F371" s="45">
        <v>4617</v>
      </c>
      <c r="G371" s="45"/>
      <c r="H371" s="43">
        <f t="shared" ref="H371:H372" si="78">SUM(E371+F371-G371)</f>
        <v>23737</v>
      </c>
      <c r="I371" s="96"/>
      <c r="J371" s="49"/>
      <c r="K371" s="49"/>
    </row>
    <row r="372" spans="1:11" s="16" customFormat="1" ht="21.75" customHeight="1" x14ac:dyDescent="0.2">
      <c r="A372" s="33"/>
      <c r="B372" s="26"/>
      <c r="C372" s="64">
        <v>4850</v>
      </c>
      <c r="D372" s="65" t="s">
        <v>178</v>
      </c>
      <c r="E372" s="45">
        <v>3925</v>
      </c>
      <c r="F372" s="45">
        <v>1370</v>
      </c>
      <c r="G372" s="45"/>
      <c r="H372" s="43">
        <f t="shared" si="78"/>
        <v>5295</v>
      </c>
      <c r="I372" s="96"/>
      <c r="J372" s="49"/>
      <c r="K372" s="49"/>
    </row>
    <row r="373" spans="1:11" s="16" customFormat="1" ht="12" customHeight="1" x14ac:dyDescent="0.2">
      <c r="A373" s="33"/>
      <c r="B373" s="37">
        <v>80134</v>
      </c>
      <c r="C373" s="27"/>
      <c r="D373" s="63" t="s">
        <v>51</v>
      </c>
      <c r="E373" s="74">
        <v>11035601.969999999</v>
      </c>
      <c r="F373" s="40">
        <f>SUM(F374,F379)</f>
        <v>18661</v>
      </c>
      <c r="G373" s="40">
        <f>SUM(G374,G379)</f>
        <v>17300</v>
      </c>
      <c r="H373" s="39">
        <f>SUM(E373+F373-G373)</f>
        <v>11036962.969999999</v>
      </c>
      <c r="I373" s="96"/>
      <c r="J373" s="49"/>
      <c r="K373" s="49"/>
    </row>
    <row r="374" spans="1:11" s="16" customFormat="1" ht="12" customHeight="1" x14ac:dyDescent="0.2">
      <c r="A374" s="33"/>
      <c r="B374" s="37"/>
      <c r="C374" s="27"/>
      <c r="D374" s="693" t="s">
        <v>42</v>
      </c>
      <c r="E374" s="685">
        <v>11023041.969999999</v>
      </c>
      <c r="F374" s="685">
        <f>SUM(F375:F378)</f>
        <v>18000</v>
      </c>
      <c r="G374" s="685">
        <f>SUM(G375:G378)</f>
        <v>17300</v>
      </c>
      <c r="H374" s="685">
        <f t="shared" ref="H374:H378" si="79">SUM(E374+F374-G374)</f>
        <v>11023741.969999999</v>
      </c>
      <c r="I374" s="96"/>
      <c r="J374" s="49"/>
      <c r="K374" s="49"/>
    </row>
    <row r="375" spans="1:11" s="16" customFormat="1" ht="12" customHeight="1" x14ac:dyDescent="0.2">
      <c r="A375" s="33"/>
      <c r="B375" s="37"/>
      <c r="C375" s="64">
        <v>4210</v>
      </c>
      <c r="D375" s="69" t="s">
        <v>59</v>
      </c>
      <c r="E375" s="45">
        <v>46680</v>
      </c>
      <c r="F375" s="45">
        <f>10000</f>
        <v>10000</v>
      </c>
      <c r="G375" s="45"/>
      <c r="H375" s="43">
        <f t="shared" si="79"/>
        <v>56680</v>
      </c>
      <c r="I375" s="96"/>
      <c r="J375" s="49"/>
      <c r="K375" s="49"/>
    </row>
    <row r="376" spans="1:11" s="16" customFormat="1" ht="12" customHeight="1" x14ac:dyDescent="0.2">
      <c r="A376" s="33"/>
      <c r="B376" s="37"/>
      <c r="C376" s="64">
        <v>4270</v>
      </c>
      <c r="D376" s="41" t="s">
        <v>60</v>
      </c>
      <c r="E376" s="45">
        <v>28850</v>
      </c>
      <c r="F376" s="45">
        <f>5000</f>
        <v>5000</v>
      </c>
      <c r="G376" s="45"/>
      <c r="H376" s="43">
        <f t="shared" si="79"/>
        <v>33850</v>
      </c>
      <c r="I376" s="96"/>
      <c r="J376" s="49"/>
      <c r="K376" s="49"/>
    </row>
    <row r="377" spans="1:11" s="16" customFormat="1" ht="12" customHeight="1" x14ac:dyDescent="0.2">
      <c r="A377" s="33"/>
      <c r="B377" s="37"/>
      <c r="C377" s="64">
        <v>4280</v>
      </c>
      <c r="D377" s="82" t="s">
        <v>170</v>
      </c>
      <c r="E377" s="45">
        <v>7400</v>
      </c>
      <c r="F377" s="45">
        <f>3000</f>
        <v>3000</v>
      </c>
      <c r="G377" s="45"/>
      <c r="H377" s="43">
        <f t="shared" si="79"/>
        <v>10400</v>
      </c>
      <c r="I377" s="96"/>
      <c r="J377" s="49"/>
      <c r="K377" s="49"/>
    </row>
    <row r="378" spans="1:11" s="16" customFormat="1" ht="12" customHeight="1" x14ac:dyDescent="0.2">
      <c r="A378" s="113"/>
      <c r="B378" s="72"/>
      <c r="C378" s="83">
        <v>4800</v>
      </c>
      <c r="D378" s="155" t="s">
        <v>173</v>
      </c>
      <c r="E378" s="74">
        <v>554163</v>
      </c>
      <c r="F378" s="74"/>
      <c r="G378" s="74">
        <f>17300</f>
        <v>17300</v>
      </c>
      <c r="H378" s="39">
        <f t="shared" si="79"/>
        <v>536863</v>
      </c>
      <c r="I378" s="96"/>
      <c r="J378" s="49"/>
      <c r="K378" s="49"/>
    </row>
    <row r="379" spans="1:11" s="16" customFormat="1" ht="25.5" customHeight="1" x14ac:dyDescent="0.2">
      <c r="A379" s="33"/>
      <c r="B379" s="37"/>
      <c r="C379" s="27"/>
      <c r="D379" s="686" t="s">
        <v>174</v>
      </c>
      <c r="E379" s="685">
        <v>0</v>
      </c>
      <c r="F379" s="685">
        <f>SUM(F380:F380)</f>
        <v>661</v>
      </c>
      <c r="G379" s="685">
        <f>SUM(G380:G380)</f>
        <v>0</v>
      </c>
      <c r="H379" s="94">
        <f>SUM(E379+F379-G379)</f>
        <v>661</v>
      </c>
      <c r="I379" s="96"/>
      <c r="J379" s="49"/>
      <c r="K379" s="49"/>
    </row>
    <row r="380" spans="1:11" s="16" customFormat="1" ht="22.5" customHeight="1" x14ac:dyDescent="0.2">
      <c r="A380" s="33"/>
      <c r="B380" s="37"/>
      <c r="C380" s="99" t="s">
        <v>175</v>
      </c>
      <c r="D380" s="68" t="s">
        <v>176</v>
      </c>
      <c r="E380" s="45">
        <v>0</v>
      </c>
      <c r="F380" s="45">
        <v>661</v>
      </c>
      <c r="G380" s="45"/>
      <c r="H380" s="43">
        <f t="shared" ref="H380" si="80">SUM(E380+F380-G380)</f>
        <v>661</v>
      </c>
      <c r="I380" s="96"/>
      <c r="J380" s="49"/>
      <c r="K380" s="49"/>
    </row>
    <row r="381" spans="1:11" s="16" customFormat="1" ht="11.45" customHeight="1" x14ac:dyDescent="0.2">
      <c r="A381" s="33"/>
      <c r="B381" s="37">
        <v>80140</v>
      </c>
      <c r="C381" s="57"/>
      <c r="D381" s="78" t="s">
        <v>52</v>
      </c>
      <c r="E381" s="62"/>
      <c r="F381" s="79"/>
      <c r="G381" s="79"/>
      <c r="H381" s="62"/>
      <c r="I381" s="96"/>
      <c r="J381" s="49"/>
      <c r="K381" s="49"/>
    </row>
    <row r="382" spans="1:11" s="16" customFormat="1" ht="11.45" customHeight="1" x14ac:dyDescent="0.2">
      <c r="A382" s="33"/>
      <c r="B382" s="37"/>
      <c r="C382" s="27"/>
      <c r="D382" s="38" t="s">
        <v>53</v>
      </c>
      <c r="E382" s="39">
        <v>4076887</v>
      </c>
      <c r="F382" s="40">
        <f>SUM(F383)</f>
        <v>7248</v>
      </c>
      <c r="G382" s="40">
        <f>SUM(G383)</f>
        <v>7648</v>
      </c>
      <c r="H382" s="39">
        <f t="shared" ref="H382" si="81">SUM(E382+F382-G382)</f>
        <v>4076487</v>
      </c>
      <c r="I382" s="96"/>
      <c r="J382" s="49"/>
      <c r="K382" s="49"/>
    </row>
    <row r="383" spans="1:11" s="16" customFormat="1" ht="11.45" customHeight="1" x14ac:dyDescent="0.2">
      <c r="A383" s="33"/>
      <c r="B383" s="37"/>
      <c r="C383" s="27"/>
      <c r="D383" s="693" t="s">
        <v>42</v>
      </c>
      <c r="E383" s="685">
        <v>4061887</v>
      </c>
      <c r="F383" s="685">
        <f>SUM(F384:F388)</f>
        <v>7248</v>
      </c>
      <c r="G383" s="685">
        <f>SUM(G384:G388)</f>
        <v>7648</v>
      </c>
      <c r="H383" s="94">
        <f>SUM(E383+F383-G383)</f>
        <v>4061487</v>
      </c>
      <c r="I383" s="96"/>
      <c r="J383" s="49"/>
      <c r="K383" s="49"/>
    </row>
    <row r="384" spans="1:11" s="16" customFormat="1" ht="11.45" customHeight="1" x14ac:dyDescent="0.2">
      <c r="A384" s="33"/>
      <c r="B384" s="37"/>
      <c r="C384" s="26">
        <v>3020</v>
      </c>
      <c r="D384" s="41" t="s">
        <v>167</v>
      </c>
      <c r="E384" s="45">
        <v>13700</v>
      </c>
      <c r="F384" s="45"/>
      <c r="G384" s="45">
        <f>400</f>
        <v>400</v>
      </c>
      <c r="H384" s="43">
        <f t="shared" ref="H384:H388" si="82">SUM(E384+F384-G384)</f>
        <v>13300</v>
      </c>
      <c r="I384" s="96"/>
      <c r="J384" s="49"/>
      <c r="K384" s="49"/>
    </row>
    <row r="385" spans="1:11" s="16" customFormat="1" ht="21.75" customHeight="1" x14ac:dyDescent="0.2">
      <c r="A385" s="33"/>
      <c r="B385" s="37"/>
      <c r="C385" s="64">
        <v>3040</v>
      </c>
      <c r="D385" s="65" t="s">
        <v>168</v>
      </c>
      <c r="E385" s="45">
        <v>26244</v>
      </c>
      <c r="F385" s="45"/>
      <c r="G385" s="45">
        <f>2248</f>
        <v>2248</v>
      </c>
      <c r="H385" s="43">
        <f t="shared" si="82"/>
        <v>23996</v>
      </c>
      <c r="I385" s="96"/>
      <c r="J385" s="49"/>
      <c r="K385" s="49"/>
    </row>
    <row r="386" spans="1:11" s="16" customFormat="1" ht="11.45" customHeight="1" x14ac:dyDescent="0.2">
      <c r="A386" s="33"/>
      <c r="B386" s="37"/>
      <c r="C386" s="57" t="s">
        <v>58</v>
      </c>
      <c r="D386" s="69" t="s">
        <v>59</v>
      </c>
      <c r="E386" s="45">
        <v>32400</v>
      </c>
      <c r="F386" s="45">
        <f>5000</f>
        <v>5000</v>
      </c>
      <c r="G386" s="45"/>
      <c r="H386" s="43">
        <f t="shared" si="82"/>
        <v>37400</v>
      </c>
      <c r="I386" s="96"/>
      <c r="J386" s="49"/>
      <c r="K386" s="49"/>
    </row>
    <row r="387" spans="1:11" s="16" customFormat="1" ht="11.45" customHeight="1" x14ac:dyDescent="0.2">
      <c r="A387" s="33"/>
      <c r="B387" s="37"/>
      <c r="C387" s="26">
        <v>4710</v>
      </c>
      <c r="D387" s="69" t="s">
        <v>39</v>
      </c>
      <c r="E387" s="45">
        <v>9487</v>
      </c>
      <c r="F387" s="45"/>
      <c r="G387" s="45">
        <f>5000</f>
        <v>5000</v>
      </c>
      <c r="H387" s="43">
        <f t="shared" si="82"/>
        <v>4487</v>
      </c>
      <c r="I387" s="96"/>
      <c r="J387" s="49"/>
      <c r="K387" s="49"/>
    </row>
    <row r="388" spans="1:11" s="16" customFormat="1" ht="11.45" customHeight="1" x14ac:dyDescent="0.2">
      <c r="A388" s="33"/>
      <c r="B388" s="37"/>
      <c r="C388" s="26">
        <v>4790</v>
      </c>
      <c r="D388" s="41" t="s">
        <v>43</v>
      </c>
      <c r="E388" s="45">
        <v>1792237</v>
      </c>
      <c r="F388" s="45">
        <f>2248</f>
        <v>2248</v>
      </c>
      <c r="G388" s="45"/>
      <c r="H388" s="43">
        <f t="shared" si="82"/>
        <v>1794485</v>
      </c>
      <c r="I388" s="96"/>
      <c r="J388" s="49"/>
      <c r="K388" s="49"/>
    </row>
    <row r="389" spans="1:11" s="16" customFormat="1" ht="11.45" customHeight="1" x14ac:dyDescent="0.2">
      <c r="A389" s="33"/>
      <c r="B389" s="56">
        <v>80146</v>
      </c>
      <c r="C389" s="57"/>
      <c r="D389" s="38" t="s">
        <v>88</v>
      </c>
      <c r="E389" s="39">
        <v>1491573</v>
      </c>
      <c r="F389" s="40">
        <f>SUM(F390,F393,F397)</f>
        <v>20200</v>
      </c>
      <c r="G389" s="40">
        <f>SUM(G390,G393,G397)</f>
        <v>5000</v>
      </c>
      <c r="H389" s="39">
        <f>SUM(E389+F389-G389)</f>
        <v>1506773</v>
      </c>
      <c r="I389" s="96"/>
      <c r="J389" s="49"/>
      <c r="K389" s="49"/>
    </row>
    <row r="390" spans="1:11" s="16" customFormat="1" ht="12" customHeight="1" x14ac:dyDescent="0.2">
      <c r="A390" s="33"/>
      <c r="B390" s="37"/>
      <c r="C390" s="27"/>
      <c r="D390" s="693" t="s">
        <v>42</v>
      </c>
      <c r="E390" s="94">
        <v>1393362.73</v>
      </c>
      <c r="F390" s="697">
        <f>SUM(F391:F392)</f>
        <v>5000</v>
      </c>
      <c r="G390" s="697">
        <f>SUM(G391:G392)</f>
        <v>5000</v>
      </c>
      <c r="H390" s="685">
        <f t="shared" ref="H390:H398" si="83">SUM(E390+F390-G390)</f>
        <v>1393362.73</v>
      </c>
      <c r="I390" s="96"/>
      <c r="J390" s="49"/>
      <c r="K390" s="49"/>
    </row>
    <row r="391" spans="1:11" s="16" customFormat="1" ht="12" customHeight="1" x14ac:dyDescent="0.2">
      <c r="A391" s="33"/>
      <c r="B391" s="37"/>
      <c r="C391" s="26">
        <v>4410</v>
      </c>
      <c r="D391" s="69" t="s">
        <v>70</v>
      </c>
      <c r="E391" s="43">
        <v>69850</v>
      </c>
      <c r="F391" s="42"/>
      <c r="G391" s="42">
        <f>5000</f>
        <v>5000</v>
      </c>
      <c r="H391" s="44">
        <f t="shared" si="83"/>
        <v>64850</v>
      </c>
      <c r="I391" s="96"/>
      <c r="J391" s="49"/>
      <c r="K391" s="49"/>
    </row>
    <row r="392" spans="1:11" s="16" customFormat="1" ht="22.5" customHeight="1" x14ac:dyDescent="0.2">
      <c r="A392" s="33"/>
      <c r="B392" s="37"/>
      <c r="C392" s="64">
        <v>4700</v>
      </c>
      <c r="D392" s="135" t="s">
        <v>195</v>
      </c>
      <c r="E392" s="43">
        <v>680097.06</v>
      </c>
      <c r="F392" s="42">
        <f>5000</f>
        <v>5000</v>
      </c>
      <c r="G392" s="42"/>
      <c r="H392" s="44">
        <f t="shared" si="83"/>
        <v>685097.06</v>
      </c>
      <c r="I392" s="96"/>
      <c r="J392" s="49"/>
      <c r="K392" s="49"/>
    </row>
    <row r="393" spans="1:11" s="16" customFormat="1" ht="12" customHeight="1" x14ac:dyDescent="0.2">
      <c r="A393" s="33"/>
      <c r="B393" s="37"/>
      <c r="C393" s="27"/>
      <c r="D393" s="693" t="s">
        <v>196</v>
      </c>
      <c r="E393" s="94">
        <v>0</v>
      </c>
      <c r="F393" s="697">
        <f>SUM(F394:F396)</f>
        <v>6200</v>
      </c>
      <c r="G393" s="697">
        <f>SUM(G394:G396)</f>
        <v>0</v>
      </c>
      <c r="H393" s="685">
        <f t="shared" si="83"/>
        <v>6200</v>
      </c>
      <c r="I393" s="96"/>
      <c r="J393" s="49"/>
      <c r="K393" s="49"/>
    </row>
    <row r="394" spans="1:11" s="16" customFormat="1" ht="11.45" customHeight="1" x14ac:dyDescent="0.2">
      <c r="A394" s="33"/>
      <c r="B394" s="37"/>
      <c r="C394" s="26">
        <v>4110</v>
      </c>
      <c r="D394" s="41" t="s">
        <v>36</v>
      </c>
      <c r="E394" s="43">
        <v>0</v>
      </c>
      <c r="F394" s="42">
        <v>120</v>
      </c>
      <c r="G394" s="42"/>
      <c r="H394" s="44">
        <f t="shared" si="83"/>
        <v>120</v>
      </c>
      <c r="I394" s="96"/>
      <c r="J394" s="49"/>
      <c r="K394" s="49"/>
    </row>
    <row r="395" spans="1:11" s="16" customFormat="1" ht="12" customHeight="1" x14ac:dyDescent="0.2">
      <c r="A395" s="33"/>
      <c r="B395" s="37"/>
      <c r="C395" s="26">
        <v>4120</v>
      </c>
      <c r="D395" s="41" t="s">
        <v>62</v>
      </c>
      <c r="E395" s="43">
        <v>0</v>
      </c>
      <c r="F395" s="42">
        <v>880</v>
      </c>
      <c r="G395" s="42"/>
      <c r="H395" s="44">
        <f t="shared" si="83"/>
        <v>880</v>
      </c>
      <c r="I395" s="96"/>
      <c r="J395" s="49"/>
      <c r="K395" s="49"/>
    </row>
    <row r="396" spans="1:11" s="16" customFormat="1" ht="12" customHeight="1" x14ac:dyDescent="0.2">
      <c r="A396" s="33"/>
      <c r="B396" s="37"/>
      <c r="C396" s="26">
        <v>4170</v>
      </c>
      <c r="D396" s="41" t="s">
        <v>69</v>
      </c>
      <c r="E396" s="43">
        <v>0</v>
      </c>
      <c r="F396" s="42">
        <v>5200</v>
      </c>
      <c r="G396" s="42"/>
      <c r="H396" s="44">
        <f t="shared" si="83"/>
        <v>5200</v>
      </c>
      <c r="I396" s="96"/>
      <c r="J396" s="49"/>
      <c r="K396" s="49"/>
    </row>
    <row r="397" spans="1:11" s="16" customFormat="1" ht="12" customHeight="1" x14ac:dyDescent="0.2">
      <c r="A397" s="33"/>
      <c r="B397" s="37"/>
      <c r="C397" s="27"/>
      <c r="D397" s="684" t="s">
        <v>197</v>
      </c>
      <c r="E397" s="94">
        <v>0</v>
      </c>
      <c r="F397" s="697">
        <f>SUM(F398:F398)</f>
        <v>9000</v>
      </c>
      <c r="G397" s="697">
        <f>SUM(G398:G398)</f>
        <v>0</v>
      </c>
      <c r="H397" s="685">
        <f t="shared" si="83"/>
        <v>9000</v>
      </c>
      <c r="I397" s="96"/>
      <c r="J397" s="49"/>
      <c r="K397" s="49"/>
    </row>
    <row r="398" spans="1:11" s="16" customFormat="1" ht="22.5" customHeight="1" x14ac:dyDescent="0.2">
      <c r="A398" s="33"/>
      <c r="B398" s="37"/>
      <c r="C398" s="64">
        <v>4700</v>
      </c>
      <c r="D398" s="135" t="s">
        <v>195</v>
      </c>
      <c r="E398" s="43">
        <v>0</v>
      </c>
      <c r="F398" s="42">
        <v>9000</v>
      </c>
      <c r="G398" s="42"/>
      <c r="H398" s="44">
        <f t="shared" si="83"/>
        <v>9000</v>
      </c>
      <c r="I398" s="96"/>
      <c r="J398" s="49"/>
      <c r="K398" s="49"/>
    </row>
    <row r="399" spans="1:11" s="16" customFormat="1" ht="12" customHeight="1" x14ac:dyDescent="0.2">
      <c r="A399" s="33" t="s">
        <v>198</v>
      </c>
      <c r="B399" s="37">
        <v>80148</v>
      </c>
      <c r="C399" s="27"/>
      <c r="D399" s="77" t="s">
        <v>54</v>
      </c>
      <c r="E399" s="40">
        <v>4373694</v>
      </c>
      <c r="F399" s="40">
        <f>SUM(F400)</f>
        <v>3430</v>
      </c>
      <c r="G399" s="40">
        <f>SUM(G400)</f>
        <v>2430</v>
      </c>
      <c r="H399" s="39">
        <f>SUM(E399+F399-G399)</f>
        <v>4374694</v>
      </c>
      <c r="I399" s="96"/>
      <c r="J399" s="49"/>
      <c r="K399" s="49"/>
    </row>
    <row r="400" spans="1:11" s="16" customFormat="1" ht="12" customHeight="1" x14ac:dyDescent="0.2">
      <c r="A400" s="33"/>
      <c r="B400" s="37"/>
      <c r="C400" s="27"/>
      <c r="D400" s="693" t="s">
        <v>42</v>
      </c>
      <c r="E400" s="685">
        <v>4361194</v>
      </c>
      <c r="F400" s="685">
        <f>SUM(F401:F405)</f>
        <v>3430</v>
      </c>
      <c r="G400" s="685">
        <f>SUM(G401:G405)</f>
        <v>2430</v>
      </c>
      <c r="H400" s="685">
        <f t="shared" ref="H400:H405" si="84">SUM(E400+F400-G400)</f>
        <v>4362194</v>
      </c>
      <c r="I400" s="96"/>
      <c r="J400" s="49"/>
      <c r="K400" s="49"/>
    </row>
    <row r="401" spans="1:11" s="16" customFormat="1" ht="12" customHeight="1" x14ac:dyDescent="0.2">
      <c r="A401" s="33"/>
      <c r="B401" s="37"/>
      <c r="C401" s="26">
        <v>3020</v>
      </c>
      <c r="D401" s="41" t="s">
        <v>167</v>
      </c>
      <c r="E401" s="43">
        <v>11563</v>
      </c>
      <c r="F401" s="44">
        <f>130</f>
        <v>130</v>
      </c>
      <c r="G401" s="44"/>
      <c r="H401" s="44">
        <f t="shared" si="84"/>
        <v>11693</v>
      </c>
      <c r="I401" s="96"/>
      <c r="J401" s="49"/>
      <c r="K401" s="49"/>
    </row>
    <row r="402" spans="1:11" s="16" customFormat="1" ht="12" customHeight="1" x14ac:dyDescent="0.2">
      <c r="A402" s="33"/>
      <c r="B402" s="37"/>
      <c r="C402" s="57" t="s">
        <v>58</v>
      </c>
      <c r="D402" s="69" t="s">
        <v>59</v>
      </c>
      <c r="E402" s="43">
        <v>52294</v>
      </c>
      <c r="F402" s="44"/>
      <c r="G402" s="44">
        <f>600</f>
        <v>600</v>
      </c>
      <c r="H402" s="44">
        <f t="shared" si="84"/>
        <v>51694</v>
      </c>
      <c r="I402" s="96"/>
      <c r="J402" s="49"/>
      <c r="K402" s="49"/>
    </row>
    <row r="403" spans="1:11" s="16" customFormat="1" ht="12" customHeight="1" x14ac:dyDescent="0.2">
      <c r="A403" s="33"/>
      <c r="B403" s="37"/>
      <c r="C403" s="64">
        <v>4270</v>
      </c>
      <c r="D403" s="41" t="s">
        <v>60</v>
      </c>
      <c r="E403" s="45">
        <v>42339</v>
      </c>
      <c r="F403" s="45">
        <f>2000</f>
        <v>2000</v>
      </c>
      <c r="G403" s="45"/>
      <c r="H403" s="43">
        <f t="shared" si="84"/>
        <v>44339</v>
      </c>
      <c r="I403" s="96"/>
      <c r="J403" s="49"/>
      <c r="K403" s="49"/>
    </row>
    <row r="404" spans="1:11" s="16" customFormat="1" ht="12" customHeight="1" x14ac:dyDescent="0.2">
      <c r="A404" s="33"/>
      <c r="B404" s="37"/>
      <c r="C404" s="26">
        <v>4300</v>
      </c>
      <c r="D404" s="41" t="s">
        <v>16</v>
      </c>
      <c r="E404" s="43">
        <v>30417</v>
      </c>
      <c r="F404" s="44">
        <f>1300</f>
        <v>1300</v>
      </c>
      <c r="G404" s="44"/>
      <c r="H404" s="44">
        <f t="shared" si="84"/>
        <v>31717</v>
      </c>
      <c r="I404" s="96"/>
      <c r="J404" s="49"/>
      <c r="K404" s="49"/>
    </row>
    <row r="405" spans="1:11" s="16" customFormat="1" ht="12" customHeight="1" x14ac:dyDescent="0.2">
      <c r="A405" s="33"/>
      <c r="B405" s="37"/>
      <c r="C405" s="26">
        <v>4710</v>
      </c>
      <c r="D405" s="69" t="s">
        <v>39</v>
      </c>
      <c r="E405" s="43">
        <v>17181</v>
      </c>
      <c r="F405" s="44"/>
      <c r="G405" s="44">
        <f>1830</f>
        <v>1830</v>
      </c>
      <c r="H405" s="44">
        <f t="shared" si="84"/>
        <v>15351</v>
      </c>
      <c r="I405" s="96"/>
      <c r="J405" s="49"/>
      <c r="K405" s="49"/>
    </row>
    <row r="406" spans="1:11" s="16" customFormat="1" ht="12" customHeight="1" x14ac:dyDescent="0.2">
      <c r="A406" s="33"/>
      <c r="B406" s="37">
        <v>80149</v>
      </c>
      <c r="C406" s="57"/>
      <c r="D406" s="69" t="s">
        <v>199</v>
      </c>
      <c r="E406" s="44"/>
      <c r="F406" s="44"/>
      <c r="G406" s="44"/>
      <c r="H406" s="44"/>
      <c r="I406" s="96"/>
      <c r="J406" s="49"/>
      <c r="K406" s="49"/>
    </row>
    <row r="407" spans="1:11" s="16" customFormat="1" ht="12" customHeight="1" x14ac:dyDescent="0.2">
      <c r="A407" s="33"/>
      <c r="B407" s="37"/>
      <c r="C407" s="57"/>
      <c r="D407" s="69" t="s">
        <v>200</v>
      </c>
      <c r="E407" s="44"/>
      <c r="F407" s="44"/>
      <c r="G407" s="44"/>
      <c r="H407" s="44"/>
      <c r="I407" s="96"/>
      <c r="J407" s="49"/>
      <c r="K407" s="49"/>
    </row>
    <row r="408" spans="1:11" s="16" customFormat="1" ht="12" customHeight="1" x14ac:dyDescent="0.2">
      <c r="A408" s="33"/>
      <c r="B408" s="37"/>
      <c r="C408" s="57"/>
      <c r="D408" s="69" t="s">
        <v>201</v>
      </c>
      <c r="E408" s="44"/>
      <c r="F408" s="44"/>
      <c r="G408" s="44"/>
      <c r="H408" s="44"/>
      <c r="I408" s="96"/>
      <c r="J408" s="49"/>
      <c r="K408" s="49"/>
    </row>
    <row r="409" spans="1:11" s="16" customFormat="1" ht="12" customHeight="1" x14ac:dyDescent="0.2">
      <c r="A409" s="33"/>
      <c r="B409" s="37"/>
      <c r="C409" s="27"/>
      <c r="D409" s="38" t="s">
        <v>202</v>
      </c>
      <c r="E409" s="39">
        <v>6064247.6799999997</v>
      </c>
      <c r="F409" s="40">
        <f>SUM(F410,F412)</f>
        <v>1541</v>
      </c>
      <c r="G409" s="40">
        <f>SUM(G410,G412)</f>
        <v>7997.9</v>
      </c>
      <c r="H409" s="39">
        <f>SUM(E409+F409-G409)</f>
        <v>6057790.7799999993</v>
      </c>
      <c r="I409" s="96"/>
      <c r="J409" s="49"/>
      <c r="K409" s="49"/>
    </row>
    <row r="410" spans="1:11" s="16" customFormat="1" ht="12" customHeight="1" x14ac:dyDescent="0.2">
      <c r="A410" s="33"/>
      <c r="B410" s="37"/>
      <c r="C410" s="27"/>
      <c r="D410" s="684" t="s">
        <v>56</v>
      </c>
      <c r="E410" s="685">
        <v>3165050.68</v>
      </c>
      <c r="F410" s="685">
        <f>SUM(F411:F411)</f>
        <v>0</v>
      </c>
      <c r="G410" s="685">
        <f>SUM(G411:G411)</f>
        <v>3897.9</v>
      </c>
      <c r="H410" s="685">
        <f t="shared" ref="H410:H416" si="85">SUM(E410+F410-G410)</f>
        <v>3161152.7800000003</v>
      </c>
      <c r="I410" s="96"/>
      <c r="J410" s="49"/>
      <c r="K410" s="49"/>
    </row>
    <row r="411" spans="1:11" s="16" customFormat="1" ht="33.75" customHeight="1" x14ac:dyDescent="0.2">
      <c r="A411" s="33"/>
      <c r="B411" s="37"/>
      <c r="C411" s="64">
        <v>2830</v>
      </c>
      <c r="D411" s="65" t="s">
        <v>166</v>
      </c>
      <c r="E411" s="44">
        <v>28125</v>
      </c>
      <c r="F411" s="44"/>
      <c r="G411" s="44">
        <v>3897.9</v>
      </c>
      <c r="H411" s="44">
        <f t="shared" si="85"/>
        <v>24227.1</v>
      </c>
      <c r="I411" s="96"/>
      <c r="J411" s="49"/>
      <c r="K411" s="49"/>
    </row>
    <row r="412" spans="1:11" s="16" customFormat="1" ht="12" customHeight="1" x14ac:dyDescent="0.2">
      <c r="A412" s="33"/>
      <c r="B412" s="33"/>
      <c r="C412" s="27"/>
      <c r="D412" s="693" t="s">
        <v>42</v>
      </c>
      <c r="E412" s="685">
        <v>2899197</v>
      </c>
      <c r="F412" s="685">
        <f>SUM(F413:F416)</f>
        <v>1541</v>
      </c>
      <c r="G412" s="685">
        <f>SUM(G413:G416)</f>
        <v>4100</v>
      </c>
      <c r="H412" s="685">
        <f t="shared" si="85"/>
        <v>2896638</v>
      </c>
      <c r="I412" s="96"/>
      <c r="J412" s="49"/>
      <c r="K412" s="49"/>
    </row>
    <row r="413" spans="1:11" s="16" customFormat="1" ht="21.75" customHeight="1" x14ac:dyDescent="0.2">
      <c r="A413" s="33"/>
      <c r="B413" s="33"/>
      <c r="C413" s="64">
        <v>3040</v>
      </c>
      <c r="D413" s="65" t="s">
        <v>168</v>
      </c>
      <c r="E413" s="43">
        <v>31532</v>
      </c>
      <c r="F413" s="44"/>
      <c r="G413" s="44">
        <f>3791</f>
        <v>3791</v>
      </c>
      <c r="H413" s="44">
        <f>SUM(E413+F413-G413)</f>
        <v>27741</v>
      </c>
      <c r="I413" s="96"/>
      <c r="J413" s="49"/>
      <c r="K413" s="49"/>
    </row>
    <row r="414" spans="1:11" s="16" customFormat="1" ht="12" customHeight="1" x14ac:dyDescent="0.2">
      <c r="A414" s="33"/>
      <c r="B414" s="33"/>
      <c r="C414" s="26">
        <v>4110</v>
      </c>
      <c r="D414" s="41" t="s">
        <v>36</v>
      </c>
      <c r="E414" s="43">
        <v>431319</v>
      </c>
      <c r="F414" s="44"/>
      <c r="G414" s="44">
        <f>124</f>
        <v>124</v>
      </c>
      <c r="H414" s="44">
        <f t="shared" ref="H414:H415" si="86">SUM(E414+F414-G414)</f>
        <v>431195</v>
      </c>
      <c r="I414" s="96"/>
      <c r="J414" s="49"/>
      <c r="K414" s="49"/>
    </row>
    <row r="415" spans="1:11" s="16" customFormat="1" ht="12" customHeight="1" x14ac:dyDescent="0.2">
      <c r="A415" s="33"/>
      <c r="B415" s="33"/>
      <c r="C415" s="26">
        <v>4120</v>
      </c>
      <c r="D415" s="41" t="s">
        <v>62</v>
      </c>
      <c r="E415" s="43">
        <v>57210</v>
      </c>
      <c r="F415" s="44"/>
      <c r="G415" s="44">
        <f>185</f>
        <v>185</v>
      </c>
      <c r="H415" s="44">
        <f t="shared" si="86"/>
        <v>57025</v>
      </c>
      <c r="I415" s="96"/>
      <c r="J415" s="49"/>
      <c r="K415" s="49"/>
    </row>
    <row r="416" spans="1:11" s="16" customFormat="1" ht="12" customHeight="1" x14ac:dyDescent="0.2">
      <c r="A416" s="33"/>
      <c r="B416" s="33"/>
      <c r="C416" s="86">
        <v>4790</v>
      </c>
      <c r="D416" s="152" t="s">
        <v>172</v>
      </c>
      <c r="E416" s="43">
        <v>2054743</v>
      </c>
      <c r="F416" s="44">
        <f>1541</f>
        <v>1541</v>
      </c>
      <c r="G416" s="44"/>
      <c r="H416" s="44">
        <f t="shared" si="85"/>
        <v>2056284</v>
      </c>
      <c r="I416" s="96"/>
      <c r="J416" s="49"/>
      <c r="K416" s="49"/>
    </row>
    <row r="417" spans="1:11" s="16" customFormat="1" ht="12" customHeight="1" x14ac:dyDescent="0.2">
      <c r="A417" s="33"/>
      <c r="B417" s="37">
        <v>80150</v>
      </c>
      <c r="C417" s="57"/>
      <c r="D417" s="69" t="s">
        <v>199</v>
      </c>
      <c r="E417" s="44"/>
      <c r="F417" s="44"/>
      <c r="G417" s="44"/>
      <c r="H417" s="44"/>
      <c r="I417" s="96"/>
      <c r="J417" s="49"/>
      <c r="K417" s="49"/>
    </row>
    <row r="418" spans="1:11" s="16" customFormat="1" ht="12" customHeight="1" x14ac:dyDescent="0.2">
      <c r="A418" s="33"/>
      <c r="B418" s="37"/>
      <c r="C418" s="57"/>
      <c r="D418" s="69" t="s">
        <v>203</v>
      </c>
      <c r="E418" s="44"/>
      <c r="F418" s="44"/>
      <c r="G418" s="44"/>
      <c r="H418" s="44"/>
      <c r="I418" s="96"/>
      <c r="J418" s="49"/>
      <c r="K418" s="49"/>
    </row>
    <row r="419" spans="1:11" s="16" customFormat="1" ht="12" customHeight="1" x14ac:dyDescent="0.2">
      <c r="A419" s="33"/>
      <c r="B419" s="37"/>
      <c r="C419" s="27"/>
      <c r="D419" s="38" t="s">
        <v>204</v>
      </c>
      <c r="E419" s="39">
        <v>11235064.859999999</v>
      </c>
      <c r="F419" s="40">
        <f>SUM(F420)</f>
        <v>5225</v>
      </c>
      <c r="G419" s="40">
        <f>SUM(G420)</f>
        <v>6947</v>
      </c>
      <c r="H419" s="39">
        <f>SUM(E419+F419-G419)</f>
        <v>11233342.859999999</v>
      </c>
      <c r="I419" s="96"/>
      <c r="J419" s="49"/>
      <c r="K419" s="49"/>
    </row>
    <row r="420" spans="1:11" s="16" customFormat="1" ht="12" customHeight="1" x14ac:dyDescent="0.2">
      <c r="A420" s="33"/>
      <c r="B420" s="37"/>
      <c r="C420" s="27"/>
      <c r="D420" s="693" t="s">
        <v>42</v>
      </c>
      <c r="E420" s="685">
        <v>10655541.859999999</v>
      </c>
      <c r="F420" s="685">
        <f>SUM(F421:F426)</f>
        <v>5225</v>
      </c>
      <c r="G420" s="685">
        <f>SUM(G421:G426)</f>
        <v>6947</v>
      </c>
      <c r="H420" s="685">
        <f t="shared" ref="H420:H426" si="87">SUM(E420+F420-G420)</f>
        <v>10653819.859999999</v>
      </c>
      <c r="I420" s="96"/>
      <c r="J420" s="49"/>
      <c r="K420" s="49"/>
    </row>
    <row r="421" spans="1:11" s="16" customFormat="1" ht="12" customHeight="1" x14ac:dyDescent="0.2">
      <c r="A421" s="33"/>
      <c r="B421" s="37"/>
      <c r="C421" s="64">
        <v>3020</v>
      </c>
      <c r="D421" s="41" t="s">
        <v>167</v>
      </c>
      <c r="E421" s="45">
        <v>75227</v>
      </c>
      <c r="F421" s="45">
        <f>1000</f>
        <v>1000</v>
      </c>
      <c r="G421" s="45"/>
      <c r="H421" s="44">
        <f t="shared" si="87"/>
        <v>76227</v>
      </c>
      <c r="I421" s="96"/>
      <c r="J421" s="49"/>
      <c r="K421" s="49"/>
    </row>
    <row r="422" spans="1:11" s="16" customFormat="1" ht="21" customHeight="1" x14ac:dyDescent="0.2">
      <c r="A422" s="33"/>
      <c r="B422" s="37"/>
      <c r="C422" s="64">
        <v>3040</v>
      </c>
      <c r="D422" s="65" t="s">
        <v>168</v>
      </c>
      <c r="E422" s="45">
        <v>122390.44</v>
      </c>
      <c r="F422" s="45"/>
      <c r="G422" s="45">
        <f>6225</f>
        <v>6225</v>
      </c>
      <c r="H422" s="44">
        <f t="shared" si="87"/>
        <v>116165.44</v>
      </c>
      <c r="I422" s="96"/>
      <c r="J422" s="49"/>
      <c r="K422" s="49"/>
    </row>
    <row r="423" spans="1:11" s="16" customFormat="1" ht="12" customHeight="1" x14ac:dyDescent="0.2">
      <c r="A423" s="33"/>
      <c r="B423" s="37"/>
      <c r="C423" s="26">
        <v>4110</v>
      </c>
      <c r="D423" s="41" t="s">
        <v>36</v>
      </c>
      <c r="E423" s="43">
        <v>1477797.94</v>
      </c>
      <c r="F423" s="44"/>
      <c r="G423" s="44">
        <f>194</f>
        <v>194</v>
      </c>
      <c r="H423" s="44">
        <f t="shared" si="87"/>
        <v>1477603.94</v>
      </c>
      <c r="I423" s="96"/>
      <c r="J423" s="49"/>
      <c r="K423" s="49"/>
    </row>
    <row r="424" spans="1:11" s="16" customFormat="1" ht="12" customHeight="1" x14ac:dyDescent="0.2">
      <c r="A424" s="33"/>
      <c r="B424" s="37"/>
      <c r="C424" s="26">
        <v>4120</v>
      </c>
      <c r="D424" s="41" t="s">
        <v>62</v>
      </c>
      <c r="E424" s="43">
        <v>190670.8</v>
      </c>
      <c r="F424" s="44"/>
      <c r="G424" s="44">
        <f>28</f>
        <v>28</v>
      </c>
      <c r="H424" s="44">
        <f t="shared" si="87"/>
        <v>190642.8</v>
      </c>
      <c r="I424" s="96"/>
      <c r="J424" s="49"/>
      <c r="K424" s="49"/>
    </row>
    <row r="425" spans="1:11" s="16" customFormat="1" ht="12" customHeight="1" x14ac:dyDescent="0.2">
      <c r="A425" s="33"/>
      <c r="B425" s="37"/>
      <c r="C425" s="26">
        <v>4710</v>
      </c>
      <c r="D425" s="69" t="s">
        <v>39</v>
      </c>
      <c r="E425" s="45">
        <v>37239.879999999997</v>
      </c>
      <c r="F425" s="45"/>
      <c r="G425" s="45">
        <f>500</f>
        <v>500</v>
      </c>
      <c r="H425" s="44">
        <f t="shared" si="87"/>
        <v>36739.879999999997</v>
      </c>
      <c r="I425" s="96"/>
      <c r="J425" s="49"/>
      <c r="K425" s="49"/>
    </row>
    <row r="426" spans="1:11" s="16" customFormat="1" ht="12" customHeight="1" x14ac:dyDescent="0.2">
      <c r="A426" s="33"/>
      <c r="B426" s="37"/>
      <c r="C426" s="86">
        <v>4790</v>
      </c>
      <c r="D426" s="152" t="s">
        <v>172</v>
      </c>
      <c r="E426" s="45">
        <v>7717908</v>
      </c>
      <c r="F426" s="45">
        <f>4225</f>
        <v>4225</v>
      </c>
      <c r="G426" s="45"/>
      <c r="H426" s="44">
        <f t="shared" si="87"/>
        <v>7722133</v>
      </c>
      <c r="I426" s="96"/>
      <c r="J426" s="49"/>
      <c r="K426" s="49"/>
    </row>
    <row r="427" spans="1:11" s="16" customFormat="1" ht="12" customHeight="1" x14ac:dyDescent="0.2">
      <c r="A427" s="33"/>
      <c r="B427" s="26">
        <v>80151</v>
      </c>
      <c r="C427" s="27"/>
      <c r="D427" s="38" t="s">
        <v>205</v>
      </c>
      <c r="E427" s="74">
        <v>705465</v>
      </c>
      <c r="F427" s="40">
        <f>SUM(F428)</f>
        <v>5400</v>
      </c>
      <c r="G427" s="40">
        <f>SUM(G428)</f>
        <v>5000</v>
      </c>
      <c r="H427" s="39">
        <f>SUM(E427+F427-G427)</f>
        <v>705865</v>
      </c>
      <c r="I427" s="96"/>
      <c r="J427" s="49"/>
      <c r="K427" s="49"/>
    </row>
    <row r="428" spans="1:11" s="16" customFormat="1" ht="12" customHeight="1" x14ac:dyDescent="0.2">
      <c r="A428" s="33"/>
      <c r="B428" s="32"/>
      <c r="C428" s="27"/>
      <c r="D428" s="693" t="s">
        <v>42</v>
      </c>
      <c r="E428" s="685">
        <v>695055</v>
      </c>
      <c r="F428" s="685">
        <f>SUM(F429:F432)</f>
        <v>5400</v>
      </c>
      <c r="G428" s="685">
        <f>SUM(G429:G432)</f>
        <v>5000</v>
      </c>
      <c r="H428" s="685">
        <f t="shared" ref="H428:H432" si="88">SUM(E428+F428-G428)</f>
        <v>695455</v>
      </c>
      <c r="I428" s="96"/>
      <c r="J428" s="49"/>
      <c r="K428" s="49"/>
    </row>
    <row r="429" spans="1:11" s="16" customFormat="1" ht="12" customHeight="1" x14ac:dyDescent="0.2">
      <c r="A429" s="33"/>
      <c r="B429" s="32"/>
      <c r="C429" s="64">
        <v>3020</v>
      </c>
      <c r="D429" s="41" t="s">
        <v>167</v>
      </c>
      <c r="E429" s="45">
        <v>0</v>
      </c>
      <c r="F429" s="45">
        <f>400</f>
        <v>400</v>
      </c>
      <c r="G429" s="45"/>
      <c r="H429" s="44">
        <f t="shared" si="88"/>
        <v>400</v>
      </c>
      <c r="I429" s="96"/>
      <c r="J429" s="49"/>
      <c r="K429" s="49"/>
    </row>
    <row r="430" spans="1:11" s="16" customFormat="1" ht="12" customHeight="1" x14ac:dyDescent="0.2">
      <c r="A430" s="33"/>
      <c r="B430" s="32"/>
      <c r="C430" s="26">
        <v>4120</v>
      </c>
      <c r="D430" s="41" t="s">
        <v>62</v>
      </c>
      <c r="E430" s="43">
        <v>12579</v>
      </c>
      <c r="F430" s="44"/>
      <c r="G430" s="44">
        <f>5000</f>
        <v>5000</v>
      </c>
      <c r="H430" s="44">
        <f t="shared" si="88"/>
        <v>7579</v>
      </c>
      <c r="I430" s="96"/>
      <c r="J430" s="49"/>
      <c r="K430" s="49"/>
    </row>
    <row r="431" spans="1:11" s="16" customFormat="1" ht="12" customHeight="1" x14ac:dyDescent="0.2">
      <c r="A431" s="113"/>
      <c r="B431" s="71"/>
      <c r="C431" s="156" t="s">
        <v>58</v>
      </c>
      <c r="D431" s="84" t="s">
        <v>59</v>
      </c>
      <c r="E431" s="39">
        <v>3810</v>
      </c>
      <c r="F431" s="40">
        <f>2000</f>
        <v>2000</v>
      </c>
      <c r="G431" s="40"/>
      <c r="H431" s="40">
        <f t="shared" si="88"/>
        <v>5810</v>
      </c>
      <c r="I431" s="96"/>
      <c r="J431" s="49"/>
      <c r="K431" s="49"/>
    </row>
    <row r="432" spans="1:11" s="16" customFormat="1" ht="12" customHeight="1" x14ac:dyDescent="0.2">
      <c r="A432" s="33"/>
      <c r="B432" s="26"/>
      <c r="C432" s="86">
        <v>4240</v>
      </c>
      <c r="D432" s="41" t="s">
        <v>169</v>
      </c>
      <c r="E432" s="43">
        <v>6926</v>
      </c>
      <c r="F432" s="44">
        <f>3000</f>
        <v>3000</v>
      </c>
      <c r="G432" s="44"/>
      <c r="H432" s="44">
        <f t="shared" si="88"/>
        <v>9926</v>
      </c>
      <c r="I432" s="96"/>
      <c r="J432" s="49"/>
      <c r="K432" s="49"/>
    </row>
    <row r="433" spans="1:11" s="16" customFormat="1" ht="12" customHeight="1" x14ac:dyDescent="0.2">
      <c r="A433" s="33"/>
      <c r="B433" s="37">
        <v>80152</v>
      </c>
      <c r="C433" s="57"/>
      <c r="D433" s="69" t="s">
        <v>199</v>
      </c>
      <c r="E433" s="45"/>
      <c r="F433" s="45"/>
      <c r="G433" s="45"/>
      <c r="H433" s="44"/>
      <c r="I433" s="96"/>
      <c r="J433" s="49"/>
      <c r="K433" s="49"/>
    </row>
    <row r="434" spans="1:11" s="16" customFormat="1" ht="11.25" customHeight="1" x14ac:dyDescent="0.2">
      <c r="A434" s="33"/>
      <c r="B434" s="37"/>
      <c r="C434" s="57"/>
      <c r="D434" s="69" t="s">
        <v>203</v>
      </c>
      <c r="E434" s="45"/>
      <c r="F434" s="45"/>
      <c r="G434" s="45"/>
      <c r="H434" s="44"/>
      <c r="I434" s="96"/>
      <c r="J434" s="49"/>
      <c r="K434" s="49"/>
    </row>
    <row r="435" spans="1:11" s="16" customFormat="1" ht="12" customHeight="1" x14ac:dyDescent="0.2">
      <c r="A435" s="33"/>
      <c r="B435" s="37"/>
      <c r="C435" s="57"/>
      <c r="D435" s="69" t="s">
        <v>206</v>
      </c>
      <c r="E435" s="45"/>
      <c r="F435" s="45"/>
      <c r="G435" s="45"/>
      <c r="H435" s="44"/>
      <c r="I435" s="96"/>
      <c r="J435" s="49"/>
      <c r="K435" s="49"/>
    </row>
    <row r="436" spans="1:11" s="16" customFormat="1" ht="12" customHeight="1" x14ac:dyDescent="0.2">
      <c r="A436" s="33"/>
      <c r="B436" s="37"/>
      <c r="C436" s="57"/>
      <c r="D436" s="56" t="s">
        <v>207</v>
      </c>
      <c r="E436" s="45"/>
      <c r="F436" s="45"/>
      <c r="G436" s="45"/>
      <c r="H436" s="44"/>
      <c r="I436" s="96"/>
      <c r="J436" s="49"/>
      <c r="K436" s="49"/>
    </row>
    <row r="437" spans="1:11" s="16" customFormat="1" ht="12" customHeight="1" x14ac:dyDescent="0.2">
      <c r="A437" s="33"/>
      <c r="B437" s="37"/>
      <c r="C437" s="57"/>
      <c r="D437" s="56" t="s">
        <v>208</v>
      </c>
      <c r="E437" s="45"/>
      <c r="F437" s="45"/>
      <c r="G437" s="45"/>
      <c r="H437" s="44"/>
      <c r="I437" s="96"/>
      <c r="J437" s="49"/>
      <c r="K437" s="49"/>
    </row>
    <row r="438" spans="1:11" s="16" customFormat="1" ht="12" customHeight="1" x14ac:dyDescent="0.2">
      <c r="A438" s="33"/>
      <c r="B438" s="37"/>
      <c r="C438" s="57"/>
      <c r="D438" s="69" t="s">
        <v>209</v>
      </c>
      <c r="E438" s="45"/>
      <c r="F438" s="45"/>
      <c r="G438" s="45"/>
      <c r="H438" s="44"/>
      <c r="I438" s="96"/>
      <c r="J438" s="49"/>
      <c r="K438" s="49"/>
    </row>
    <row r="439" spans="1:11" s="16" customFormat="1" ht="12" customHeight="1" x14ac:dyDescent="0.2">
      <c r="A439" s="33"/>
      <c r="B439" s="37"/>
      <c r="C439" s="57"/>
      <c r="D439" s="56" t="s">
        <v>210</v>
      </c>
      <c r="E439" s="45"/>
      <c r="F439" s="45"/>
      <c r="G439" s="45"/>
      <c r="H439" s="44"/>
      <c r="I439" s="96"/>
      <c r="J439" s="49"/>
      <c r="K439" s="49"/>
    </row>
    <row r="440" spans="1:11" s="16" customFormat="1" ht="12" customHeight="1" x14ac:dyDescent="0.2">
      <c r="A440" s="33"/>
      <c r="B440" s="37"/>
      <c r="C440" s="27"/>
      <c r="D440" s="81" t="s">
        <v>211</v>
      </c>
      <c r="E440" s="74">
        <v>4619605.3</v>
      </c>
      <c r="F440" s="40">
        <f>SUM(F441)</f>
        <v>7055.49</v>
      </c>
      <c r="G440" s="40">
        <f>SUM(G441)</f>
        <v>12525.49</v>
      </c>
      <c r="H440" s="39">
        <f>SUM(E440+F440-G440)</f>
        <v>4614135.3</v>
      </c>
      <c r="I440" s="96"/>
      <c r="J440" s="49"/>
      <c r="K440" s="49"/>
    </row>
    <row r="441" spans="1:11" s="16" customFormat="1" ht="12" customHeight="1" x14ac:dyDescent="0.2">
      <c r="A441" s="33"/>
      <c r="B441" s="32"/>
      <c r="C441" s="27"/>
      <c r="D441" s="693" t="s">
        <v>42</v>
      </c>
      <c r="E441" s="685">
        <v>3615657.3</v>
      </c>
      <c r="F441" s="685">
        <f>SUM(F442:F446)</f>
        <v>7055.49</v>
      </c>
      <c r="G441" s="685">
        <f>SUM(G442:G446)</f>
        <v>12525.49</v>
      </c>
      <c r="H441" s="685">
        <f t="shared" ref="H441:H446" si="89">SUM(E441+F441-G441)</f>
        <v>3610187.3</v>
      </c>
      <c r="I441" s="96"/>
      <c r="J441" s="49"/>
      <c r="K441" s="49"/>
    </row>
    <row r="442" spans="1:11" s="16" customFormat="1" ht="22.5" customHeight="1" x14ac:dyDescent="0.2">
      <c r="A442" s="33"/>
      <c r="B442" s="26"/>
      <c r="C442" s="64">
        <v>3040</v>
      </c>
      <c r="D442" s="65" t="s">
        <v>168</v>
      </c>
      <c r="E442" s="43">
        <v>40157.29</v>
      </c>
      <c r="F442" s="44"/>
      <c r="G442" s="44">
        <f>3155.49</f>
        <v>3155.49</v>
      </c>
      <c r="H442" s="44">
        <f t="shared" si="89"/>
        <v>37001.800000000003</v>
      </c>
      <c r="I442" s="96"/>
      <c r="J442" s="49"/>
      <c r="K442" s="49"/>
    </row>
    <row r="443" spans="1:11" s="16" customFormat="1" ht="12" customHeight="1" x14ac:dyDescent="0.2">
      <c r="A443" s="33"/>
      <c r="B443" s="26"/>
      <c r="C443" s="26">
        <v>4240</v>
      </c>
      <c r="D443" s="41" t="s">
        <v>169</v>
      </c>
      <c r="E443" s="43">
        <v>44245</v>
      </c>
      <c r="F443" s="44">
        <f>3500</f>
        <v>3500</v>
      </c>
      <c r="G443" s="44"/>
      <c r="H443" s="44">
        <f t="shared" si="89"/>
        <v>47745</v>
      </c>
      <c r="I443" s="96"/>
      <c r="J443" s="49"/>
      <c r="K443" s="49"/>
    </row>
    <row r="444" spans="1:11" s="16" customFormat="1" ht="12" customHeight="1" x14ac:dyDescent="0.2">
      <c r="A444" s="33"/>
      <c r="B444" s="26"/>
      <c r="C444" s="26">
        <v>4300</v>
      </c>
      <c r="D444" s="41" t="s">
        <v>16</v>
      </c>
      <c r="E444" s="43">
        <v>6241</v>
      </c>
      <c r="F444" s="44">
        <f>400</f>
        <v>400</v>
      </c>
      <c r="G444" s="44"/>
      <c r="H444" s="44">
        <f t="shared" si="89"/>
        <v>6641</v>
      </c>
      <c r="I444" s="96"/>
      <c r="J444" s="49"/>
      <c r="K444" s="49"/>
    </row>
    <row r="445" spans="1:11" s="16" customFormat="1" ht="12" customHeight="1" x14ac:dyDescent="0.2">
      <c r="A445" s="33"/>
      <c r="B445" s="26"/>
      <c r="C445" s="26">
        <v>4710</v>
      </c>
      <c r="D445" s="69" t="s">
        <v>39</v>
      </c>
      <c r="E445" s="43">
        <v>29215.55</v>
      </c>
      <c r="F445" s="44"/>
      <c r="G445" s="44">
        <f>9370</f>
        <v>9370</v>
      </c>
      <c r="H445" s="44">
        <f t="shared" si="89"/>
        <v>19845.55</v>
      </c>
      <c r="I445" s="96"/>
      <c r="J445" s="49"/>
      <c r="K445" s="49"/>
    </row>
    <row r="446" spans="1:11" s="16" customFormat="1" ht="12" customHeight="1" x14ac:dyDescent="0.2">
      <c r="A446" s="33"/>
      <c r="B446" s="26"/>
      <c r="C446" s="86">
        <v>4790</v>
      </c>
      <c r="D446" s="152" t="s">
        <v>172</v>
      </c>
      <c r="E446" s="43">
        <v>2657493</v>
      </c>
      <c r="F446" s="44">
        <f>3155.49</f>
        <v>3155.49</v>
      </c>
      <c r="G446" s="44"/>
      <c r="H446" s="44">
        <f t="shared" si="89"/>
        <v>2660648.4900000002</v>
      </c>
      <c r="I446" s="96"/>
      <c r="J446" s="49"/>
      <c r="K446" s="49"/>
    </row>
    <row r="447" spans="1:11" s="16" customFormat="1" ht="12" customHeight="1" x14ac:dyDescent="0.2">
      <c r="A447" s="33"/>
      <c r="B447" s="37">
        <v>80153</v>
      </c>
      <c r="C447" s="34"/>
      <c r="D447" s="69" t="s">
        <v>91</v>
      </c>
      <c r="E447" s="62"/>
      <c r="F447" s="62"/>
      <c r="G447" s="62"/>
      <c r="H447" s="62"/>
      <c r="I447" s="96"/>
      <c r="J447" s="49"/>
      <c r="K447" s="49"/>
    </row>
    <row r="448" spans="1:11" s="16" customFormat="1" ht="12" customHeight="1" x14ac:dyDescent="0.2">
      <c r="A448" s="33"/>
      <c r="B448" s="33"/>
      <c r="C448" s="34"/>
      <c r="D448" s="69" t="s">
        <v>92</v>
      </c>
      <c r="E448" s="62"/>
      <c r="F448" s="62"/>
      <c r="G448" s="62"/>
      <c r="H448" s="62"/>
      <c r="I448" s="96"/>
      <c r="J448" s="49"/>
      <c r="K448" s="49"/>
    </row>
    <row r="449" spans="1:11" s="16" customFormat="1" ht="12" customHeight="1" x14ac:dyDescent="0.2">
      <c r="A449" s="33"/>
      <c r="B449" s="37"/>
      <c r="C449" s="27"/>
      <c r="D449" s="38" t="s">
        <v>93</v>
      </c>
      <c r="E449" s="39">
        <v>24030.84</v>
      </c>
      <c r="F449" s="39">
        <f>SUM(F450,F452)</f>
        <v>3604.1200000000003</v>
      </c>
      <c r="G449" s="39">
        <f>SUM(G450,G452)</f>
        <v>486.42</v>
      </c>
      <c r="H449" s="39">
        <f t="shared" ref="H449:H454" si="90">SUM(E449+F449-G449)</f>
        <v>27148.54</v>
      </c>
      <c r="I449" s="96"/>
      <c r="J449" s="49"/>
      <c r="K449" s="49"/>
    </row>
    <row r="450" spans="1:11" s="16" customFormat="1" ht="45.75" customHeight="1" x14ac:dyDescent="0.2">
      <c r="A450" s="33"/>
      <c r="B450" s="54"/>
      <c r="C450" s="57"/>
      <c r="D450" s="689" t="s">
        <v>212</v>
      </c>
      <c r="E450" s="94">
        <v>23765.71</v>
      </c>
      <c r="F450" s="687">
        <f>SUM(F451:F451)</f>
        <v>3393.26</v>
      </c>
      <c r="G450" s="687">
        <f>SUM(G451:G451)</f>
        <v>486.42</v>
      </c>
      <c r="H450" s="94">
        <f t="shared" si="90"/>
        <v>26672.550000000003</v>
      </c>
      <c r="I450" s="96"/>
      <c r="J450" s="49"/>
      <c r="K450" s="49"/>
    </row>
    <row r="451" spans="1:11" s="16" customFormat="1" ht="22.5" customHeight="1" x14ac:dyDescent="0.2">
      <c r="A451" s="33"/>
      <c r="B451" s="54"/>
      <c r="C451" s="99" t="s">
        <v>175</v>
      </c>
      <c r="D451" s="68" t="s">
        <v>176</v>
      </c>
      <c r="E451" s="43">
        <v>23765.71</v>
      </c>
      <c r="F451" s="43">
        <v>3393.26</v>
      </c>
      <c r="G451" s="44">
        <v>486.42</v>
      </c>
      <c r="H451" s="43">
        <f t="shared" si="90"/>
        <v>26672.550000000003</v>
      </c>
      <c r="I451" s="96"/>
      <c r="J451" s="49"/>
      <c r="K451" s="49"/>
    </row>
    <row r="452" spans="1:11" s="16" customFormat="1" ht="45.75" customHeight="1" x14ac:dyDescent="0.2">
      <c r="A452" s="33"/>
      <c r="B452" s="54"/>
      <c r="C452" s="57"/>
      <c r="D452" s="689" t="s">
        <v>213</v>
      </c>
      <c r="E452" s="94">
        <v>265.13</v>
      </c>
      <c r="F452" s="687">
        <f>SUM(F453:F454)</f>
        <v>210.86</v>
      </c>
      <c r="G452" s="687">
        <f>SUM(G453:G454)</f>
        <v>0</v>
      </c>
      <c r="H452" s="94">
        <f t="shared" si="90"/>
        <v>475.99</v>
      </c>
      <c r="I452" s="96"/>
      <c r="J452" s="49"/>
      <c r="K452" s="49"/>
    </row>
    <row r="453" spans="1:11" s="16" customFormat="1" ht="36" customHeight="1" x14ac:dyDescent="0.2">
      <c r="A453" s="33"/>
      <c r="B453" s="54"/>
      <c r="C453" s="99" t="s">
        <v>188</v>
      </c>
      <c r="D453" s="68" t="s">
        <v>189</v>
      </c>
      <c r="E453" s="43">
        <v>27.23</v>
      </c>
      <c r="F453" s="43">
        <v>179.69</v>
      </c>
      <c r="G453" s="44"/>
      <c r="H453" s="43">
        <f t="shared" si="90"/>
        <v>206.92</v>
      </c>
      <c r="I453" s="96"/>
      <c r="J453" s="49"/>
      <c r="K453" s="49"/>
    </row>
    <row r="454" spans="1:11" s="16" customFormat="1" ht="23.25" customHeight="1" x14ac:dyDescent="0.2">
      <c r="A454" s="33"/>
      <c r="B454" s="54"/>
      <c r="C454" s="99" t="s">
        <v>175</v>
      </c>
      <c r="D454" s="68" t="s">
        <v>176</v>
      </c>
      <c r="E454" s="43">
        <v>237.9</v>
      </c>
      <c r="F454" s="43">
        <v>31.17</v>
      </c>
      <c r="G454" s="44"/>
      <c r="H454" s="43">
        <f t="shared" si="90"/>
        <v>269.07</v>
      </c>
      <c r="I454" s="96"/>
      <c r="J454" s="49"/>
      <c r="K454" s="49"/>
    </row>
    <row r="455" spans="1:11" s="16" customFormat="1" ht="12" customHeight="1" x14ac:dyDescent="0.2">
      <c r="A455" s="33"/>
      <c r="B455" s="26">
        <v>80195</v>
      </c>
      <c r="C455" s="27"/>
      <c r="D455" s="38" t="s">
        <v>15</v>
      </c>
      <c r="E455" s="39">
        <v>21510341.529999997</v>
      </c>
      <c r="F455" s="40">
        <f>SUM(F456,F461,F465,F469,F472)</f>
        <v>12201</v>
      </c>
      <c r="G455" s="40">
        <f>SUM(G456,G461,G465,G469,G472)</f>
        <v>42201</v>
      </c>
      <c r="H455" s="39">
        <f>SUM(E455+F455-G455)</f>
        <v>21480341.529999997</v>
      </c>
      <c r="I455" s="96"/>
      <c r="J455" s="49"/>
      <c r="K455" s="49"/>
    </row>
    <row r="456" spans="1:11" s="16" customFormat="1" ht="12" customHeight="1" x14ac:dyDescent="0.2">
      <c r="A456" s="33"/>
      <c r="B456" s="26"/>
      <c r="C456" s="27"/>
      <c r="D456" s="693" t="s">
        <v>42</v>
      </c>
      <c r="E456" s="94">
        <v>1912155</v>
      </c>
      <c r="F456" s="687">
        <f>SUM(F457:F460)</f>
        <v>4126</v>
      </c>
      <c r="G456" s="687">
        <f>SUM(G457:G460)</f>
        <v>4126</v>
      </c>
      <c r="H456" s="685">
        <f t="shared" ref="H456:H499" si="91">SUM(E456+F456-G456)</f>
        <v>1912155</v>
      </c>
      <c r="I456" s="96"/>
      <c r="J456" s="49"/>
      <c r="K456" s="49"/>
    </row>
    <row r="457" spans="1:11" s="16" customFormat="1" ht="12" customHeight="1" x14ac:dyDescent="0.2">
      <c r="A457" s="33"/>
      <c r="B457" s="26"/>
      <c r="C457" s="26">
        <v>4040</v>
      </c>
      <c r="D457" s="41" t="s">
        <v>35</v>
      </c>
      <c r="E457" s="45">
        <v>1720</v>
      </c>
      <c r="F457" s="42"/>
      <c r="G457" s="42">
        <f>798</f>
        <v>798</v>
      </c>
      <c r="H457" s="44">
        <f t="shared" si="91"/>
        <v>922</v>
      </c>
      <c r="I457" s="96"/>
      <c r="J457" s="49"/>
      <c r="K457" s="49"/>
    </row>
    <row r="458" spans="1:11" s="16" customFormat="1" ht="12" customHeight="1" x14ac:dyDescent="0.2">
      <c r="A458" s="33"/>
      <c r="B458" s="26"/>
      <c r="C458" s="26">
        <v>4210</v>
      </c>
      <c r="D458" s="69" t="s">
        <v>59</v>
      </c>
      <c r="E458" s="45">
        <v>22705</v>
      </c>
      <c r="F458" s="42">
        <f>4126</f>
        <v>4126</v>
      </c>
      <c r="G458" s="42"/>
      <c r="H458" s="44">
        <f t="shared" si="91"/>
        <v>26831</v>
      </c>
      <c r="I458" s="96"/>
      <c r="J458" s="49"/>
      <c r="K458" s="49"/>
    </row>
    <row r="459" spans="1:11" s="16" customFormat="1" ht="12" customHeight="1" x14ac:dyDescent="0.2">
      <c r="A459" s="33"/>
      <c r="B459" s="26"/>
      <c r="C459" s="26">
        <v>4710</v>
      </c>
      <c r="D459" s="69" t="s">
        <v>39</v>
      </c>
      <c r="E459" s="45">
        <v>738</v>
      </c>
      <c r="F459" s="42"/>
      <c r="G459" s="42">
        <f>638</f>
        <v>638</v>
      </c>
      <c r="H459" s="44">
        <f t="shared" si="91"/>
        <v>100</v>
      </c>
      <c r="I459" s="96"/>
      <c r="J459" s="49"/>
      <c r="K459" s="49"/>
    </row>
    <row r="460" spans="1:11" s="16" customFormat="1" ht="12" customHeight="1" x14ac:dyDescent="0.2">
      <c r="A460" s="33"/>
      <c r="B460" s="26"/>
      <c r="C460" s="86">
        <v>4800</v>
      </c>
      <c r="D460" s="152" t="s">
        <v>173</v>
      </c>
      <c r="E460" s="45">
        <v>2690</v>
      </c>
      <c r="F460" s="42"/>
      <c r="G460" s="42">
        <f>2690</f>
        <v>2690</v>
      </c>
      <c r="H460" s="44">
        <f t="shared" si="91"/>
        <v>0</v>
      </c>
      <c r="I460" s="96"/>
      <c r="J460" s="49"/>
      <c r="K460" s="49"/>
    </row>
    <row r="461" spans="1:11" s="16" customFormat="1" ht="12" customHeight="1" x14ac:dyDescent="0.2">
      <c r="A461" s="33"/>
      <c r="B461" s="26"/>
      <c r="C461" s="76"/>
      <c r="D461" s="694" t="s">
        <v>214</v>
      </c>
      <c r="E461" s="685">
        <v>1099832.3400000001</v>
      </c>
      <c r="F461" s="685">
        <f>SUM(F462:F463)</f>
        <v>4500</v>
      </c>
      <c r="G461" s="685">
        <f>SUM(G462:G463)</f>
        <v>4500</v>
      </c>
      <c r="H461" s="685">
        <f t="shared" si="91"/>
        <v>1099832.3400000001</v>
      </c>
      <c r="I461" s="96"/>
      <c r="J461" s="49"/>
      <c r="K461" s="49"/>
    </row>
    <row r="462" spans="1:11" s="16" customFormat="1" ht="12" customHeight="1" x14ac:dyDescent="0.2">
      <c r="A462" s="33"/>
      <c r="B462" s="26"/>
      <c r="C462" s="76">
        <v>4210</v>
      </c>
      <c r="D462" s="75" t="s">
        <v>215</v>
      </c>
      <c r="E462" s="151">
        <v>58499</v>
      </c>
      <c r="F462" s="44"/>
      <c r="G462" s="43">
        <f>4500</f>
        <v>4500</v>
      </c>
      <c r="H462" s="44">
        <f t="shared" si="91"/>
        <v>53999</v>
      </c>
      <c r="I462" s="96"/>
      <c r="J462" s="49"/>
      <c r="K462" s="49"/>
    </row>
    <row r="463" spans="1:11" s="16" customFormat="1" ht="12" customHeight="1" x14ac:dyDescent="0.2">
      <c r="A463" s="33"/>
      <c r="B463" s="26"/>
      <c r="C463" s="76">
        <v>4300</v>
      </c>
      <c r="D463" s="75" t="s">
        <v>16</v>
      </c>
      <c r="E463" s="45">
        <v>1001</v>
      </c>
      <c r="F463" s="42">
        <f>4500</f>
        <v>4500</v>
      </c>
      <c r="G463" s="42"/>
      <c r="H463" s="44">
        <f t="shared" si="91"/>
        <v>5501</v>
      </c>
      <c r="I463" s="96"/>
      <c r="J463" s="49"/>
      <c r="K463" s="49"/>
    </row>
    <row r="464" spans="1:11" s="16" customFormat="1" ht="12" customHeight="1" x14ac:dyDescent="0.2">
      <c r="A464" s="33"/>
      <c r="B464" s="26"/>
      <c r="C464" s="76"/>
      <c r="D464" s="701" t="s">
        <v>216</v>
      </c>
      <c r="E464" s="45"/>
      <c r="F464" s="42"/>
      <c r="G464" s="42"/>
      <c r="H464" s="44"/>
      <c r="I464" s="96"/>
      <c r="J464" s="49"/>
      <c r="K464" s="49"/>
    </row>
    <row r="465" spans="1:11" s="16" customFormat="1" ht="12" customHeight="1" x14ac:dyDescent="0.2">
      <c r="A465" s="33"/>
      <c r="B465" s="26"/>
      <c r="C465" s="76"/>
      <c r="D465" s="702" t="s">
        <v>217</v>
      </c>
      <c r="E465" s="685">
        <v>349074</v>
      </c>
      <c r="F465" s="685">
        <f>SUM(F466:F467)</f>
        <v>3500</v>
      </c>
      <c r="G465" s="685">
        <f>SUM(G466:G467)</f>
        <v>3500</v>
      </c>
      <c r="H465" s="685">
        <f t="shared" ref="H465:H467" si="92">SUM(E465+F465-G465)</f>
        <v>349074</v>
      </c>
      <c r="I465" s="96"/>
      <c r="J465" s="49"/>
      <c r="K465" s="49"/>
    </row>
    <row r="466" spans="1:11" s="16" customFormat="1" ht="12" customHeight="1" x14ac:dyDescent="0.2">
      <c r="A466" s="33"/>
      <c r="B466" s="26"/>
      <c r="C466" s="26">
        <v>4110</v>
      </c>
      <c r="D466" s="41" t="s">
        <v>36</v>
      </c>
      <c r="E466" s="43">
        <v>45382</v>
      </c>
      <c r="F466" s="44"/>
      <c r="G466" s="44">
        <f>3500</f>
        <v>3500</v>
      </c>
      <c r="H466" s="44">
        <f t="shared" si="92"/>
        <v>41882</v>
      </c>
      <c r="I466" s="96"/>
      <c r="J466" s="49"/>
      <c r="K466" s="49"/>
    </row>
    <row r="467" spans="1:11" s="16" customFormat="1" ht="12" customHeight="1" x14ac:dyDescent="0.2">
      <c r="A467" s="33"/>
      <c r="B467" s="26"/>
      <c r="C467" s="76">
        <v>4300</v>
      </c>
      <c r="D467" s="75" t="s">
        <v>16</v>
      </c>
      <c r="E467" s="45">
        <v>1734</v>
      </c>
      <c r="F467" s="42">
        <v>3500</v>
      </c>
      <c r="G467" s="42"/>
      <c r="H467" s="44">
        <f t="shared" si="92"/>
        <v>5234</v>
      </c>
      <c r="I467" s="96"/>
      <c r="J467" s="49"/>
      <c r="K467" s="49"/>
    </row>
    <row r="468" spans="1:11" s="16" customFormat="1" ht="12" customHeight="1" x14ac:dyDescent="0.2">
      <c r="A468" s="33"/>
      <c r="B468" s="26"/>
      <c r="C468" s="76"/>
      <c r="D468" s="703" t="s">
        <v>218</v>
      </c>
      <c r="E468" s="45"/>
      <c r="F468" s="42"/>
      <c r="G468" s="42"/>
      <c r="H468" s="44"/>
      <c r="I468" s="96"/>
      <c r="J468" s="49"/>
      <c r="K468" s="49"/>
    </row>
    <row r="469" spans="1:11" s="16" customFormat="1" ht="12" customHeight="1" x14ac:dyDescent="0.2">
      <c r="A469" s="33"/>
      <c r="B469" s="26"/>
      <c r="C469" s="76"/>
      <c r="D469" s="704" t="s">
        <v>219</v>
      </c>
      <c r="E469" s="685">
        <v>67220</v>
      </c>
      <c r="F469" s="685">
        <f>SUM(F470:F471)</f>
        <v>75</v>
      </c>
      <c r="G469" s="685">
        <f>SUM(G470:G471)</f>
        <v>75</v>
      </c>
      <c r="H469" s="685">
        <f t="shared" ref="H469:H471" si="93">SUM(E469+F469-G469)</f>
        <v>67220</v>
      </c>
      <c r="I469" s="96"/>
      <c r="J469" s="49"/>
      <c r="K469" s="49"/>
    </row>
    <row r="470" spans="1:11" s="16" customFormat="1" ht="12" customHeight="1" x14ac:dyDescent="0.2">
      <c r="A470" s="33"/>
      <c r="B470" s="26"/>
      <c r="C470" s="26">
        <v>4177</v>
      </c>
      <c r="D470" s="41" t="s">
        <v>69</v>
      </c>
      <c r="E470" s="43">
        <v>24641.34</v>
      </c>
      <c r="F470" s="44"/>
      <c r="G470" s="44">
        <f>75</f>
        <v>75</v>
      </c>
      <c r="H470" s="44">
        <f t="shared" si="93"/>
        <v>24566.34</v>
      </c>
      <c r="I470" s="96"/>
      <c r="J470" s="49"/>
      <c r="K470" s="49"/>
    </row>
    <row r="471" spans="1:11" s="16" customFormat="1" ht="12" customHeight="1" x14ac:dyDescent="0.2">
      <c r="A471" s="33"/>
      <c r="B471" s="26"/>
      <c r="C471" s="76">
        <v>4717</v>
      </c>
      <c r="D471" s="69" t="s">
        <v>39</v>
      </c>
      <c r="E471" s="45">
        <v>27.24</v>
      </c>
      <c r="F471" s="42">
        <f>75</f>
        <v>75</v>
      </c>
      <c r="G471" s="42"/>
      <c r="H471" s="44">
        <f t="shared" si="93"/>
        <v>102.24</v>
      </c>
      <c r="I471" s="96"/>
      <c r="J471" s="49"/>
      <c r="K471" s="49"/>
    </row>
    <row r="472" spans="1:11" s="16" customFormat="1" ht="12" customHeight="1" x14ac:dyDescent="0.2">
      <c r="A472" s="33"/>
      <c r="B472" s="26"/>
      <c r="C472" s="76"/>
      <c r="D472" s="693" t="s">
        <v>56</v>
      </c>
      <c r="E472" s="685">
        <v>1099832.3400000001</v>
      </c>
      <c r="F472" s="685">
        <f>SUM(F473:F473)</f>
        <v>0</v>
      </c>
      <c r="G472" s="685">
        <f>SUM(G473:G473)</f>
        <v>30000</v>
      </c>
      <c r="H472" s="685">
        <f t="shared" si="91"/>
        <v>1069832.3400000001</v>
      </c>
      <c r="I472" s="96"/>
      <c r="J472" s="49"/>
      <c r="K472" s="49"/>
    </row>
    <row r="473" spans="1:11" s="16" customFormat="1" ht="12" customHeight="1" x14ac:dyDescent="0.2">
      <c r="A473" s="33"/>
      <c r="B473" s="26"/>
      <c r="C473" s="26">
        <v>4010</v>
      </c>
      <c r="D473" s="41" t="s">
        <v>34</v>
      </c>
      <c r="E473" s="151">
        <v>30525</v>
      </c>
      <c r="F473" s="44"/>
      <c r="G473" s="43">
        <f>30000</f>
        <v>30000</v>
      </c>
      <c r="H473" s="44">
        <f t="shared" si="91"/>
        <v>525</v>
      </c>
      <c r="I473" s="96"/>
      <c r="J473" s="49"/>
      <c r="K473" s="49"/>
    </row>
    <row r="474" spans="1:11" s="16" customFormat="1" ht="12" customHeight="1" thickBot="1" x14ac:dyDescent="0.25">
      <c r="A474" s="34" t="s">
        <v>220</v>
      </c>
      <c r="B474" s="33"/>
      <c r="C474" s="34"/>
      <c r="D474" s="35" t="s">
        <v>221</v>
      </c>
      <c r="E474" s="31">
        <v>7270174.7400000002</v>
      </c>
      <c r="F474" s="36">
        <f>SUM(F475,F479,F495)</f>
        <v>689354</v>
      </c>
      <c r="G474" s="36">
        <f>SUM(G475,G479,G495)</f>
        <v>689354</v>
      </c>
      <c r="H474" s="31">
        <f t="shared" si="91"/>
        <v>7270174.7400000002</v>
      </c>
      <c r="I474" s="96"/>
      <c r="J474" s="49"/>
      <c r="K474" s="49"/>
    </row>
    <row r="475" spans="1:11" s="16" customFormat="1" ht="12" customHeight="1" thickTop="1" x14ac:dyDescent="0.2">
      <c r="A475" s="34"/>
      <c r="B475" s="56">
        <v>85153</v>
      </c>
      <c r="C475" s="80"/>
      <c r="D475" s="81" t="s">
        <v>222</v>
      </c>
      <c r="E475" s="74">
        <v>108000</v>
      </c>
      <c r="F475" s="40">
        <f>SUM(F476)</f>
        <v>60000</v>
      </c>
      <c r="G475" s="40">
        <f>SUM(G476)</f>
        <v>60000</v>
      </c>
      <c r="H475" s="39">
        <f t="shared" si="91"/>
        <v>108000</v>
      </c>
      <c r="I475" s="96"/>
      <c r="J475" s="49"/>
      <c r="K475" s="49"/>
    </row>
    <row r="476" spans="1:11" s="16" customFormat="1" ht="12" customHeight="1" x14ac:dyDescent="0.2">
      <c r="A476" s="34"/>
      <c r="B476" s="33"/>
      <c r="C476" s="27"/>
      <c r="D476" s="705" t="s">
        <v>223</v>
      </c>
      <c r="E476" s="95">
        <v>108000</v>
      </c>
      <c r="F476" s="697">
        <f>SUM(F477:F478)</f>
        <v>60000</v>
      </c>
      <c r="G476" s="697">
        <f>SUM(G477:G478)</f>
        <v>60000</v>
      </c>
      <c r="H476" s="685">
        <f t="shared" si="91"/>
        <v>108000</v>
      </c>
      <c r="I476" s="96"/>
      <c r="J476" s="49"/>
      <c r="K476" s="49"/>
    </row>
    <row r="477" spans="1:11" s="16" customFormat="1" ht="43.5" customHeight="1" x14ac:dyDescent="0.2">
      <c r="A477" s="157"/>
      <c r="B477" s="113"/>
      <c r="C477" s="153" t="s">
        <v>224</v>
      </c>
      <c r="D477" s="154" t="s">
        <v>225</v>
      </c>
      <c r="E477" s="74">
        <v>0</v>
      </c>
      <c r="F477" s="130">
        <v>60000</v>
      </c>
      <c r="G477" s="130"/>
      <c r="H477" s="40">
        <f t="shared" si="91"/>
        <v>60000</v>
      </c>
      <c r="I477" s="96"/>
      <c r="J477" s="49"/>
      <c r="K477" s="49"/>
    </row>
    <row r="478" spans="1:11" s="16" customFormat="1" ht="34.5" customHeight="1" x14ac:dyDescent="0.2">
      <c r="A478" s="34"/>
      <c r="B478" s="33"/>
      <c r="C478" s="99" t="s">
        <v>183</v>
      </c>
      <c r="D478" s="135" t="s">
        <v>184</v>
      </c>
      <c r="E478" s="151">
        <v>60000</v>
      </c>
      <c r="F478" s="42"/>
      <c r="G478" s="42">
        <v>60000</v>
      </c>
      <c r="H478" s="44">
        <f t="shared" si="91"/>
        <v>0</v>
      </c>
      <c r="I478" s="96"/>
      <c r="J478" s="49"/>
      <c r="K478" s="49"/>
    </row>
    <row r="479" spans="1:11" s="16" customFormat="1" ht="12" customHeight="1" x14ac:dyDescent="0.2">
      <c r="A479" s="18"/>
      <c r="B479" s="56">
        <v>85154</v>
      </c>
      <c r="C479" s="80"/>
      <c r="D479" s="81" t="s">
        <v>226</v>
      </c>
      <c r="E479" s="74">
        <v>6516474.7400000002</v>
      </c>
      <c r="F479" s="40">
        <f>SUM(F480,F485,F489)</f>
        <v>561854</v>
      </c>
      <c r="G479" s="40">
        <f>SUM(G480,G485,G489)</f>
        <v>561854</v>
      </c>
      <c r="H479" s="39">
        <f t="shared" si="91"/>
        <v>6516474.7400000002</v>
      </c>
      <c r="I479" s="96"/>
      <c r="J479" s="49"/>
      <c r="K479" s="49"/>
    </row>
    <row r="480" spans="1:11" s="16" customFormat="1" ht="12" customHeight="1" x14ac:dyDescent="0.2">
      <c r="A480" s="32"/>
      <c r="B480" s="33"/>
      <c r="C480" s="27"/>
      <c r="D480" s="705" t="s">
        <v>223</v>
      </c>
      <c r="E480" s="95">
        <v>1442492.74</v>
      </c>
      <c r="F480" s="697">
        <f>SUM(F481:F483)</f>
        <v>540000</v>
      </c>
      <c r="G480" s="697">
        <f>SUM(G481:G483)</f>
        <v>557300</v>
      </c>
      <c r="H480" s="685">
        <f t="shared" si="91"/>
        <v>1425192.74</v>
      </c>
      <c r="I480" s="96"/>
      <c r="J480" s="49"/>
      <c r="K480" s="49"/>
    </row>
    <row r="481" spans="1:11" s="16" customFormat="1" ht="42.75" customHeight="1" x14ac:dyDescent="0.2">
      <c r="A481" s="32"/>
      <c r="B481" s="33"/>
      <c r="C481" s="99" t="s">
        <v>224</v>
      </c>
      <c r="D481" s="68" t="s">
        <v>225</v>
      </c>
      <c r="E481" s="45">
        <v>40000</v>
      </c>
      <c r="F481" s="42">
        <v>540000</v>
      </c>
      <c r="G481" s="42"/>
      <c r="H481" s="44">
        <f t="shared" si="91"/>
        <v>580000</v>
      </c>
      <c r="I481" s="96"/>
      <c r="J481" s="49"/>
      <c r="K481" s="49"/>
    </row>
    <row r="482" spans="1:11" s="16" customFormat="1" ht="32.25" customHeight="1" x14ac:dyDescent="0.2">
      <c r="A482" s="32"/>
      <c r="B482" s="33"/>
      <c r="C482" s="99" t="s">
        <v>183</v>
      </c>
      <c r="D482" s="135" t="s">
        <v>184</v>
      </c>
      <c r="E482" s="151">
        <v>540000</v>
      </c>
      <c r="F482" s="42"/>
      <c r="G482" s="42">
        <v>540000</v>
      </c>
      <c r="H482" s="44">
        <f t="shared" si="91"/>
        <v>0</v>
      </c>
      <c r="I482" s="96"/>
      <c r="J482" s="49"/>
      <c r="K482" s="49"/>
    </row>
    <row r="483" spans="1:11" s="16" customFormat="1" ht="12" customHeight="1" x14ac:dyDescent="0.2">
      <c r="A483" s="32"/>
      <c r="B483" s="33"/>
      <c r="C483" s="26">
        <v>4300</v>
      </c>
      <c r="D483" s="41" t="s">
        <v>16</v>
      </c>
      <c r="E483" s="44">
        <v>504492.74</v>
      </c>
      <c r="F483" s="44"/>
      <c r="G483" s="44">
        <v>17300</v>
      </c>
      <c r="H483" s="44">
        <f t="shared" si="91"/>
        <v>487192.74</v>
      </c>
      <c r="I483" s="96"/>
      <c r="J483" s="49"/>
      <c r="K483" s="49"/>
    </row>
    <row r="484" spans="1:11" s="16" customFormat="1" ht="12" customHeight="1" x14ac:dyDescent="0.2">
      <c r="A484" s="32"/>
      <c r="B484" s="33"/>
      <c r="C484" s="26"/>
      <c r="D484" s="41" t="s">
        <v>227</v>
      </c>
      <c r="E484" s="44"/>
      <c r="F484" s="44"/>
      <c r="G484" s="44"/>
      <c r="H484" s="44"/>
      <c r="I484" s="96"/>
      <c r="J484" s="49"/>
      <c r="K484" s="49"/>
    </row>
    <row r="485" spans="1:11" s="16" customFormat="1" ht="12" customHeight="1" x14ac:dyDescent="0.2">
      <c r="A485" s="32"/>
      <c r="B485" s="33"/>
      <c r="C485" s="86"/>
      <c r="D485" s="684" t="s">
        <v>228</v>
      </c>
      <c r="E485" s="687">
        <v>0</v>
      </c>
      <c r="F485" s="687">
        <f>SUM(F486:F488)</f>
        <v>17300</v>
      </c>
      <c r="G485" s="687">
        <f>SUM(G486:G488)</f>
        <v>0</v>
      </c>
      <c r="H485" s="685">
        <f t="shared" ref="H485:H488" si="94">SUM(E485+F485-G485)</f>
        <v>17300</v>
      </c>
      <c r="I485" s="96"/>
      <c r="J485" s="49"/>
      <c r="K485" s="49"/>
    </row>
    <row r="486" spans="1:11" s="16" customFormat="1" ht="12" customHeight="1" x14ac:dyDescent="0.2">
      <c r="A486" s="32"/>
      <c r="B486" s="33"/>
      <c r="C486" s="26">
        <v>4170</v>
      </c>
      <c r="D486" s="41" t="s">
        <v>69</v>
      </c>
      <c r="E486" s="44">
        <v>0</v>
      </c>
      <c r="F486" s="44">
        <v>4000</v>
      </c>
      <c r="G486" s="44"/>
      <c r="H486" s="44">
        <f t="shared" si="94"/>
        <v>4000</v>
      </c>
      <c r="I486" s="96"/>
      <c r="J486" s="49"/>
      <c r="K486" s="49"/>
    </row>
    <row r="487" spans="1:11" s="16" customFormat="1" ht="12" customHeight="1" x14ac:dyDescent="0.2">
      <c r="A487" s="32"/>
      <c r="B487" s="33"/>
      <c r="C487" s="57" t="s">
        <v>58</v>
      </c>
      <c r="D487" s="69" t="s">
        <v>59</v>
      </c>
      <c r="E487" s="44">
        <v>0</v>
      </c>
      <c r="F487" s="44">
        <v>8300</v>
      </c>
      <c r="G487" s="44"/>
      <c r="H487" s="44">
        <f t="shared" si="94"/>
        <v>8300</v>
      </c>
      <c r="I487" s="96"/>
      <c r="J487" s="49"/>
      <c r="K487" s="49"/>
    </row>
    <row r="488" spans="1:11" s="16" customFormat="1" ht="12" customHeight="1" x14ac:dyDescent="0.2">
      <c r="A488" s="32"/>
      <c r="B488" s="33"/>
      <c r="C488" s="26">
        <v>4300</v>
      </c>
      <c r="D488" s="41" t="s">
        <v>16</v>
      </c>
      <c r="E488" s="44">
        <v>0</v>
      </c>
      <c r="F488" s="44">
        <v>5000</v>
      </c>
      <c r="G488" s="44"/>
      <c r="H488" s="44">
        <f t="shared" si="94"/>
        <v>5000</v>
      </c>
      <c r="I488" s="96"/>
      <c r="J488" s="49"/>
      <c r="K488" s="49"/>
    </row>
    <row r="489" spans="1:11" s="16" customFormat="1" ht="12" customHeight="1" x14ac:dyDescent="0.2">
      <c r="A489" s="32"/>
      <c r="B489" s="33"/>
      <c r="C489" s="26"/>
      <c r="D489" s="693" t="s">
        <v>64</v>
      </c>
      <c r="E489" s="685">
        <v>2053692</v>
      </c>
      <c r="F489" s="685">
        <f>SUM(F490:F494)</f>
        <v>4554</v>
      </c>
      <c r="G489" s="685">
        <f>SUM(G490:G494)</f>
        <v>4554</v>
      </c>
      <c r="H489" s="94">
        <f>SUM(E489+F489-G489)</f>
        <v>2053692</v>
      </c>
      <c r="I489" s="96"/>
      <c r="J489" s="49"/>
      <c r="K489" s="49"/>
    </row>
    <row r="490" spans="1:11" s="16" customFormat="1" ht="12" customHeight="1" x14ac:dyDescent="0.2">
      <c r="A490" s="32"/>
      <c r="B490" s="33"/>
      <c r="C490" s="26">
        <v>4040</v>
      </c>
      <c r="D490" s="41" t="s">
        <v>35</v>
      </c>
      <c r="E490" s="45">
        <v>75004</v>
      </c>
      <c r="F490" s="45"/>
      <c r="G490" s="45">
        <v>554</v>
      </c>
      <c r="H490" s="45">
        <f t="shared" ref="H490:H498" si="95">SUM(E490+F490-G490)</f>
        <v>74450</v>
      </c>
      <c r="I490" s="96"/>
      <c r="J490" s="49"/>
      <c r="K490" s="49"/>
    </row>
    <row r="491" spans="1:11" s="16" customFormat="1" ht="12" customHeight="1" x14ac:dyDescent="0.2">
      <c r="A491" s="32"/>
      <c r="B491" s="33"/>
      <c r="C491" s="57" t="s">
        <v>58</v>
      </c>
      <c r="D491" s="69" t="s">
        <v>59</v>
      </c>
      <c r="E491" s="45">
        <v>124760</v>
      </c>
      <c r="F491" s="45">
        <v>280</v>
      </c>
      <c r="G491" s="45"/>
      <c r="H491" s="45">
        <f t="shared" si="95"/>
        <v>125040</v>
      </c>
      <c r="I491" s="96"/>
      <c r="J491" s="49"/>
      <c r="K491" s="49"/>
    </row>
    <row r="492" spans="1:11" s="16" customFormat="1" ht="12" customHeight="1" x14ac:dyDescent="0.2">
      <c r="A492" s="32"/>
      <c r="B492" s="33"/>
      <c r="C492" s="26">
        <v>4260</v>
      </c>
      <c r="D492" s="41" t="s">
        <v>143</v>
      </c>
      <c r="E492" s="45">
        <v>174200</v>
      </c>
      <c r="F492" s="45"/>
      <c r="G492" s="45">
        <v>4000</v>
      </c>
      <c r="H492" s="45">
        <f t="shared" si="95"/>
        <v>170200</v>
      </c>
      <c r="I492" s="96"/>
      <c r="J492" s="49"/>
      <c r="K492" s="49"/>
    </row>
    <row r="493" spans="1:11" s="16" customFormat="1" ht="12" customHeight="1" x14ac:dyDescent="0.2">
      <c r="A493" s="32"/>
      <c r="B493" s="33"/>
      <c r="C493" s="26">
        <v>4280</v>
      </c>
      <c r="D493" s="37" t="s">
        <v>170</v>
      </c>
      <c r="E493" s="45">
        <v>1530</v>
      </c>
      <c r="F493" s="45">
        <v>274</v>
      </c>
      <c r="G493" s="45"/>
      <c r="H493" s="45">
        <f t="shared" si="95"/>
        <v>1804</v>
      </c>
      <c r="I493" s="96"/>
      <c r="J493" s="49"/>
      <c r="K493" s="49"/>
    </row>
    <row r="494" spans="1:11" s="16" customFormat="1" ht="12" customHeight="1" x14ac:dyDescent="0.2">
      <c r="A494" s="32"/>
      <c r="B494" s="33"/>
      <c r="C494" s="26">
        <v>4300</v>
      </c>
      <c r="D494" s="41" t="s">
        <v>16</v>
      </c>
      <c r="E494" s="45">
        <v>366551</v>
      </c>
      <c r="F494" s="45">
        <v>4000</v>
      </c>
      <c r="G494" s="45"/>
      <c r="H494" s="45">
        <f t="shared" si="95"/>
        <v>370551</v>
      </c>
      <c r="I494" s="96"/>
      <c r="J494" s="49"/>
      <c r="K494" s="49"/>
    </row>
    <row r="495" spans="1:11" s="16" customFormat="1" ht="12" customHeight="1" x14ac:dyDescent="0.2">
      <c r="A495" s="32"/>
      <c r="B495" s="37">
        <v>85195</v>
      </c>
      <c r="C495" s="27"/>
      <c r="D495" s="38" t="s">
        <v>15</v>
      </c>
      <c r="E495" s="74">
        <v>213000</v>
      </c>
      <c r="F495" s="40">
        <f>SUM(F496)</f>
        <v>67500</v>
      </c>
      <c r="G495" s="40">
        <f>SUM(G496)</f>
        <v>67500</v>
      </c>
      <c r="H495" s="39">
        <f t="shared" si="95"/>
        <v>213000</v>
      </c>
      <c r="I495" s="96"/>
      <c r="J495" s="49"/>
      <c r="K495" s="49"/>
    </row>
    <row r="496" spans="1:11" s="16" customFormat="1" ht="12" customHeight="1" x14ac:dyDescent="0.2">
      <c r="A496" s="32"/>
      <c r="B496" s="33"/>
      <c r="C496" s="27"/>
      <c r="D496" s="705" t="s">
        <v>223</v>
      </c>
      <c r="E496" s="95">
        <v>138900</v>
      </c>
      <c r="F496" s="697">
        <f>SUM(F497:F498)</f>
        <v>67500</v>
      </c>
      <c r="G496" s="697">
        <f>SUM(G497:G498)</f>
        <v>67500</v>
      </c>
      <c r="H496" s="685">
        <f t="shared" si="95"/>
        <v>138900</v>
      </c>
      <c r="I496" s="96"/>
      <c r="J496" s="49"/>
      <c r="K496" s="49"/>
    </row>
    <row r="497" spans="1:11" s="16" customFormat="1" ht="42.75" customHeight="1" x14ac:dyDescent="0.2">
      <c r="A497" s="32"/>
      <c r="B497" s="33"/>
      <c r="C497" s="99" t="s">
        <v>224</v>
      </c>
      <c r="D497" s="68" t="s">
        <v>225</v>
      </c>
      <c r="E497" s="45">
        <v>0</v>
      </c>
      <c r="F497" s="42">
        <v>67500</v>
      </c>
      <c r="G497" s="42"/>
      <c r="H497" s="44">
        <f t="shared" si="95"/>
        <v>67500</v>
      </c>
      <c r="I497" s="96"/>
      <c r="J497" s="49"/>
      <c r="K497" s="49"/>
    </row>
    <row r="498" spans="1:11" s="16" customFormat="1" ht="34.5" customHeight="1" x14ac:dyDescent="0.2">
      <c r="A498" s="32"/>
      <c r="B498" s="33"/>
      <c r="C498" s="99" t="s">
        <v>183</v>
      </c>
      <c r="D498" s="135" t="s">
        <v>184</v>
      </c>
      <c r="E498" s="151">
        <v>67500</v>
      </c>
      <c r="F498" s="42"/>
      <c r="G498" s="42">
        <v>67500</v>
      </c>
      <c r="H498" s="44">
        <f t="shared" si="95"/>
        <v>0</v>
      </c>
      <c r="I498" s="96"/>
      <c r="J498" s="49"/>
      <c r="K498" s="49"/>
    </row>
    <row r="499" spans="1:11" s="16" customFormat="1" ht="12" customHeight="1" thickBot="1" x14ac:dyDescent="0.25">
      <c r="A499" s="34" t="s">
        <v>229</v>
      </c>
      <c r="B499" s="33"/>
      <c r="C499" s="34"/>
      <c r="D499" s="35" t="s">
        <v>30</v>
      </c>
      <c r="E499" s="31">
        <v>75087568.63000001</v>
      </c>
      <c r="F499" s="36">
        <f>SUM(F500,F517,F523,F528,F531,F539,F543,F549)</f>
        <v>10044498</v>
      </c>
      <c r="G499" s="36">
        <f>SUM(G500,G517,G523,G528,G531,G539,G543,G549)</f>
        <v>9780345</v>
      </c>
      <c r="H499" s="31">
        <f t="shared" si="91"/>
        <v>75351721.63000001</v>
      </c>
      <c r="I499" s="96"/>
      <c r="J499" s="49"/>
      <c r="K499" s="49"/>
    </row>
    <row r="500" spans="1:11" s="16" customFormat="1" ht="12" customHeight="1" thickTop="1" x14ac:dyDescent="0.2">
      <c r="A500" s="34"/>
      <c r="B500" s="37">
        <v>85202</v>
      </c>
      <c r="C500" s="27"/>
      <c r="D500" s="63" t="s">
        <v>95</v>
      </c>
      <c r="E500" s="39">
        <v>19989834.140000001</v>
      </c>
      <c r="F500" s="40">
        <f>SUM(F501,F510)</f>
        <v>162298</v>
      </c>
      <c r="G500" s="40">
        <f>SUM(G501,G510)</f>
        <v>65260</v>
      </c>
      <c r="H500" s="39">
        <f>SUM(E500+F500-G500)</f>
        <v>20086872.140000001</v>
      </c>
      <c r="I500" s="96"/>
      <c r="J500" s="49"/>
      <c r="K500" s="49"/>
    </row>
    <row r="501" spans="1:11" s="16" customFormat="1" ht="12" customHeight="1" x14ac:dyDescent="0.2">
      <c r="A501" s="34"/>
      <c r="B501" s="37"/>
      <c r="C501" s="27"/>
      <c r="D501" s="693" t="s">
        <v>230</v>
      </c>
      <c r="E501" s="94">
        <v>5263198.1399999997</v>
      </c>
      <c r="F501" s="697">
        <f>SUM(F502:F509)</f>
        <v>93948</v>
      </c>
      <c r="G501" s="697">
        <f>SUM(G502:G509)</f>
        <v>44760</v>
      </c>
      <c r="H501" s="685">
        <f t="shared" ref="H501:H521" si="96">SUM(E501+F501-G501)</f>
        <v>5312386.1399999997</v>
      </c>
      <c r="I501" s="96"/>
      <c r="J501" s="49"/>
      <c r="K501" s="49"/>
    </row>
    <row r="502" spans="1:11" s="16" customFormat="1" ht="12" customHeight="1" x14ac:dyDescent="0.2">
      <c r="A502" s="34"/>
      <c r="B502" s="37"/>
      <c r="C502" s="26">
        <v>4010</v>
      </c>
      <c r="D502" s="41" t="s">
        <v>34</v>
      </c>
      <c r="E502" s="42">
        <v>2715087</v>
      </c>
      <c r="F502" s="42">
        <v>66907</v>
      </c>
      <c r="G502" s="158"/>
      <c r="H502" s="44">
        <f t="shared" si="96"/>
        <v>2781994</v>
      </c>
      <c r="I502" s="96"/>
      <c r="J502" s="49"/>
      <c r="K502" s="49"/>
    </row>
    <row r="503" spans="1:11" s="16" customFormat="1" ht="12" customHeight="1" x14ac:dyDescent="0.2">
      <c r="A503" s="34"/>
      <c r="B503" s="37"/>
      <c r="C503" s="26">
        <v>4110</v>
      </c>
      <c r="D503" s="41" t="s">
        <v>36</v>
      </c>
      <c r="E503" s="42">
        <v>517320</v>
      </c>
      <c r="F503" s="42">
        <v>11602</v>
      </c>
      <c r="G503" s="158"/>
      <c r="H503" s="44">
        <f t="shared" si="96"/>
        <v>528922</v>
      </c>
      <c r="I503" s="96"/>
      <c r="J503" s="49"/>
      <c r="K503" s="49"/>
    </row>
    <row r="504" spans="1:11" s="16" customFormat="1" ht="12" customHeight="1" x14ac:dyDescent="0.2">
      <c r="A504" s="34"/>
      <c r="B504" s="37"/>
      <c r="C504" s="26">
        <v>4120</v>
      </c>
      <c r="D504" s="41" t="s">
        <v>62</v>
      </c>
      <c r="E504" s="42">
        <v>76126</v>
      </c>
      <c r="F504" s="42">
        <v>1639</v>
      </c>
      <c r="G504" s="158"/>
      <c r="H504" s="44">
        <f t="shared" si="96"/>
        <v>77765</v>
      </c>
      <c r="I504" s="96"/>
      <c r="J504" s="49"/>
      <c r="K504" s="49"/>
    </row>
    <row r="505" spans="1:11" s="16" customFormat="1" ht="12" customHeight="1" x14ac:dyDescent="0.2">
      <c r="A505" s="34"/>
      <c r="B505" s="37"/>
      <c r="C505" s="57" t="s">
        <v>58</v>
      </c>
      <c r="D505" s="69" t="s">
        <v>59</v>
      </c>
      <c r="E505" s="42">
        <v>98491.5</v>
      </c>
      <c r="F505" s="42">
        <v>10100</v>
      </c>
      <c r="G505" s="42"/>
      <c r="H505" s="44">
        <f t="shared" si="96"/>
        <v>108591.5</v>
      </c>
      <c r="I505" s="96"/>
      <c r="J505" s="49"/>
      <c r="K505" s="49"/>
    </row>
    <row r="506" spans="1:11" s="16" customFormat="1" ht="12" customHeight="1" x14ac:dyDescent="0.2">
      <c r="A506" s="34"/>
      <c r="B506" s="37"/>
      <c r="C506" s="26">
        <v>4260</v>
      </c>
      <c r="D506" s="41" t="s">
        <v>143</v>
      </c>
      <c r="E506" s="42">
        <v>433356</v>
      </c>
      <c r="F506" s="42"/>
      <c r="G506" s="42">
        <v>41060</v>
      </c>
      <c r="H506" s="44">
        <f t="shared" si="96"/>
        <v>392296</v>
      </c>
      <c r="I506" s="96"/>
      <c r="J506" s="49"/>
      <c r="K506" s="49"/>
    </row>
    <row r="507" spans="1:11" s="16" customFormat="1" ht="12" customHeight="1" x14ac:dyDescent="0.2">
      <c r="A507" s="34"/>
      <c r="B507" s="37"/>
      <c r="C507" s="26">
        <v>4410</v>
      </c>
      <c r="D507" s="69" t="s">
        <v>70</v>
      </c>
      <c r="E507" s="42">
        <v>2650</v>
      </c>
      <c r="F507" s="42">
        <v>2000</v>
      </c>
      <c r="G507" s="42"/>
      <c r="H507" s="44">
        <f t="shared" si="96"/>
        <v>4650</v>
      </c>
      <c r="I507" s="96"/>
      <c r="J507" s="49"/>
      <c r="K507" s="49"/>
    </row>
    <row r="508" spans="1:11" s="16" customFormat="1" ht="12" customHeight="1" x14ac:dyDescent="0.2">
      <c r="A508" s="34"/>
      <c r="B508" s="37"/>
      <c r="C508" s="26">
        <v>4430</v>
      </c>
      <c r="D508" s="41" t="s">
        <v>136</v>
      </c>
      <c r="E508" s="42">
        <v>15000</v>
      </c>
      <c r="F508" s="42"/>
      <c r="G508" s="42">
        <v>3700</v>
      </c>
      <c r="H508" s="44">
        <f t="shared" si="96"/>
        <v>11300</v>
      </c>
      <c r="I508" s="96"/>
      <c r="J508" s="49"/>
      <c r="K508" s="49"/>
    </row>
    <row r="509" spans="1:11" s="16" customFormat="1" ht="23.25" customHeight="1" x14ac:dyDescent="0.2">
      <c r="A509" s="34"/>
      <c r="B509" s="37"/>
      <c r="C509" s="64">
        <v>4700</v>
      </c>
      <c r="D509" s="68" t="s">
        <v>138</v>
      </c>
      <c r="E509" s="42">
        <v>5685</v>
      </c>
      <c r="F509" s="42">
        <v>1700</v>
      </c>
      <c r="G509" s="42"/>
      <c r="H509" s="44">
        <f t="shared" si="96"/>
        <v>7385</v>
      </c>
      <c r="I509" s="96"/>
      <c r="J509" s="49"/>
      <c r="K509" s="49"/>
    </row>
    <row r="510" spans="1:11" s="16" customFormat="1" ht="12" customHeight="1" x14ac:dyDescent="0.2">
      <c r="A510" s="34"/>
      <c r="B510" s="37"/>
      <c r="C510" s="27"/>
      <c r="D510" s="693" t="s">
        <v>231</v>
      </c>
      <c r="E510" s="94">
        <v>4257675.9000000004</v>
      </c>
      <c r="F510" s="697">
        <f>SUM(F511:F516)</f>
        <v>68350</v>
      </c>
      <c r="G510" s="697">
        <f>SUM(G511:G516)</f>
        <v>20500</v>
      </c>
      <c r="H510" s="685">
        <f t="shared" si="96"/>
        <v>4305525.9000000004</v>
      </c>
      <c r="I510" s="96"/>
      <c r="J510" s="49"/>
      <c r="K510" s="49"/>
    </row>
    <row r="511" spans="1:11" s="16" customFormat="1" ht="12" customHeight="1" x14ac:dyDescent="0.2">
      <c r="A511" s="34"/>
      <c r="B511" s="37"/>
      <c r="C511" s="26">
        <v>4010</v>
      </c>
      <c r="D511" s="41" t="s">
        <v>34</v>
      </c>
      <c r="E511" s="42">
        <v>2436504</v>
      </c>
      <c r="F511" s="42">
        <v>39985</v>
      </c>
      <c r="G511" s="158"/>
      <c r="H511" s="44">
        <f t="shared" si="96"/>
        <v>2476489</v>
      </c>
      <c r="I511" s="96"/>
      <c r="J511" s="49"/>
      <c r="K511" s="49"/>
    </row>
    <row r="512" spans="1:11" s="16" customFormat="1" ht="12" customHeight="1" x14ac:dyDescent="0.2">
      <c r="A512" s="34"/>
      <c r="B512" s="37"/>
      <c r="C512" s="26">
        <v>4110</v>
      </c>
      <c r="D512" s="41" t="s">
        <v>36</v>
      </c>
      <c r="E512" s="146">
        <v>411782</v>
      </c>
      <c r="F512" s="42">
        <v>6885</v>
      </c>
      <c r="G512" s="158"/>
      <c r="H512" s="44">
        <f t="shared" si="96"/>
        <v>418667</v>
      </c>
      <c r="I512" s="96"/>
      <c r="J512" s="49"/>
      <c r="K512" s="49"/>
    </row>
    <row r="513" spans="1:11" s="16" customFormat="1" ht="12" customHeight="1" x14ac:dyDescent="0.2">
      <c r="A513" s="34"/>
      <c r="B513" s="37"/>
      <c r="C513" s="26">
        <v>4120</v>
      </c>
      <c r="D513" s="41" t="s">
        <v>62</v>
      </c>
      <c r="E513" s="146">
        <v>57654</v>
      </c>
      <c r="F513" s="42">
        <v>980</v>
      </c>
      <c r="G513" s="158"/>
      <c r="H513" s="44">
        <f t="shared" si="96"/>
        <v>58634</v>
      </c>
      <c r="I513" s="96"/>
      <c r="J513" s="49"/>
      <c r="K513" s="49"/>
    </row>
    <row r="514" spans="1:11" s="16" customFormat="1" ht="12" customHeight="1" x14ac:dyDescent="0.2">
      <c r="A514" s="34"/>
      <c r="B514" s="37"/>
      <c r="C514" s="57" t="s">
        <v>58</v>
      </c>
      <c r="D514" s="69" t="s">
        <v>59</v>
      </c>
      <c r="E514" s="42">
        <v>80500</v>
      </c>
      <c r="F514" s="42">
        <v>20500</v>
      </c>
      <c r="G514" s="158"/>
      <c r="H514" s="44">
        <f t="shared" si="96"/>
        <v>101000</v>
      </c>
      <c r="I514" s="96"/>
      <c r="J514" s="49"/>
      <c r="K514" s="49"/>
    </row>
    <row r="515" spans="1:11" s="16" customFormat="1" ht="12" customHeight="1" x14ac:dyDescent="0.2">
      <c r="A515" s="34"/>
      <c r="B515" s="37"/>
      <c r="C515" s="26">
        <v>4260</v>
      </c>
      <c r="D515" s="41" t="s">
        <v>143</v>
      </c>
      <c r="E515" s="42">
        <v>339750</v>
      </c>
      <c r="F515" s="42"/>
      <c r="G515" s="42">
        <v>15500</v>
      </c>
      <c r="H515" s="44">
        <f t="shared" si="96"/>
        <v>324250</v>
      </c>
      <c r="I515" s="96"/>
      <c r="J515" s="49"/>
      <c r="K515" s="49"/>
    </row>
    <row r="516" spans="1:11" s="16" customFormat="1" ht="12" customHeight="1" x14ac:dyDescent="0.2">
      <c r="A516" s="34"/>
      <c r="B516" s="37"/>
      <c r="C516" s="26">
        <v>4270</v>
      </c>
      <c r="D516" s="41" t="s">
        <v>60</v>
      </c>
      <c r="E516" s="42">
        <v>46656</v>
      </c>
      <c r="F516" s="42"/>
      <c r="G516" s="42">
        <v>5000</v>
      </c>
      <c r="H516" s="44">
        <f t="shared" si="96"/>
        <v>41656</v>
      </c>
      <c r="I516" s="96"/>
      <c r="J516" s="49"/>
      <c r="K516" s="49"/>
    </row>
    <row r="517" spans="1:11" s="16" customFormat="1" ht="12" customHeight="1" x14ac:dyDescent="0.2">
      <c r="A517" s="34"/>
      <c r="B517" s="56">
        <v>85203</v>
      </c>
      <c r="C517" s="159"/>
      <c r="D517" s="81" t="s">
        <v>232</v>
      </c>
      <c r="E517" s="74">
        <v>942894.05</v>
      </c>
      <c r="F517" s="40">
        <f>SUM(F518)</f>
        <v>1500</v>
      </c>
      <c r="G517" s="40">
        <f>SUM(G518)</f>
        <v>1500</v>
      </c>
      <c r="H517" s="39">
        <f t="shared" si="96"/>
        <v>942894.05</v>
      </c>
      <c r="I517" s="96"/>
      <c r="J517" s="49"/>
      <c r="K517" s="49"/>
    </row>
    <row r="518" spans="1:11" s="16" customFormat="1" ht="21.75" customHeight="1" x14ac:dyDescent="0.2">
      <c r="A518" s="34"/>
      <c r="B518" s="37"/>
      <c r="C518" s="27"/>
      <c r="D518" s="706" t="s">
        <v>233</v>
      </c>
      <c r="E518" s="94">
        <v>684883.05</v>
      </c>
      <c r="F518" s="697">
        <f>SUM(F519:F521)</f>
        <v>1500</v>
      </c>
      <c r="G518" s="697">
        <f>SUM(G519:G521)</f>
        <v>1500</v>
      </c>
      <c r="H518" s="685">
        <f t="shared" si="96"/>
        <v>684883.05</v>
      </c>
      <c r="I518" s="96"/>
      <c r="J518" s="49"/>
      <c r="K518" s="49"/>
    </row>
    <row r="519" spans="1:11" s="16" customFormat="1" ht="12" customHeight="1" x14ac:dyDescent="0.2">
      <c r="A519" s="34"/>
      <c r="B519" s="37"/>
      <c r="C519" s="26">
        <v>4280</v>
      </c>
      <c r="D519" s="37" t="s">
        <v>170</v>
      </c>
      <c r="E519" s="42">
        <v>800</v>
      </c>
      <c r="F519" s="45">
        <v>500</v>
      </c>
      <c r="G519" s="45"/>
      <c r="H519" s="44">
        <f t="shared" si="96"/>
        <v>1300</v>
      </c>
      <c r="I519" s="96"/>
      <c r="J519" s="49"/>
      <c r="K519" s="49"/>
    </row>
    <row r="520" spans="1:11" s="16" customFormat="1" ht="12" customHeight="1" x14ac:dyDescent="0.2">
      <c r="A520" s="34"/>
      <c r="B520" s="37"/>
      <c r="C520" s="26">
        <v>4410</v>
      </c>
      <c r="D520" s="69" t="s">
        <v>70</v>
      </c>
      <c r="E520" s="42">
        <v>1110</v>
      </c>
      <c r="F520" s="45">
        <v>1000</v>
      </c>
      <c r="G520" s="45"/>
      <c r="H520" s="44">
        <f t="shared" si="96"/>
        <v>2110</v>
      </c>
      <c r="I520" s="96"/>
      <c r="J520" s="49"/>
      <c r="K520" s="49"/>
    </row>
    <row r="521" spans="1:11" s="16" customFormat="1" ht="12" customHeight="1" x14ac:dyDescent="0.2">
      <c r="A521" s="34"/>
      <c r="B521" s="37"/>
      <c r="C521" s="26">
        <v>4430</v>
      </c>
      <c r="D521" s="41" t="s">
        <v>136</v>
      </c>
      <c r="E521" s="45">
        <v>11000</v>
      </c>
      <c r="F521" s="42"/>
      <c r="G521" s="42">
        <v>1500</v>
      </c>
      <c r="H521" s="44">
        <f t="shared" si="96"/>
        <v>9500</v>
      </c>
      <c r="I521" s="96"/>
      <c r="J521" s="49"/>
      <c r="K521" s="49"/>
    </row>
    <row r="522" spans="1:11" s="16" customFormat="1" ht="12" customHeight="1" x14ac:dyDescent="0.2">
      <c r="A522" s="34"/>
      <c r="B522" s="37">
        <v>85214</v>
      </c>
      <c r="C522" s="27"/>
      <c r="D522" s="61" t="s">
        <v>98</v>
      </c>
      <c r="E522" s="62"/>
      <c r="F522" s="79"/>
      <c r="G522" s="79"/>
      <c r="H522" s="62"/>
      <c r="I522" s="96"/>
      <c r="J522" s="49"/>
      <c r="K522" s="49"/>
    </row>
    <row r="523" spans="1:11" s="16" customFormat="1" ht="12" customHeight="1" x14ac:dyDescent="0.2">
      <c r="A523" s="34"/>
      <c r="B523" s="37"/>
      <c r="C523" s="27"/>
      <c r="D523" s="58" t="s">
        <v>99</v>
      </c>
      <c r="E523" s="39">
        <v>8262013.4100000001</v>
      </c>
      <c r="F523" s="40">
        <f>SUM(F524,F526)</f>
        <v>2988</v>
      </c>
      <c r="G523" s="40">
        <f>SUM(G524,G526)</f>
        <v>14127</v>
      </c>
      <c r="H523" s="39">
        <f>SUM(E523+F523-G523)</f>
        <v>8250874.4100000001</v>
      </c>
      <c r="I523" s="96"/>
      <c r="J523" s="49"/>
      <c r="K523" s="49"/>
    </row>
    <row r="524" spans="1:11" s="16" customFormat="1" ht="12" customHeight="1" x14ac:dyDescent="0.2">
      <c r="A524" s="34"/>
      <c r="B524" s="37"/>
      <c r="C524" s="27"/>
      <c r="D524" s="693" t="s">
        <v>234</v>
      </c>
      <c r="E524" s="95">
        <v>8222703.4100000001</v>
      </c>
      <c r="F524" s="697">
        <f>SUM(F525:F525)</f>
        <v>0</v>
      </c>
      <c r="G524" s="697">
        <f>SUM(G525:G525)</f>
        <v>14127</v>
      </c>
      <c r="H524" s="685">
        <f t="shared" ref="H524:H543" si="97">SUM(E524+F524-G524)</f>
        <v>8208576.4100000001</v>
      </c>
      <c r="I524" s="96"/>
      <c r="J524" s="49"/>
      <c r="K524" s="49"/>
    </row>
    <row r="525" spans="1:11" s="16" customFormat="1" ht="12" customHeight="1" x14ac:dyDescent="0.2">
      <c r="A525" s="157"/>
      <c r="B525" s="72"/>
      <c r="C525" s="73">
        <v>3110</v>
      </c>
      <c r="D525" s="38" t="s">
        <v>235</v>
      </c>
      <c r="E525" s="130">
        <v>8123403.4100000001</v>
      </c>
      <c r="F525" s="130"/>
      <c r="G525" s="130">
        <v>14127</v>
      </c>
      <c r="H525" s="40">
        <f t="shared" si="97"/>
        <v>8109276.4100000001</v>
      </c>
      <c r="I525" s="96"/>
      <c r="J525" s="49"/>
      <c r="K525" s="49"/>
    </row>
    <row r="526" spans="1:11" s="16" customFormat="1" ht="22.5" customHeight="1" x14ac:dyDescent="0.2">
      <c r="A526" s="34"/>
      <c r="B526" s="33"/>
      <c r="C526" s="57"/>
      <c r="D526" s="689" t="s">
        <v>236</v>
      </c>
      <c r="E526" s="94">
        <v>9019</v>
      </c>
      <c r="F526" s="687">
        <f>SUM(F527:F527)</f>
        <v>2988</v>
      </c>
      <c r="G526" s="687">
        <f>SUM(G527:G527)</f>
        <v>0</v>
      </c>
      <c r="H526" s="94">
        <f t="shared" si="97"/>
        <v>12007</v>
      </c>
      <c r="I526" s="97"/>
      <c r="J526" s="49"/>
      <c r="K526" s="49"/>
    </row>
    <row r="527" spans="1:11" s="16" customFormat="1" ht="21" customHeight="1" x14ac:dyDescent="0.2">
      <c r="A527" s="34"/>
      <c r="B527" s="33"/>
      <c r="C527" s="64">
        <v>3290</v>
      </c>
      <c r="D527" s="65" t="s">
        <v>237</v>
      </c>
      <c r="E527" s="43">
        <v>9019</v>
      </c>
      <c r="F527" s="43">
        <v>2988</v>
      </c>
      <c r="G527" s="44"/>
      <c r="H527" s="43">
        <f t="shared" si="97"/>
        <v>12007</v>
      </c>
      <c r="I527" s="96"/>
      <c r="J527" s="49"/>
      <c r="K527" s="49"/>
    </row>
    <row r="528" spans="1:11" s="16" customFormat="1" ht="12" customHeight="1" x14ac:dyDescent="0.2">
      <c r="A528" s="34"/>
      <c r="B528" s="56">
        <v>85215</v>
      </c>
      <c r="C528" s="80"/>
      <c r="D528" s="81" t="s">
        <v>238</v>
      </c>
      <c r="E528" s="130">
        <v>4336286</v>
      </c>
      <c r="F528" s="74">
        <f>SUM(F529)</f>
        <v>377698</v>
      </c>
      <c r="G528" s="74">
        <f>SUM(G529)</f>
        <v>0</v>
      </c>
      <c r="H528" s="39">
        <f t="shared" si="97"/>
        <v>4713984</v>
      </c>
      <c r="I528" s="96"/>
      <c r="J528" s="49"/>
      <c r="K528" s="49"/>
    </row>
    <row r="529" spans="1:11" s="16" customFormat="1" ht="12" customHeight="1" x14ac:dyDescent="0.2">
      <c r="A529" s="34"/>
      <c r="B529" s="37"/>
      <c r="C529" s="57"/>
      <c r="D529" s="693" t="s">
        <v>64</v>
      </c>
      <c r="E529" s="131">
        <v>4336286</v>
      </c>
      <c r="F529" s="95">
        <f>SUM(F530:F530)</f>
        <v>377698</v>
      </c>
      <c r="G529" s="95">
        <f>SUM(G530:G530)</f>
        <v>0</v>
      </c>
      <c r="H529" s="94">
        <f>SUM(E529+F529-G529)</f>
        <v>4713984</v>
      </c>
      <c r="I529" s="96"/>
      <c r="J529" s="49"/>
      <c r="K529" s="49"/>
    </row>
    <row r="530" spans="1:11" s="16" customFormat="1" ht="12" customHeight="1" x14ac:dyDescent="0.2">
      <c r="A530" s="34"/>
      <c r="B530" s="37"/>
      <c r="C530" s="26">
        <v>3110</v>
      </c>
      <c r="D530" s="41" t="s">
        <v>235</v>
      </c>
      <c r="E530" s="42">
        <v>4276965</v>
      </c>
      <c r="F530" s="45">
        <v>377698</v>
      </c>
      <c r="G530" s="45"/>
      <c r="H530" s="45">
        <f t="shared" ref="H530" si="98">SUM(E530+F530-G530)</f>
        <v>4654663</v>
      </c>
      <c r="I530" s="96"/>
      <c r="J530" s="49"/>
      <c r="K530" s="49"/>
    </row>
    <row r="531" spans="1:11" s="16" customFormat="1" ht="12" customHeight="1" x14ac:dyDescent="0.2">
      <c r="A531" s="34"/>
      <c r="B531" s="86">
        <v>85219</v>
      </c>
      <c r="C531" s="80"/>
      <c r="D531" s="81" t="s">
        <v>103</v>
      </c>
      <c r="E531" s="74">
        <v>16567518.130000001</v>
      </c>
      <c r="F531" s="40">
        <f>SUM(F532)</f>
        <v>183844</v>
      </c>
      <c r="G531" s="40">
        <f>SUM(G532)</f>
        <v>6866</v>
      </c>
      <c r="H531" s="39">
        <f t="shared" si="97"/>
        <v>16744496.130000001</v>
      </c>
      <c r="I531" s="96"/>
      <c r="J531" s="49"/>
      <c r="K531" s="49"/>
    </row>
    <row r="532" spans="1:11" s="16" customFormat="1" ht="12" customHeight="1" x14ac:dyDescent="0.2">
      <c r="A532" s="34"/>
      <c r="B532" s="26"/>
      <c r="C532" s="57"/>
      <c r="D532" s="693" t="s">
        <v>64</v>
      </c>
      <c r="E532" s="94">
        <v>16519990</v>
      </c>
      <c r="F532" s="687">
        <f>SUM(F533:F538)</f>
        <v>183844</v>
      </c>
      <c r="G532" s="687">
        <f>SUM(G533:G538)</f>
        <v>6866</v>
      </c>
      <c r="H532" s="94">
        <f t="shared" si="97"/>
        <v>16696968</v>
      </c>
      <c r="I532" s="96"/>
      <c r="J532" s="49"/>
      <c r="K532" s="49"/>
    </row>
    <row r="533" spans="1:11" s="16" customFormat="1" ht="12" customHeight="1" x14ac:dyDescent="0.2">
      <c r="A533" s="34"/>
      <c r="B533" s="26"/>
      <c r="C533" s="26">
        <v>4010</v>
      </c>
      <c r="D533" s="41" t="s">
        <v>34</v>
      </c>
      <c r="E533" s="45">
        <v>11626777</v>
      </c>
      <c r="F533" s="42">
        <v>169050</v>
      </c>
      <c r="G533" s="42"/>
      <c r="H533" s="44">
        <f t="shared" si="97"/>
        <v>11795827</v>
      </c>
      <c r="I533" s="96"/>
      <c r="J533" s="49"/>
      <c r="K533" s="49"/>
    </row>
    <row r="534" spans="1:11" s="16" customFormat="1" ht="12" customHeight="1" x14ac:dyDescent="0.2">
      <c r="A534" s="34"/>
      <c r="B534" s="26"/>
      <c r="C534" s="26">
        <v>4110</v>
      </c>
      <c r="D534" s="41" t="s">
        <v>36</v>
      </c>
      <c r="E534" s="45">
        <v>2081720</v>
      </c>
      <c r="F534" s="42">
        <v>6950</v>
      </c>
      <c r="G534" s="42"/>
      <c r="H534" s="44">
        <f t="shared" si="97"/>
        <v>2088670</v>
      </c>
      <c r="I534" s="96"/>
      <c r="J534" s="49"/>
      <c r="K534" s="49"/>
    </row>
    <row r="535" spans="1:11" s="16" customFormat="1" ht="12" customHeight="1" x14ac:dyDescent="0.2">
      <c r="A535" s="34"/>
      <c r="B535" s="26"/>
      <c r="C535" s="26">
        <v>4120</v>
      </c>
      <c r="D535" s="41" t="s">
        <v>62</v>
      </c>
      <c r="E535" s="45">
        <v>246139</v>
      </c>
      <c r="F535" s="42">
        <v>978</v>
      </c>
      <c r="G535" s="42"/>
      <c r="H535" s="44">
        <f t="shared" si="97"/>
        <v>247117</v>
      </c>
      <c r="I535" s="96"/>
      <c r="J535" s="49"/>
      <c r="K535" s="49"/>
    </row>
    <row r="536" spans="1:11" s="16" customFormat="1" ht="12" customHeight="1" x14ac:dyDescent="0.2">
      <c r="A536" s="34"/>
      <c r="B536" s="33"/>
      <c r="C536" s="57" t="s">
        <v>58</v>
      </c>
      <c r="D536" s="69" t="s">
        <v>59</v>
      </c>
      <c r="E536" s="43">
        <v>213143</v>
      </c>
      <c r="F536" s="43"/>
      <c r="G536" s="44">
        <v>2866</v>
      </c>
      <c r="H536" s="44">
        <f t="shared" si="97"/>
        <v>210277</v>
      </c>
      <c r="I536" s="96"/>
      <c r="J536" s="49"/>
      <c r="K536" s="49"/>
    </row>
    <row r="537" spans="1:11" s="16" customFormat="1" ht="12" customHeight="1" x14ac:dyDescent="0.2">
      <c r="A537" s="34"/>
      <c r="B537" s="33"/>
      <c r="C537" s="26">
        <v>4280</v>
      </c>
      <c r="D537" s="41" t="s">
        <v>170</v>
      </c>
      <c r="E537" s="43">
        <v>11880</v>
      </c>
      <c r="F537" s="43">
        <v>6866</v>
      </c>
      <c r="G537" s="44"/>
      <c r="H537" s="44">
        <f t="shared" si="97"/>
        <v>18746</v>
      </c>
      <c r="I537" s="96"/>
      <c r="J537" s="49"/>
      <c r="K537" s="49"/>
    </row>
    <row r="538" spans="1:11" s="16" customFormat="1" ht="23.25" customHeight="1" x14ac:dyDescent="0.2">
      <c r="A538" s="34"/>
      <c r="B538" s="33"/>
      <c r="C538" s="64">
        <v>4700</v>
      </c>
      <c r="D538" s="68" t="s">
        <v>138</v>
      </c>
      <c r="E538" s="43">
        <v>30700</v>
      </c>
      <c r="F538" s="43"/>
      <c r="G538" s="44">
        <v>4000</v>
      </c>
      <c r="H538" s="44">
        <f t="shared" si="97"/>
        <v>26700</v>
      </c>
      <c r="I538" s="96"/>
      <c r="J538" s="49"/>
      <c r="K538" s="49"/>
    </row>
    <row r="539" spans="1:11" s="16" customFormat="1" ht="12" customHeight="1" x14ac:dyDescent="0.2">
      <c r="A539" s="34"/>
      <c r="B539" s="37">
        <v>85228</v>
      </c>
      <c r="C539" s="27"/>
      <c r="D539" s="63" t="s">
        <v>604</v>
      </c>
      <c r="E539" s="74">
        <v>7186230</v>
      </c>
      <c r="F539" s="40">
        <f t="shared" ref="F539:G539" si="99">SUM(F540)</f>
        <v>7186230</v>
      </c>
      <c r="G539" s="40">
        <f t="shared" si="99"/>
        <v>7186230</v>
      </c>
      <c r="H539" s="39">
        <f t="shared" si="97"/>
        <v>7186230</v>
      </c>
      <c r="I539" s="96"/>
      <c r="J539" s="49"/>
      <c r="K539" s="49"/>
    </row>
    <row r="540" spans="1:11" s="16" customFormat="1" ht="12" customHeight="1" x14ac:dyDescent="0.2">
      <c r="A540" s="34"/>
      <c r="B540" s="37"/>
      <c r="C540" s="27"/>
      <c r="D540" s="705" t="s">
        <v>223</v>
      </c>
      <c r="E540" s="95">
        <v>7186230</v>
      </c>
      <c r="F540" s="697">
        <f>SUM(F541:F542)</f>
        <v>7186230</v>
      </c>
      <c r="G540" s="697">
        <f>SUM(G541:G542)</f>
        <v>7186230</v>
      </c>
      <c r="H540" s="685">
        <f t="shared" si="97"/>
        <v>7186230</v>
      </c>
      <c r="I540" s="96"/>
      <c r="J540" s="49"/>
      <c r="K540" s="49"/>
    </row>
    <row r="541" spans="1:11" s="16" customFormat="1" ht="47.25" customHeight="1" x14ac:dyDescent="0.2">
      <c r="A541" s="34"/>
      <c r="B541" s="37"/>
      <c r="C541" s="99" t="s">
        <v>224</v>
      </c>
      <c r="D541" s="68" t="s">
        <v>225</v>
      </c>
      <c r="E541" s="45">
        <v>0</v>
      </c>
      <c r="F541" s="42">
        <v>7186230</v>
      </c>
      <c r="G541" s="42"/>
      <c r="H541" s="44">
        <f t="shared" si="97"/>
        <v>7186230</v>
      </c>
      <c r="I541" s="96"/>
      <c r="J541" s="49"/>
      <c r="K541" s="49"/>
    </row>
    <row r="542" spans="1:11" s="16" customFormat="1" ht="33.75" customHeight="1" x14ac:dyDescent="0.2">
      <c r="A542" s="34"/>
      <c r="B542" s="33"/>
      <c r="C542" s="99" t="s">
        <v>183</v>
      </c>
      <c r="D542" s="135" t="s">
        <v>184</v>
      </c>
      <c r="E542" s="42">
        <v>7186230</v>
      </c>
      <c r="F542" s="42"/>
      <c r="G542" s="42">
        <v>7186230</v>
      </c>
      <c r="H542" s="44">
        <f t="shared" si="97"/>
        <v>0</v>
      </c>
      <c r="I542" s="96"/>
      <c r="J542" s="49"/>
      <c r="K542" s="49"/>
    </row>
    <row r="543" spans="1:11" s="16" customFormat="1" ht="12" customHeight="1" x14ac:dyDescent="0.2">
      <c r="A543" s="34"/>
      <c r="B543" s="86">
        <v>85230</v>
      </c>
      <c r="C543" s="80"/>
      <c r="D543" s="81" t="s">
        <v>105</v>
      </c>
      <c r="E543" s="74">
        <v>5995117</v>
      </c>
      <c r="F543" s="40">
        <f>SUM(F544,F547)</f>
        <v>199276</v>
      </c>
      <c r="G543" s="40">
        <f>SUM(G544,G547)</f>
        <v>575698</v>
      </c>
      <c r="H543" s="39">
        <f t="shared" si="97"/>
        <v>5618695</v>
      </c>
      <c r="I543" s="96"/>
      <c r="J543" s="49"/>
      <c r="K543" s="49"/>
    </row>
    <row r="544" spans="1:11" s="16" customFormat="1" ht="12" customHeight="1" x14ac:dyDescent="0.2">
      <c r="A544" s="34"/>
      <c r="B544" s="86"/>
      <c r="C544" s="27"/>
      <c r="D544" s="707" t="s">
        <v>234</v>
      </c>
      <c r="E544" s="94">
        <v>5975398</v>
      </c>
      <c r="F544" s="687">
        <f>SUM(F545:F546)</f>
        <v>198000</v>
      </c>
      <c r="G544" s="687">
        <f>SUM(G545:G546)</f>
        <v>575698</v>
      </c>
      <c r="H544" s="94">
        <f>SUM(E544+F544-G544)</f>
        <v>5597700</v>
      </c>
      <c r="I544" s="96"/>
      <c r="J544" s="49"/>
      <c r="K544" s="49"/>
    </row>
    <row r="545" spans="1:11" s="16" customFormat="1" ht="12" customHeight="1" x14ac:dyDescent="0.2">
      <c r="A545" s="34"/>
      <c r="B545" s="86"/>
      <c r="C545" s="26">
        <v>3110</v>
      </c>
      <c r="D545" s="41" t="s">
        <v>235</v>
      </c>
      <c r="E545" s="45">
        <v>2345987</v>
      </c>
      <c r="F545" s="42">
        <v>198000</v>
      </c>
      <c r="G545" s="42">
        <v>148287</v>
      </c>
      <c r="H545" s="44">
        <f t="shared" ref="H545:H548" si="100">SUM(E545+F545-G545)</f>
        <v>2395700</v>
      </c>
      <c r="I545" s="96"/>
      <c r="J545" s="49"/>
      <c r="K545" s="49"/>
    </row>
    <row r="546" spans="1:11" s="16" customFormat="1" ht="12" customHeight="1" x14ac:dyDescent="0.2">
      <c r="A546" s="34"/>
      <c r="B546" s="86"/>
      <c r="C546" s="26">
        <v>4300</v>
      </c>
      <c r="D546" s="41" t="s">
        <v>16</v>
      </c>
      <c r="E546" s="45">
        <v>3629411</v>
      </c>
      <c r="F546" s="44"/>
      <c r="G546" s="44">
        <f>229411+198000</f>
        <v>427411</v>
      </c>
      <c r="H546" s="44">
        <f t="shared" si="100"/>
        <v>3202000</v>
      </c>
      <c r="I546" s="96"/>
      <c r="J546" s="49"/>
      <c r="K546" s="49"/>
    </row>
    <row r="547" spans="1:11" s="16" customFormat="1" ht="22.5" customHeight="1" x14ac:dyDescent="0.2">
      <c r="A547" s="34"/>
      <c r="B547" s="86"/>
      <c r="C547" s="27"/>
      <c r="D547" s="696" t="s">
        <v>239</v>
      </c>
      <c r="E547" s="94">
        <v>18176</v>
      </c>
      <c r="F547" s="687">
        <f>SUM(F548:F548)</f>
        <v>1276</v>
      </c>
      <c r="G547" s="687">
        <f>SUM(G548:G548)</f>
        <v>0</v>
      </c>
      <c r="H547" s="94">
        <f t="shared" si="100"/>
        <v>19452</v>
      </c>
      <c r="I547" s="97"/>
      <c r="J547" s="49"/>
      <c r="K547" s="49"/>
    </row>
    <row r="548" spans="1:11" s="16" customFormat="1" ht="20.25" customHeight="1" x14ac:dyDescent="0.2">
      <c r="A548" s="34"/>
      <c r="B548" s="86"/>
      <c r="C548" s="64">
        <v>3290</v>
      </c>
      <c r="D548" s="65" t="s">
        <v>237</v>
      </c>
      <c r="E548" s="45">
        <v>18176</v>
      </c>
      <c r="F548" s="42">
        <v>1276</v>
      </c>
      <c r="G548" s="42"/>
      <c r="H548" s="44">
        <f t="shared" si="100"/>
        <v>19452</v>
      </c>
      <c r="I548" s="96"/>
      <c r="J548" s="49"/>
      <c r="K548" s="49"/>
    </row>
    <row r="549" spans="1:11" s="16" customFormat="1" ht="11.25" customHeight="1" x14ac:dyDescent="0.2">
      <c r="A549" s="34"/>
      <c r="B549" s="37">
        <v>85295</v>
      </c>
      <c r="C549" s="27"/>
      <c r="D549" s="38" t="s">
        <v>15</v>
      </c>
      <c r="E549" s="39">
        <v>5893714.9000000004</v>
      </c>
      <c r="F549" s="40">
        <f>SUM(F550,F553)</f>
        <v>1930664</v>
      </c>
      <c r="G549" s="40">
        <f>SUM(G550,G553)</f>
        <v>1930664</v>
      </c>
      <c r="H549" s="39">
        <f>SUM(E549+F549-G549)</f>
        <v>5893714.9000000004</v>
      </c>
      <c r="I549" s="96"/>
      <c r="J549" s="49"/>
      <c r="K549" s="49"/>
    </row>
    <row r="550" spans="1:11" s="16" customFormat="1" ht="11.25" customHeight="1" x14ac:dyDescent="0.2">
      <c r="A550" s="34"/>
      <c r="B550" s="37"/>
      <c r="C550" s="27"/>
      <c r="D550" s="705" t="s">
        <v>223</v>
      </c>
      <c r="E550" s="95">
        <v>1929970</v>
      </c>
      <c r="F550" s="697">
        <f>SUM(F551:F552)</f>
        <v>1929970</v>
      </c>
      <c r="G550" s="697">
        <f>SUM(G551:G552)</f>
        <v>1929970</v>
      </c>
      <c r="H550" s="685">
        <f t="shared" ref="H550:H561" si="101">SUM(E550+F550-G550)</f>
        <v>1929970</v>
      </c>
      <c r="I550" s="96"/>
      <c r="J550" s="49"/>
      <c r="K550" s="49"/>
    </row>
    <row r="551" spans="1:11" s="16" customFormat="1" ht="47.25" customHeight="1" x14ac:dyDescent="0.2">
      <c r="A551" s="34"/>
      <c r="B551" s="37"/>
      <c r="C551" s="99" t="s">
        <v>224</v>
      </c>
      <c r="D551" s="68" t="s">
        <v>225</v>
      </c>
      <c r="E551" s="45">
        <v>0</v>
      </c>
      <c r="F551" s="42">
        <v>1929970</v>
      </c>
      <c r="G551" s="42"/>
      <c r="H551" s="44">
        <f t="shared" si="101"/>
        <v>1929970</v>
      </c>
      <c r="I551" s="96"/>
      <c r="J551" s="49"/>
      <c r="K551" s="49"/>
    </row>
    <row r="552" spans="1:11" s="16" customFormat="1" ht="34.5" customHeight="1" x14ac:dyDescent="0.2">
      <c r="A552" s="34"/>
      <c r="B552" s="37"/>
      <c r="C552" s="99" t="s">
        <v>183</v>
      </c>
      <c r="D552" s="135" t="s">
        <v>184</v>
      </c>
      <c r="E552" s="42">
        <v>1929970</v>
      </c>
      <c r="F552" s="42"/>
      <c r="G552" s="42">
        <v>1929970</v>
      </c>
      <c r="H552" s="44">
        <f t="shared" si="101"/>
        <v>0</v>
      </c>
      <c r="I552" s="96"/>
      <c r="J552" s="49"/>
      <c r="K552" s="49"/>
    </row>
    <row r="553" spans="1:11" s="16" customFormat="1" ht="11.25" customHeight="1" x14ac:dyDescent="0.2">
      <c r="A553" s="34"/>
      <c r="B553" s="33"/>
      <c r="C553" s="57"/>
      <c r="D553" s="707" t="s">
        <v>234</v>
      </c>
      <c r="E553" s="94">
        <v>1247647</v>
      </c>
      <c r="F553" s="687">
        <f>SUM(F554:F555)</f>
        <v>694</v>
      </c>
      <c r="G553" s="687">
        <f>SUM(G554:G555)</f>
        <v>694</v>
      </c>
      <c r="H553" s="94">
        <f t="shared" si="101"/>
        <v>1247647</v>
      </c>
      <c r="I553" s="96"/>
      <c r="J553" s="49"/>
      <c r="K553" s="49"/>
    </row>
    <row r="554" spans="1:11" s="16" customFormat="1" ht="12" customHeight="1" x14ac:dyDescent="0.2">
      <c r="A554" s="34"/>
      <c r="B554" s="33"/>
      <c r="C554" s="26">
        <v>4280</v>
      </c>
      <c r="D554" s="41" t="s">
        <v>170</v>
      </c>
      <c r="E554" s="45">
        <v>990</v>
      </c>
      <c r="F554" s="42">
        <v>694</v>
      </c>
      <c r="G554" s="42"/>
      <c r="H554" s="44">
        <f t="shared" si="101"/>
        <v>1684</v>
      </c>
      <c r="I554" s="96"/>
      <c r="J554" s="49"/>
      <c r="K554" s="49"/>
    </row>
    <row r="555" spans="1:11" s="16" customFormat="1" ht="21.75" customHeight="1" x14ac:dyDescent="0.2">
      <c r="A555" s="34"/>
      <c r="B555" s="33"/>
      <c r="C555" s="64">
        <v>4700</v>
      </c>
      <c r="D555" s="68" t="s">
        <v>138</v>
      </c>
      <c r="E555" s="45">
        <v>7330</v>
      </c>
      <c r="F555" s="42"/>
      <c r="G555" s="42">
        <v>694</v>
      </c>
      <c r="H555" s="44">
        <f t="shared" si="101"/>
        <v>6636</v>
      </c>
      <c r="I555" s="96"/>
      <c r="J555" s="49"/>
      <c r="K555" s="49"/>
    </row>
    <row r="556" spans="1:11" s="16" customFormat="1" ht="12" customHeight="1" thickBot="1" x14ac:dyDescent="0.25">
      <c r="A556" s="32">
        <v>853</v>
      </c>
      <c r="B556" s="33"/>
      <c r="C556" s="34"/>
      <c r="D556" s="35" t="s">
        <v>71</v>
      </c>
      <c r="E556" s="31">
        <v>12898550.789999999</v>
      </c>
      <c r="F556" s="36">
        <f>SUM(F557)</f>
        <v>47200</v>
      </c>
      <c r="G556" s="36">
        <f>SUM(G557)</f>
        <v>27200</v>
      </c>
      <c r="H556" s="31">
        <f t="shared" si="101"/>
        <v>12918550.789999999</v>
      </c>
      <c r="I556" s="96"/>
      <c r="J556" s="49"/>
      <c r="K556" s="49"/>
    </row>
    <row r="557" spans="1:11" s="16" customFormat="1" ht="12" customHeight="1" thickTop="1" x14ac:dyDescent="0.2">
      <c r="A557" s="34"/>
      <c r="B557" s="37">
        <v>85395</v>
      </c>
      <c r="C557" s="27"/>
      <c r="D557" s="38" t="s">
        <v>15</v>
      </c>
      <c r="E557" s="74">
        <v>8364453.7899999991</v>
      </c>
      <c r="F557" s="39">
        <f>SUM(F559,F562,F565)</f>
        <v>47200</v>
      </c>
      <c r="G557" s="39">
        <f>SUM(G559,G562,G565)</f>
        <v>27200</v>
      </c>
      <c r="H557" s="39">
        <f t="shared" si="101"/>
        <v>8384453.7899999991</v>
      </c>
      <c r="I557" s="96"/>
      <c r="J557" s="49"/>
      <c r="K557" s="49"/>
    </row>
    <row r="558" spans="1:11" s="16" customFormat="1" ht="12" customHeight="1" x14ac:dyDescent="0.2">
      <c r="A558" s="34"/>
      <c r="B558" s="37"/>
      <c r="C558" s="27"/>
      <c r="D558" s="41" t="s">
        <v>227</v>
      </c>
      <c r="E558" s="45"/>
      <c r="F558" s="43"/>
      <c r="G558" s="43"/>
      <c r="H558" s="43"/>
      <c r="I558" s="96"/>
      <c r="J558" s="49"/>
      <c r="K558" s="49"/>
    </row>
    <row r="559" spans="1:11" s="16" customFormat="1" ht="12" customHeight="1" x14ac:dyDescent="0.2">
      <c r="A559" s="34"/>
      <c r="B559" s="37"/>
      <c r="C559" s="86"/>
      <c r="D559" s="684" t="s">
        <v>228</v>
      </c>
      <c r="E559" s="687">
        <v>526825</v>
      </c>
      <c r="F559" s="687">
        <f>SUM(F560:F561)</f>
        <v>23000</v>
      </c>
      <c r="G559" s="687">
        <f>SUM(G560:G561)</f>
        <v>3000</v>
      </c>
      <c r="H559" s="685">
        <f t="shared" si="101"/>
        <v>546825</v>
      </c>
      <c r="I559" s="96"/>
      <c r="J559" s="49"/>
      <c r="K559" s="49"/>
    </row>
    <row r="560" spans="1:11" s="16" customFormat="1" ht="12" customHeight="1" x14ac:dyDescent="0.2">
      <c r="A560" s="34"/>
      <c r="B560" s="37"/>
      <c r="C560" s="57" t="s">
        <v>58</v>
      </c>
      <c r="D560" s="69" t="s">
        <v>59</v>
      </c>
      <c r="E560" s="45">
        <v>12000</v>
      </c>
      <c r="F560" s="44">
        <v>3000</v>
      </c>
      <c r="G560" s="44"/>
      <c r="H560" s="44">
        <f t="shared" si="101"/>
        <v>15000</v>
      </c>
      <c r="I560" s="96"/>
      <c r="J560" s="49"/>
      <c r="K560" s="49"/>
    </row>
    <row r="561" spans="1:11" s="16" customFormat="1" ht="12" customHeight="1" x14ac:dyDescent="0.2">
      <c r="A561" s="34"/>
      <c r="B561" s="37"/>
      <c r="C561" s="26">
        <v>4300</v>
      </c>
      <c r="D561" s="41" t="s">
        <v>16</v>
      </c>
      <c r="E561" s="45">
        <v>65251</v>
      </c>
      <c r="F561" s="43">
        <v>20000</v>
      </c>
      <c r="G561" s="43">
        <v>3000</v>
      </c>
      <c r="H561" s="44">
        <f t="shared" si="101"/>
        <v>82251</v>
      </c>
      <c r="I561" s="96"/>
      <c r="J561" s="49"/>
      <c r="K561" s="49"/>
    </row>
    <row r="562" spans="1:11" s="16" customFormat="1" ht="12" customHeight="1" x14ac:dyDescent="0.2">
      <c r="A562" s="34"/>
      <c r="B562" s="37"/>
      <c r="C562" s="57"/>
      <c r="D562" s="684" t="s">
        <v>240</v>
      </c>
      <c r="E562" s="94">
        <v>5601463</v>
      </c>
      <c r="F562" s="687">
        <f>SUM(F563:F564)</f>
        <v>4200</v>
      </c>
      <c r="G562" s="687">
        <f>SUM(G563:G564)</f>
        <v>4200</v>
      </c>
      <c r="H562" s="94">
        <f>SUM(E562+F562-G562)</f>
        <v>5601463</v>
      </c>
      <c r="I562" s="96"/>
      <c r="J562" s="49"/>
      <c r="K562" s="49"/>
    </row>
    <row r="563" spans="1:11" s="16" customFormat="1" ht="12" customHeight="1" x14ac:dyDescent="0.2">
      <c r="A563" s="34"/>
      <c r="B563" s="37"/>
      <c r="C563" s="26">
        <v>4010</v>
      </c>
      <c r="D563" s="41" t="s">
        <v>34</v>
      </c>
      <c r="E563" s="45">
        <v>2162311</v>
      </c>
      <c r="F563" s="44"/>
      <c r="G563" s="44">
        <v>4200</v>
      </c>
      <c r="H563" s="44">
        <f>SUM(E563+F563-G563)</f>
        <v>2158111</v>
      </c>
      <c r="I563" s="96"/>
      <c r="J563" s="49"/>
      <c r="K563" s="49"/>
    </row>
    <row r="564" spans="1:11" s="16" customFormat="1" ht="12" customHeight="1" x14ac:dyDescent="0.2">
      <c r="A564" s="34"/>
      <c r="B564" s="37"/>
      <c r="C564" s="26">
        <v>4170</v>
      </c>
      <c r="D564" s="41" t="s">
        <v>69</v>
      </c>
      <c r="E564" s="45">
        <v>11000</v>
      </c>
      <c r="F564" s="44">
        <v>4200</v>
      </c>
      <c r="G564" s="44"/>
      <c r="H564" s="44">
        <f>SUM(E564+F564-G564)</f>
        <v>15200</v>
      </c>
      <c r="I564" s="96"/>
      <c r="J564" s="49"/>
      <c r="K564" s="49"/>
    </row>
    <row r="565" spans="1:11" s="16" customFormat="1" ht="12" customHeight="1" x14ac:dyDescent="0.2">
      <c r="A565" s="34"/>
      <c r="B565" s="37"/>
      <c r="C565" s="27"/>
      <c r="D565" s="705" t="s">
        <v>223</v>
      </c>
      <c r="E565" s="94">
        <v>813710</v>
      </c>
      <c r="F565" s="697">
        <f>SUM(F566:F567)</f>
        <v>20000</v>
      </c>
      <c r="G565" s="697">
        <f>SUM(G566:G567)</f>
        <v>20000</v>
      </c>
      <c r="H565" s="685">
        <f t="shared" ref="H565:H567" si="102">SUM(E565+F565-G565)</f>
        <v>813710</v>
      </c>
      <c r="I565" s="96"/>
      <c r="J565" s="49"/>
      <c r="K565" s="49"/>
    </row>
    <row r="566" spans="1:11" s="16" customFormat="1" ht="48" customHeight="1" x14ac:dyDescent="0.2">
      <c r="A566" s="34"/>
      <c r="B566" s="37"/>
      <c r="C566" s="99" t="s">
        <v>224</v>
      </c>
      <c r="D566" s="68" t="s">
        <v>225</v>
      </c>
      <c r="E566" s="45">
        <v>0</v>
      </c>
      <c r="F566" s="42">
        <v>20000</v>
      </c>
      <c r="G566" s="42"/>
      <c r="H566" s="44">
        <f t="shared" si="102"/>
        <v>20000</v>
      </c>
      <c r="I566" s="96"/>
      <c r="J566" s="49"/>
      <c r="K566" s="49"/>
    </row>
    <row r="567" spans="1:11" s="16" customFormat="1" ht="33.75" customHeight="1" x14ac:dyDescent="0.2">
      <c r="A567" s="157"/>
      <c r="B567" s="72"/>
      <c r="C567" s="153" t="s">
        <v>183</v>
      </c>
      <c r="D567" s="160" t="s">
        <v>184</v>
      </c>
      <c r="E567" s="130">
        <v>20000</v>
      </c>
      <c r="F567" s="130"/>
      <c r="G567" s="130">
        <v>20000</v>
      </c>
      <c r="H567" s="40">
        <f t="shared" si="102"/>
        <v>0</v>
      </c>
      <c r="I567" s="96"/>
      <c r="J567" s="49"/>
      <c r="K567" s="49"/>
    </row>
    <row r="568" spans="1:11" s="16" customFormat="1" ht="12" customHeight="1" thickBot="1" x14ac:dyDescent="0.25">
      <c r="A568" s="33">
        <v>854</v>
      </c>
      <c r="B568" s="33"/>
      <c r="C568" s="34"/>
      <c r="D568" s="35" t="s">
        <v>107</v>
      </c>
      <c r="E568" s="31">
        <v>19338230.689999998</v>
      </c>
      <c r="F568" s="36">
        <f>SUM(F569,F572,F579,F587,F598,F603)</f>
        <v>63499.6</v>
      </c>
      <c r="G568" s="36">
        <f>SUM(G569,G572,G579,G587,G598,G603)</f>
        <v>25823.600000000002</v>
      </c>
      <c r="H568" s="31">
        <f t="shared" ref="H568:H590" si="103">SUM(E568+F568-G568)</f>
        <v>19375906.689999998</v>
      </c>
      <c r="I568" s="96"/>
      <c r="J568" s="49"/>
      <c r="K568" s="49"/>
    </row>
    <row r="569" spans="1:11" s="16" customFormat="1" ht="12" customHeight="1" thickTop="1" x14ac:dyDescent="0.2">
      <c r="A569" s="33"/>
      <c r="B569" s="75">
        <v>85402</v>
      </c>
      <c r="C569" s="161"/>
      <c r="D569" s="162" t="s">
        <v>241</v>
      </c>
      <c r="E569" s="39">
        <v>1000799</v>
      </c>
      <c r="F569" s="40">
        <f>SUM(F570)</f>
        <v>0</v>
      </c>
      <c r="G569" s="40">
        <f>SUM(G570)</f>
        <v>1366.2</v>
      </c>
      <c r="H569" s="39">
        <f>SUM(E569+F569-G569)</f>
        <v>999432.8</v>
      </c>
      <c r="I569" s="96"/>
      <c r="J569" s="49"/>
      <c r="K569" s="49"/>
    </row>
    <row r="570" spans="1:11" s="16" customFormat="1" ht="12" customHeight="1" x14ac:dyDescent="0.2">
      <c r="A570" s="33"/>
      <c r="B570" s="37"/>
      <c r="C570" s="27"/>
      <c r="D570" s="684" t="s">
        <v>56</v>
      </c>
      <c r="E570" s="685">
        <v>1000799</v>
      </c>
      <c r="F570" s="685">
        <f>SUM(F571:F571)</f>
        <v>0</v>
      </c>
      <c r="G570" s="685">
        <f>SUM(G571:G571)</f>
        <v>1366.2</v>
      </c>
      <c r="H570" s="685">
        <f t="shared" ref="H570:H581" si="104">SUM(E570+F570-G570)</f>
        <v>999432.8</v>
      </c>
      <c r="I570" s="96"/>
      <c r="J570" s="49"/>
      <c r="K570" s="49"/>
    </row>
    <row r="571" spans="1:11" s="16" customFormat="1" ht="35.25" customHeight="1" x14ac:dyDescent="0.2">
      <c r="A571" s="33"/>
      <c r="B571" s="37"/>
      <c r="C571" s="64">
        <v>2830</v>
      </c>
      <c r="D571" s="65" t="s">
        <v>166</v>
      </c>
      <c r="E571" s="151">
        <v>6750</v>
      </c>
      <c r="F571" s="163"/>
      <c r="G571" s="163">
        <v>1366.2</v>
      </c>
      <c r="H571" s="43">
        <f t="shared" si="104"/>
        <v>5383.8</v>
      </c>
      <c r="I571" s="96"/>
      <c r="J571" s="49"/>
      <c r="K571" s="49"/>
    </row>
    <row r="572" spans="1:11" s="16" customFormat="1" ht="12" customHeight="1" x14ac:dyDescent="0.2">
      <c r="A572" s="33"/>
      <c r="B572" s="57">
        <v>85404</v>
      </c>
      <c r="C572" s="34"/>
      <c r="D572" s="77" t="s">
        <v>242</v>
      </c>
      <c r="E572" s="74">
        <v>1193741</v>
      </c>
      <c r="F572" s="40">
        <f>SUM(F573)</f>
        <v>670</v>
      </c>
      <c r="G572" s="40">
        <f>SUM(G573)</f>
        <v>670</v>
      </c>
      <c r="H572" s="39">
        <f t="shared" si="104"/>
        <v>1193741</v>
      </c>
      <c r="I572" s="96"/>
      <c r="J572" s="49"/>
      <c r="K572" s="49"/>
    </row>
    <row r="573" spans="1:11" s="16" customFormat="1" ht="12" customHeight="1" x14ac:dyDescent="0.2">
      <c r="A573" s="33"/>
      <c r="B573" s="164"/>
      <c r="C573" s="34"/>
      <c r="D573" s="693" t="s">
        <v>42</v>
      </c>
      <c r="E573" s="95">
        <v>578951</v>
      </c>
      <c r="F573" s="131">
        <f>SUM(F574:F577)</f>
        <v>670</v>
      </c>
      <c r="G573" s="131">
        <f>SUM(G574:G577)</f>
        <v>670</v>
      </c>
      <c r="H573" s="94">
        <f>SUM(E573+F573-G573)</f>
        <v>578951</v>
      </c>
      <c r="I573" s="96"/>
      <c r="J573" s="49"/>
      <c r="K573" s="49"/>
    </row>
    <row r="574" spans="1:11" s="16" customFormat="1" ht="21.75" customHeight="1" x14ac:dyDescent="0.2">
      <c r="A574" s="33"/>
      <c r="B574" s="164"/>
      <c r="C574" s="64">
        <v>3040</v>
      </c>
      <c r="D574" s="65" t="s">
        <v>168</v>
      </c>
      <c r="E574" s="45">
        <v>2250</v>
      </c>
      <c r="F574" s="42"/>
      <c r="G574" s="42">
        <f>562</f>
        <v>562</v>
      </c>
      <c r="H574" s="43">
        <f t="shared" ref="H574:H577" si="105">SUM(E574+F574-G574)</f>
        <v>1688</v>
      </c>
      <c r="I574" s="96"/>
      <c r="J574" s="49"/>
      <c r="K574" s="49"/>
    </row>
    <row r="575" spans="1:11" s="16" customFormat="1" ht="12" customHeight="1" x14ac:dyDescent="0.2">
      <c r="A575" s="33"/>
      <c r="B575" s="164"/>
      <c r="C575" s="26">
        <v>4110</v>
      </c>
      <c r="D575" s="41" t="s">
        <v>36</v>
      </c>
      <c r="E575" s="43">
        <v>88409</v>
      </c>
      <c r="F575" s="44"/>
      <c r="G575" s="44">
        <f>94</f>
        <v>94</v>
      </c>
      <c r="H575" s="44">
        <f t="shared" si="105"/>
        <v>88315</v>
      </c>
      <c r="I575" s="96"/>
      <c r="J575" s="49"/>
      <c r="K575" s="49"/>
    </row>
    <row r="576" spans="1:11" s="16" customFormat="1" ht="12" customHeight="1" x14ac:dyDescent="0.2">
      <c r="A576" s="33"/>
      <c r="B576" s="164"/>
      <c r="C576" s="26">
        <v>4120</v>
      </c>
      <c r="D576" s="41" t="s">
        <v>62</v>
      </c>
      <c r="E576" s="43">
        <v>12232</v>
      </c>
      <c r="F576" s="44"/>
      <c r="G576" s="44">
        <f>14</f>
        <v>14</v>
      </c>
      <c r="H576" s="44">
        <f t="shared" si="105"/>
        <v>12218</v>
      </c>
      <c r="I576" s="96"/>
      <c r="J576" s="49"/>
      <c r="K576" s="49"/>
    </row>
    <row r="577" spans="1:11" s="16" customFormat="1" ht="12" customHeight="1" x14ac:dyDescent="0.2">
      <c r="A577" s="33"/>
      <c r="B577" s="164"/>
      <c r="C577" s="26">
        <v>4790</v>
      </c>
      <c r="D577" s="41" t="s">
        <v>43</v>
      </c>
      <c r="E577" s="45">
        <v>427489</v>
      </c>
      <c r="F577" s="42">
        <f>670</f>
        <v>670</v>
      </c>
      <c r="G577" s="42"/>
      <c r="H577" s="43">
        <f t="shared" si="105"/>
        <v>428159</v>
      </c>
      <c r="I577" s="96"/>
      <c r="J577" s="49"/>
      <c r="K577" s="49"/>
    </row>
    <row r="578" spans="1:11" s="16" customFormat="1" ht="12" customHeight="1" x14ac:dyDescent="0.2">
      <c r="A578" s="33"/>
      <c r="B578" s="37">
        <v>85406</v>
      </c>
      <c r="C578" s="26"/>
      <c r="D578" s="41" t="s">
        <v>243</v>
      </c>
      <c r="E578" s="62"/>
      <c r="F578" s="79"/>
      <c r="G578" s="79"/>
      <c r="H578" s="62"/>
      <c r="I578" s="96"/>
      <c r="J578" s="49"/>
      <c r="K578" s="49"/>
    </row>
    <row r="579" spans="1:11" s="16" customFormat="1" ht="12" customHeight="1" x14ac:dyDescent="0.2">
      <c r="A579" s="33"/>
      <c r="B579" s="37"/>
      <c r="C579" s="27"/>
      <c r="D579" s="63" t="s">
        <v>244</v>
      </c>
      <c r="E579" s="39">
        <v>4716833</v>
      </c>
      <c r="F579" s="40">
        <f>SUM(F580,F582)</f>
        <v>5525</v>
      </c>
      <c r="G579" s="40">
        <f>SUM(G580,G582)</f>
        <v>8458.1</v>
      </c>
      <c r="H579" s="39">
        <f t="shared" si="104"/>
        <v>4713899.9000000004</v>
      </c>
      <c r="I579" s="96"/>
      <c r="J579" s="49"/>
      <c r="K579" s="49"/>
    </row>
    <row r="580" spans="1:11" s="16" customFormat="1" ht="12" customHeight="1" x14ac:dyDescent="0.2">
      <c r="A580" s="33"/>
      <c r="B580" s="37"/>
      <c r="C580" s="27"/>
      <c r="D580" s="684" t="s">
        <v>56</v>
      </c>
      <c r="E580" s="685">
        <v>84599</v>
      </c>
      <c r="F580" s="685">
        <f>SUM(F581:F581)</f>
        <v>0</v>
      </c>
      <c r="G580" s="685">
        <f>SUM(G581:G581)</f>
        <v>2933.1</v>
      </c>
      <c r="H580" s="685">
        <f t="shared" si="104"/>
        <v>81665.899999999994</v>
      </c>
      <c r="I580" s="96"/>
      <c r="J580" s="49"/>
      <c r="K580" s="49"/>
    </row>
    <row r="581" spans="1:11" s="16" customFormat="1" ht="33.75" customHeight="1" x14ac:dyDescent="0.2">
      <c r="A581" s="33"/>
      <c r="B581" s="37"/>
      <c r="C581" s="64">
        <v>2830</v>
      </c>
      <c r="D581" s="65" t="s">
        <v>166</v>
      </c>
      <c r="E581" s="163">
        <v>5625</v>
      </c>
      <c r="F581" s="163"/>
      <c r="G581" s="163">
        <v>2933.1</v>
      </c>
      <c r="H581" s="43">
        <f t="shared" si="104"/>
        <v>2691.9</v>
      </c>
      <c r="I581" s="96"/>
      <c r="J581" s="49"/>
      <c r="K581" s="49"/>
    </row>
    <row r="582" spans="1:11" s="16" customFormat="1" ht="12" customHeight="1" x14ac:dyDescent="0.2">
      <c r="A582" s="33"/>
      <c r="B582" s="37"/>
      <c r="C582" s="27"/>
      <c r="D582" s="693" t="s">
        <v>42</v>
      </c>
      <c r="E582" s="685">
        <v>4632234</v>
      </c>
      <c r="F582" s="685">
        <f>SUM(F583:F586)</f>
        <v>5525</v>
      </c>
      <c r="G582" s="685">
        <f>SUM(G583:G586)</f>
        <v>5525</v>
      </c>
      <c r="H582" s="94">
        <f>SUM(E582+F582-G582)</f>
        <v>4632234</v>
      </c>
      <c r="I582" s="96"/>
      <c r="J582" s="49"/>
      <c r="K582" s="49"/>
    </row>
    <row r="583" spans="1:11" s="16" customFormat="1" ht="12" customHeight="1" x14ac:dyDescent="0.2">
      <c r="A583" s="33"/>
      <c r="B583" s="37"/>
      <c r="C583" s="26">
        <v>4170</v>
      </c>
      <c r="D583" s="41" t="s">
        <v>69</v>
      </c>
      <c r="E583" s="45">
        <v>1117</v>
      </c>
      <c r="F583" s="45"/>
      <c r="G583" s="45">
        <f>1117</f>
        <v>1117</v>
      </c>
      <c r="H583" s="43">
        <f t="shared" ref="H583:H586" si="106">SUM(E583+F583-G583)</f>
        <v>0</v>
      </c>
      <c r="I583" s="96"/>
      <c r="J583" s="49"/>
      <c r="K583" s="49"/>
    </row>
    <row r="584" spans="1:11" s="16" customFormat="1" ht="12" customHeight="1" x14ac:dyDescent="0.2">
      <c r="A584" s="33"/>
      <c r="B584" s="37"/>
      <c r="C584" s="165">
        <v>4210</v>
      </c>
      <c r="D584" s="69" t="s">
        <v>59</v>
      </c>
      <c r="E584" s="45">
        <v>35714</v>
      </c>
      <c r="F584" s="45">
        <f>5525</f>
        <v>5525</v>
      </c>
      <c r="G584" s="45"/>
      <c r="H584" s="43">
        <f t="shared" si="106"/>
        <v>41239</v>
      </c>
      <c r="I584" s="96"/>
      <c r="J584" s="49"/>
      <c r="K584" s="49"/>
    </row>
    <row r="585" spans="1:11" s="16" customFormat="1" ht="12" customHeight="1" x14ac:dyDescent="0.2">
      <c r="A585" s="33"/>
      <c r="B585" s="37"/>
      <c r="C585" s="64">
        <v>4430</v>
      </c>
      <c r="D585" s="41" t="s">
        <v>136</v>
      </c>
      <c r="E585" s="45">
        <v>1502</v>
      </c>
      <c r="F585" s="45"/>
      <c r="G585" s="45">
        <f>1408</f>
        <v>1408</v>
      </c>
      <c r="H585" s="43">
        <f t="shared" si="106"/>
        <v>94</v>
      </c>
      <c r="I585" s="96"/>
      <c r="J585" s="49"/>
      <c r="K585" s="49"/>
    </row>
    <row r="586" spans="1:11" s="16" customFormat="1" ht="12" customHeight="1" x14ac:dyDescent="0.2">
      <c r="A586" s="33"/>
      <c r="B586" s="37"/>
      <c r="C586" s="26">
        <v>4710</v>
      </c>
      <c r="D586" s="69" t="s">
        <v>39</v>
      </c>
      <c r="E586" s="45">
        <v>5761</v>
      </c>
      <c r="F586" s="45"/>
      <c r="G586" s="45">
        <f>3000</f>
        <v>3000</v>
      </c>
      <c r="H586" s="43">
        <f t="shared" si="106"/>
        <v>2761</v>
      </c>
      <c r="I586" s="96"/>
      <c r="J586" s="49"/>
      <c r="K586" s="49"/>
    </row>
    <row r="587" spans="1:11" s="16" customFormat="1" ht="12" customHeight="1" x14ac:dyDescent="0.2">
      <c r="A587" s="33"/>
      <c r="B587" s="86">
        <v>85410</v>
      </c>
      <c r="C587" s="105"/>
      <c r="D587" s="81" t="s">
        <v>245</v>
      </c>
      <c r="E587" s="39">
        <v>4426574.43</v>
      </c>
      <c r="F587" s="40">
        <f>SUM(F588,F591,F596)</f>
        <v>14963.6</v>
      </c>
      <c r="G587" s="40">
        <f>SUM(G588,G591,G596)</f>
        <v>7484.3</v>
      </c>
      <c r="H587" s="39">
        <f t="shared" si="103"/>
        <v>4434053.7299999995</v>
      </c>
      <c r="I587" s="96"/>
      <c r="J587" s="49"/>
      <c r="K587" s="49"/>
    </row>
    <row r="588" spans="1:11" s="16" customFormat="1" ht="12" customHeight="1" x14ac:dyDescent="0.2">
      <c r="A588" s="33"/>
      <c r="B588" s="86"/>
      <c r="C588" s="27"/>
      <c r="D588" s="684" t="s">
        <v>56</v>
      </c>
      <c r="E588" s="685">
        <v>1163701</v>
      </c>
      <c r="F588" s="685">
        <f>SUM(F589:F590)</f>
        <v>8598.6</v>
      </c>
      <c r="G588" s="685">
        <f>SUM(G589:G590)</f>
        <v>4299.3</v>
      </c>
      <c r="H588" s="685">
        <f t="shared" si="103"/>
        <v>1168000.3</v>
      </c>
      <c r="I588" s="96"/>
      <c r="J588" s="49"/>
      <c r="K588" s="49"/>
    </row>
    <row r="589" spans="1:11" s="16" customFormat="1" ht="32.25" customHeight="1" x14ac:dyDescent="0.2">
      <c r="A589" s="33"/>
      <c r="B589" s="86"/>
      <c r="C589" s="64">
        <v>2590</v>
      </c>
      <c r="D589" s="150" t="s">
        <v>164</v>
      </c>
      <c r="E589" s="163">
        <v>1151326</v>
      </c>
      <c r="F589" s="163">
        <v>8598.6</v>
      </c>
      <c r="G589" s="163"/>
      <c r="H589" s="43">
        <f t="shared" si="103"/>
        <v>1159924.6000000001</v>
      </c>
      <c r="I589" s="96"/>
      <c r="J589" s="49"/>
      <c r="K589" s="49"/>
    </row>
    <row r="590" spans="1:11" s="16" customFormat="1" ht="33.75" customHeight="1" x14ac:dyDescent="0.2">
      <c r="A590" s="33"/>
      <c r="B590" s="86"/>
      <c r="C590" s="64">
        <v>2830</v>
      </c>
      <c r="D590" s="65" t="s">
        <v>166</v>
      </c>
      <c r="E590" s="44">
        <v>12375</v>
      </c>
      <c r="F590" s="44"/>
      <c r="G590" s="44">
        <v>4299.3</v>
      </c>
      <c r="H590" s="43">
        <f t="shared" si="103"/>
        <v>8075.7</v>
      </c>
      <c r="I590" s="96"/>
      <c r="J590" s="49"/>
      <c r="K590" s="49"/>
    </row>
    <row r="591" spans="1:11" s="16" customFormat="1" ht="11.25" customHeight="1" x14ac:dyDescent="0.2">
      <c r="A591" s="33"/>
      <c r="B591" s="86"/>
      <c r="C591" s="27"/>
      <c r="D591" s="693" t="s">
        <v>42</v>
      </c>
      <c r="E591" s="685">
        <v>3215837</v>
      </c>
      <c r="F591" s="685">
        <f>SUM(F592:F595)</f>
        <v>3185</v>
      </c>
      <c r="G591" s="685">
        <f>SUM(G592:G595)</f>
        <v>3185</v>
      </c>
      <c r="H591" s="94">
        <f>SUM(E591+F591-G591)</f>
        <v>3215837</v>
      </c>
      <c r="I591" s="96"/>
      <c r="J591" s="49"/>
      <c r="K591" s="49"/>
    </row>
    <row r="592" spans="1:11" s="16" customFormat="1" ht="12" customHeight="1" x14ac:dyDescent="0.2">
      <c r="A592" s="33"/>
      <c r="B592" s="86"/>
      <c r="C592" s="26">
        <v>4210</v>
      </c>
      <c r="D592" s="69" t="s">
        <v>59</v>
      </c>
      <c r="E592" s="45">
        <v>44866</v>
      </c>
      <c r="F592" s="42">
        <f>3185</f>
        <v>3185</v>
      </c>
      <c r="G592" s="42"/>
      <c r="H592" s="43">
        <f t="shared" ref="H592:H595" si="107">SUM(E592+F592-G592)</f>
        <v>48051</v>
      </c>
      <c r="I592" s="96"/>
      <c r="J592" s="49"/>
      <c r="K592" s="49"/>
    </row>
    <row r="593" spans="1:11" s="16" customFormat="1" ht="21.75" customHeight="1" x14ac:dyDescent="0.2">
      <c r="A593" s="33"/>
      <c r="B593" s="86"/>
      <c r="C593" s="64">
        <v>4390</v>
      </c>
      <c r="D593" s="65" t="s">
        <v>157</v>
      </c>
      <c r="E593" s="45">
        <v>1000</v>
      </c>
      <c r="F593" s="42"/>
      <c r="G593" s="42">
        <f>1000</f>
        <v>1000</v>
      </c>
      <c r="H593" s="43">
        <f t="shared" si="107"/>
        <v>0</v>
      </c>
      <c r="I593" s="96"/>
      <c r="J593" s="49"/>
      <c r="K593" s="49"/>
    </row>
    <row r="594" spans="1:11" s="16" customFormat="1" ht="12" customHeight="1" x14ac:dyDescent="0.2">
      <c r="A594" s="33"/>
      <c r="B594" s="86"/>
      <c r="C594" s="64">
        <v>4410</v>
      </c>
      <c r="D594" s="69" t="s">
        <v>70</v>
      </c>
      <c r="E594" s="45">
        <v>185</v>
      </c>
      <c r="F594" s="42"/>
      <c r="G594" s="42">
        <f>185</f>
        <v>185</v>
      </c>
      <c r="H594" s="43">
        <f t="shared" si="107"/>
        <v>0</v>
      </c>
      <c r="I594" s="96"/>
      <c r="J594" s="49"/>
      <c r="K594" s="49"/>
    </row>
    <row r="595" spans="1:11" s="16" customFormat="1" ht="12" customHeight="1" x14ac:dyDescent="0.2">
      <c r="A595" s="33"/>
      <c r="B595" s="86"/>
      <c r="C595" s="26">
        <v>4430</v>
      </c>
      <c r="D595" s="41" t="s">
        <v>136</v>
      </c>
      <c r="E595" s="45">
        <v>2414</v>
      </c>
      <c r="F595" s="42"/>
      <c r="G595" s="42">
        <f>2000</f>
        <v>2000</v>
      </c>
      <c r="H595" s="43">
        <f t="shared" si="107"/>
        <v>414</v>
      </c>
      <c r="I595" s="96"/>
      <c r="J595" s="49"/>
      <c r="K595" s="49"/>
    </row>
    <row r="596" spans="1:11" s="16" customFormat="1" ht="21.75" customHeight="1" x14ac:dyDescent="0.2">
      <c r="A596" s="33"/>
      <c r="B596" s="86"/>
      <c r="C596" s="27"/>
      <c r="D596" s="686" t="s">
        <v>174</v>
      </c>
      <c r="E596" s="685">
        <v>37036.43</v>
      </c>
      <c r="F596" s="685">
        <f>SUM(F597:F597)</f>
        <v>3180</v>
      </c>
      <c r="G596" s="685">
        <f>SUM(G597:G597)</f>
        <v>0</v>
      </c>
      <c r="H596" s="94">
        <f>SUM(E596+F596-G596)</f>
        <v>40216.43</v>
      </c>
      <c r="I596" s="96"/>
      <c r="J596" s="49"/>
      <c r="K596" s="49"/>
    </row>
    <row r="597" spans="1:11" s="16" customFormat="1" ht="22.5" customHeight="1" x14ac:dyDescent="0.2">
      <c r="A597" s="33"/>
      <c r="B597" s="86"/>
      <c r="C597" s="99" t="s">
        <v>175</v>
      </c>
      <c r="D597" s="68" t="s">
        <v>176</v>
      </c>
      <c r="E597" s="45">
        <v>30686.43</v>
      </c>
      <c r="F597" s="45">
        <v>3180</v>
      </c>
      <c r="G597" s="45"/>
      <c r="H597" s="43">
        <f t="shared" ref="H597" si="108">SUM(E597+F597-G597)</f>
        <v>33866.43</v>
      </c>
      <c r="I597" s="96"/>
      <c r="J597" s="49"/>
      <c r="K597" s="49"/>
    </row>
    <row r="598" spans="1:11" s="16" customFormat="1" ht="12" customHeight="1" x14ac:dyDescent="0.2">
      <c r="A598" s="33"/>
      <c r="B598" s="26">
        <v>85415</v>
      </c>
      <c r="C598" s="37"/>
      <c r="D598" s="38" t="s">
        <v>108</v>
      </c>
      <c r="E598" s="74">
        <v>750940</v>
      </c>
      <c r="F598" s="39">
        <f>SUM(F599,F601)</f>
        <v>34130</v>
      </c>
      <c r="G598" s="39">
        <f>SUM(G599,G601)</f>
        <v>3345</v>
      </c>
      <c r="H598" s="74">
        <f>SUM(E598+F598-G598)</f>
        <v>781725</v>
      </c>
      <c r="I598" s="96"/>
      <c r="J598" s="49"/>
      <c r="K598" s="49"/>
    </row>
    <row r="599" spans="1:11" s="16" customFormat="1" ht="12" customHeight="1" x14ac:dyDescent="0.2">
      <c r="A599" s="33"/>
      <c r="B599" s="37"/>
      <c r="C599" s="27"/>
      <c r="D599" s="693" t="s">
        <v>42</v>
      </c>
      <c r="E599" s="685">
        <v>80800</v>
      </c>
      <c r="F599" s="685">
        <f>SUM(F600)</f>
        <v>32935</v>
      </c>
      <c r="G599" s="685">
        <f>SUM(G600)</f>
        <v>3345</v>
      </c>
      <c r="H599" s="94">
        <f>SUM(E599+F599-G599)</f>
        <v>110390</v>
      </c>
      <c r="I599" s="96"/>
      <c r="J599" s="49"/>
      <c r="K599" s="49"/>
    </row>
    <row r="600" spans="1:11" s="16" customFormat="1" ht="12" customHeight="1" x14ac:dyDescent="0.2">
      <c r="A600" s="33"/>
      <c r="B600" s="56"/>
      <c r="C600" s="86">
        <v>3260</v>
      </c>
      <c r="D600" s="69" t="s">
        <v>246</v>
      </c>
      <c r="E600" s="45">
        <v>75400</v>
      </c>
      <c r="F600" s="45">
        <v>32935</v>
      </c>
      <c r="G600" s="45">
        <v>3345</v>
      </c>
      <c r="H600" s="44">
        <f>SUM(E600+F600-G600)</f>
        <v>104990</v>
      </c>
      <c r="I600" s="96"/>
      <c r="J600" s="49"/>
      <c r="K600" s="49"/>
    </row>
    <row r="601" spans="1:11" s="16" customFormat="1" ht="12" customHeight="1" x14ac:dyDescent="0.2">
      <c r="A601" s="33"/>
      <c r="B601" s="56"/>
      <c r="C601" s="57"/>
      <c r="D601" s="684" t="s">
        <v>56</v>
      </c>
      <c r="E601" s="94">
        <v>650140</v>
      </c>
      <c r="F601" s="94">
        <f>SUM(F602)</f>
        <v>1195</v>
      </c>
      <c r="G601" s="94">
        <f>SUM(G602)</f>
        <v>0</v>
      </c>
      <c r="H601" s="697">
        <f t="shared" ref="H601:H602" si="109">SUM(E601+F601-G601)</f>
        <v>651335</v>
      </c>
      <c r="I601" s="96"/>
      <c r="J601" s="49"/>
      <c r="K601" s="49"/>
    </row>
    <row r="602" spans="1:11" s="16" customFormat="1" ht="12" customHeight="1" x14ac:dyDescent="0.2">
      <c r="A602" s="33"/>
      <c r="B602" s="56"/>
      <c r="C602" s="86">
        <v>3260</v>
      </c>
      <c r="D602" s="69" t="s">
        <v>247</v>
      </c>
      <c r="E602" s="45">
        <v>50140</v>
      </c>
      <c r="F602" s="45">
        <v>1195</v>
      </c>
      <c r="G602" s="45"/>
      <c r="H602" s="44">
        <f t="shared" si="109"/>
        <v>51335</v>
      </c>
      <c r="I602" s="96"/>
      <c r="J602" s="49"/>
      <c r="K602" s="49"/>
    </row>
    <row r="603" spans="1:11" s="16" customFormat="1" ht="12" customHeight="1" x14ac:dyDescent="0.2">
      <c r="A603" s="33"/>
      <c r="B603" s="26">
        <v>85420</v>
      </c>
      <c r="C603" s="26"/>
      <c r="D603" s="63" t="s">
        <v>248</v>
      </c>
      <c r="E603" s="39">
        <v>6875134.2599999998</v>
      </c>
      <c r="F603" s="40">
        <f>SUM(F604,F608)</f>
        <v>8211</v>
      </c>
      <c r="G603" s="40">
        <f>SUM(G604,G608)</f>
        <v>4500</v>
      </c>
      <c r="H603" s="39">
        <f>SUM(E603+F603-G603)</f>
        <v>6878845.2599999998</v>
      </c>
      <c r="I603" s="96"/>
      <c r="J603" s="49"/>
      <c r="K603" s="49"/>
    </row>
    <row r="604" spans="1:11" s="16" customFormat="1" ht="12" customHeight="1" x14ac:dyDescent="0.2">
      <c r="A604" s="33"/>
      <c r="B604" s="37"/>
      <c r="C604" s="27"/>
      <c r="D604" s="693" t="s">
        <v>42</v>
      </c>
      <c r="E604" s="94">
        <v>6825134.2599999998</v>
      </c>
      <c r="F604" s="697">
        <f>SUM(F605:F607)</f>
        <v>4500</v>
      </c>
      <c r="G604" s="697">
        <f>SUM(G605:G607)</f>
        <v>4500</v>
      </c>
      <c r="H604" s="94">
        <f>SUM(E604+F604-G604)</f>
        <v>6825134.2599999998</v>
      </c>
      <c r="I604" s="96"/>
      <c r="J604" s="49"/>
      <c r="K604" s="49"/>
    </row>
    <row r="605" spans="1:11" s="16" customFormat="1" ht="12" customHeight="1" x14ac:dyDescent="0.2">
      <c r="A605" s="33"/>
      <c r="B605" s="37"/>
      <c r="C605" s="26">
        <v>3110</v>
      </c>
      <c r="D605" s="41" t="s">
        <v>235</v>
      </c>
      <c r="E605" s="43">
        <v>27560</v>
      </c>
      <c r="F605" s="42"/>
      <c r="G605" s="42">
        <f>4500</f>
        <v>4500</v>
      </c>
      <c r="H605" s="44">
        <f t="shared" ref="H605:H607" si="110">SUM(E605+F605-G605)</f>
        <v>23060</v>
      </c>
      <c r="I605" s="96"/>
      <c r="J605" s="49"/>
      <c r="K605" s="49"/>
    </row>
    <row r="606" spans="1:11" s="16" customFormat="1" ht="11.25" customHeight="1" x14ac:dyDescent="0.2">
      <c r="A606" s="33"/>
      <c r="B606" s="37"/>
      <c r="C606" s="64">
        <v>4230</v>
      </c>
      <c r="D606" s="166" t="s">
        <v>249</v>
      </c>
      <c r="E606" s="43">
        <v>20000</v>
      </c>
      <c r="F606" s="42">
        <f>3000</f>
        <v>3000</v>
      </c>
      <c r="G606" s="42"/>
      <c r="H606" s="44">
        <f t="shared" si="110"/>
        <v>23000</v>
      </c>
      <c r="I606" s="96"/>
      <c r="J606" s="49"/>
      <c r="K606" s="49"/>
    </row>
    <row r="607" spans="1:11" s="16" customFormat="1" ht="23.25" customHeight="1" x14ac:dyDescent="0.2">
      <c r="A607" s="33"/>
      <c r="B607" s="37"/>
      <c r="C607" s="64">
        <v>4700</v>
      </c>
      <c r="D607" s="68" t="s">
        <v>138</v>
      </c>
      <c r="E607" s="43">
        <v>2850</v>
      </c>
      <c r="F607" s="42">
        <f>1500</f>
        <v>1500</v>
      </c>
      <c r="G607" s="42"/>
      <c r="H607" s="44">
        <f t="shared" si="110"/>
        <v>4350</v>
      </c>
      <c r="I607" s="96"/>
      <c r="J607" s="49"/>
      <c r="K607" s="49"/>
    </row>
    <row r="608" spans="1:11" s="16" customFormat="1" ht="23.25" customHeight="1" x14ac:dyDescent="0.2">
      <c r="A608" s="33"/>
      <c r="B608" s="37"/>
      <c r="C608" s="27"/>
      <c r="D608" s="686" t="s">
        <v>174</v>
      </c>
      <c r="E608" s="685">
        <v>0</v>
      </c>
      <c r="F608" s="685">
        <f>SUM(F609:F609)</f>
        <v>3711</v>
      </c>
      <c r="G608" s="685">
        <f>SUM(G609:G609)</f>
        <v>0</v>
      </c>
      <c r="H608" s="94">
        <f>SUM(E608+F608-G608)</f>
        <v>3711</v>
      </c>
      <c r="I608" s="96"/>
      <c r="J608" s="49"/>
      <c r="K608" s="49"/>
    </row>
    <row r="609" spans="1:11" s="16" customFormat="1" ht="24" customHeight="1" x14ac:dyDescent="0.2">
      <c r="A609" s="33"/>
      <c r="B609" s="37"/>
      <c r="C609" s="99" t="s">
        <v>175</v>
      </c>
      <c r="D609" s="68" t="s">
        <v>176</v>
      </c>
      <c r="E609" s="45">
        <v>0</v>
      </c>
      <c r="F609" s="45">
        <v>3711</v>
      </c>
      <c r="G609" s="45"/>
      <c r="H609" s="43">
        <f t="shared" ref="H609" si="111">SUM(E609+F609-G609)</f>
        <v>3711</v>
      </c>
      <c r="I609" s="96"/>
      <c r="J609" s="49"/>
      <c r="K609" s="49"/>
    </row>
    <row r="610" spans="1:11" s="16" customFormat="1" ht="12" customHeight="1" thickBot="1" x14ac:dyDescent="0.25">
      <c r="A610" s="33">
        <v>855</v>
      </c>
      <c r="B610" s="33"/>
      <c r="C610" s="34"/>
      <c r="D610" s="35" t="s">
        <v>22</v>
      </c>
      <c r="E610" s="36">
        <v>53641860.979999997</v>
      </c>
      <c r="F610" s="36">
        <f>SUM(F611,F615,F620,F642)</f>
        <v>2857891</v>
      </c>
      <c r="G610" s="36">
        <f>SUM(G611,G615,G620,G642)</f>
        <v>2829570</v>
      </c>
      <c r="H610" s="36">
        <f>SUM(E610+F610-G610)</f>
        <v>53670181.979999997</v>
      </c>
      <c r="I610" s="96"/>
      <c r="J610" s="49"/>
      <c r="K610" s="49"/>
    </row>
    <row r="611" spans="1:11" s="16" customFormat="1" ht="33.75" customHeight="1" thickTop="1" x14ac:dyDescent="0.2">
      <c r="A611" s="33"/>
      <c r="B611" s="64">
        <v>85502</v>
      </c>
      <c r="C611" s="27"/>
      <c r="D611" s="123" t="s">
        <v>122</v>
      </c>
      <c r="E611" s="39">
        <v>1182689</v>
      </c>
      <c r="F611" s="40">
        <f>SUM(F612)</f>
        <v>289</v>
      </c>
      <c r="G611" s="40">
        <f>SUM(G612)</f>
        <v>289</v>
      </c>
      <c r="H611" s="39">
        <f>SUM(E611+F611-G611)</f>
        <v>1182689</v>
      </c>
      <c r="I611" s="96"/>
      <c r="J611" s="49"/>
      <c r="K611" s="49"/>
    </row>
    <row r="612" spans="1:11" s="16" customFormat="1" ht="12" customHeight="1" x14ac:dyDescent="0.2">
      <c r="A612" s="33"/>
      <c r="B612" s="33"/>
      <c r="C612" s="57"/>
      <c r="D612" s="689" t="s">
        <v>64</v>
      </c>
      <c r="E612" s="94">
        <v>924848</v>
      </c>
      <c r="F612" s="687">
        <f>SUM(F613:F614)</f>
        <v>289</v>
      </c>
      <c r="G612" s="687">
        <f>SUM(G613:G614)</f>
        <v>289</v>
      </c>
      <c r="H612" s="94">
        <f t="shared" ref="H612:H641" si="112">SUM(E612+F612-G612)</f>
        <v>924848</v>
      </c>
      <c r="I612" s="96"/>
      <c r="J612" s="49"/>
      <c r="K612" s="49"/>
    </row>
    <row r="613" spans="1:11" s="16" customFormat="1" ht="12" customHeight="1" x14ac:dyDescent="0.2">
      <c r="A613" s="113"/>
      <c r="B613" s="72"/>
      <c r="C613" s="73">
        <v>4280</v>
      </c>
      <c r="D613" s="38" t="s">
        <v>170</v>
      </c>
      <c r="E613" s="130">
        <v>2520</v>
      </c>
      <c r="F613" s="74">
        <v>289</v>
      </c>
      <c r="G613" s="130"/>
      <c r="H613" s="39">
        <f t="shared" si="112"/>
        <v>2809</v>
      </c>
      <c r="I613" s="96"/>
      <c r="J613" s="49"/>
      <c r="K613" s="49"/>
    </row>
    <row r="614" spans="1:11" s="16" customFormat="1" ht="22.5" customHeight="1" x14ac:dyDescent="0.2">
      <c r="A614" s="33"/>
      <c r="B614" s="37"/>
      <c r="C614" s="64">
        <v>4700</v>
      </c>
      <c r="D614" s="68" t="s">
        <v>138</v>
      </c>
      <c r="E614" s="42">
        <v>15510</v>
      </c>
      <c r="F614" s="45"/>
      <c r="G614" s="42">
        <v>289</v>
      </c>
      <c r="H614" s="43">
        <f t="shared" si="112"/>
        <v>15221</v>
      </c>
      <c r="I614" s="96"/>
      <c r="J614" s="49"/>
      <c r="K614" s="49"/>
    </row>
    <row r="615" spans="1:11" s="16" customFormat="1" ht="12" customHeight="1" x14ac:dyDescent="0.2">
      <c r="A615" s="33"/>
      <c r="B615" s="26">
        <v>85508</v>
      </c>
      <c r="C615" s="103"/>
      <c r="D615" s="167" t="s">
        <v>250</v>
      </c>
      <c r="E615" s="74">
        <v>3886934</v>
      </c>
      <c r="F615" s="39">
        <f>SUM(F617)</f>
        <v>169</v>
      </c>
      <c r="G615" s="39">
        <f>SUM(G617)</f>
        <v>169</v>
      </c>
      <c r="H615" s="39">
        <f t="shared" si="112"/>
        <v>3886934</v>
      </c>
      <c r="I615" s="96"/>
      <c r="J615" s="49"/>
      <c r="K615" s="49"/>
    </row>
    <row r="616" spans="1:11" s="16" customFormat="1" ht="12" customHeight="1" x14ac:dyDescent="0.2">
      <c r="A616" s="33"/>
      <c r="B616" s="33"/>
      <c r="C616" s="26"/>
      <c r="D616" s="69" t="s">
        <v>251</v>
      </c>
      <c r="E616" s="45"/>
      <c r="F616" s="44"/>
      <c r="G616" s="44"/>
      <c r="H616" s="44"/>
      <c r="I616" s="96"/>
      <c r="J616" s="49"/>
      <c r="K616" s="49"/>
    </row>
    <row r="617" spans="1:11" s="16" customFormat="1" ht="12" customHeight="1" x14ac:dyDescent="0.2">
      <c r="A617" s="33"/>
      <c r="B617" s="33"/>
      <c r="C617" s="86"/>
      <c r="D617" s="695" t="s">
        <v>252</v>
      </c>
      <c r="E617" s="685">
        <v>655713</v>
      </c>
      <c r="F617" s="687">
        <f>SUM(F618:F619)</f>
        <v>169</v>
      </c>
      <c r="G617" s="687">
        <f>SUM(G618:G619)</f>
        <v>169</v>
      </c>
      <c r="H617" s="94">
        <f t="shared" ref="H617:H619" si="113">SUM(E617+F617-G617)</f>
        <v>655713</v>
      </c>
      <c r="I617" s="96"/>
      <c r="J617" s="49"/>
      <c r="K617" s="49"/>
    </row>
    <row r="618" spans="1:11" s="16" customFormat="1" ht="12" customHeight="1" x14ac:dyDescent="0.2">
      <c r="A618" s="33"/>
      <c r="B618" s="33"/>
      <c r="C618" s="26">
        <v>4280</v>
      </c>
      <c r="D618" s="41" t="s">
        <v>170</v>
      </c>
      <c r="E618" s="45">
        <v>540</v>
      </c>
      <c r="F618" s="44">
        <v>169</v>
      </c>
      <c r="G618" s="44"/>
      <c r="H618" s="44">
        <f t="shared" si="113"/>
        <v>709</v>
      </c>
      <c r="I618" s="96"/>
      <c r="J618" s="49"/>
      <c r="K618" s="49"/>
    </row>
    <row r="619" spans="1:11" s="16" customFormat="1" ht="24" customHeight="1" x14ac:dyDescent="0.2">
      <c r="A619" s="33"/>
      <c r="B619" s="33"/>
      <c r="C619" s="64">
        <v>4700</v>
      </c>
      <c r="D619" s="68" t="s">
        <v>138</v>
      </c>
      <c r="E619" s="45">
        <v>5440</v>
      </c>
      <c r="F619" s="44"/>
      <c r="G619" s="44">
        <v>169</v>
      </c>
      <c r="H619" s="44">
        <f t="shared" si="113"/>
        <v>5271</v>
      </c>
      <c r="I619" s="96"/>
      <c r="J619" s="49"/>
      <c r="K619" s="49"/>
    </row>
    <row r="620" spans="1:11" s="16" customFormat="1" ht="12" customHeight="1" x14ac:dyDescent="0.2">
      <c r="A620" s="33"/>
      <c r="B620" s="37">
        <v>85510</v>
      </c>
      <c r="C620" s="26"/>
      <c r="D620" s="38" t="s">
        <v>253</v>
      </c>
      <c r="E620" s="74">
        <v>38138415.759999998</v>
      </c>
      <c r="F620" s="39">
        <f>SUM(F621,F636,F639)</f>
        <v>2815112</v>
      </c>
      <c r="G620" s="39">
        <f>SUM(G621,G636,G639)</f>
        <v>2815112</v>
      </c>
      <c r="H620" s="39">
        <f t="shared" si="112"/>
        <v>38138415.759999998</v>
      </c>
      <c r="I620" s="96"/>
      <c r="J620" s="49"/>
      <c r="K620" s="49"/>
    </row>
    <row r="621" spans="1:11" s="16" customFormat="1" ht="12" customHeight="1" x14ac:dyDescent="0.2">
      <c r="A621" s="33"/>
      <c r="B621" s="37"/>
      <c r="C621" s="27"/>
      <c r="D621" s="708" t="s">
        <v>254</v>
      </c>
      <c r="E621" s="94">
        <v>4276245</v>
      </c>
      <c r="F621" s="697">
        <f>SUM(F622:F635)</f>
        <v>62712</v>
      </c>
      <c r="G621" s="697">
        <f>SUM(G622:G635)</f>
        <v>62712</v>
      </c>
      <c r="H621" s="94">
        <f t="shared" si="112"/>
        <v>4276245</v>
      </c>
      <c r="I621" s="96"/>
      <c r="J621" s="49"/>
      <c r="K621" s="49"/>
    </row>
    <row r="622" spans="1:11" s="16" customFormat="1" ht="12" customHeight="1" x14ac:dyDescent="0.2">
      <c r="A622" s="33"/>
      <c r="B622" s="37"/>
      <c r="C622" s="26">
        <v>3020</v>
      </c>
      <c r="D622" s="41" t="s">
        <v>167</v>
      </c>
      <c r="E622" s="45">
        <v>4500</v>
      </c>
      <c r="F622" s="42"/>
      <c r="G622" s="42">
        <v>2486</v>
      </c>
      <c r="H622" s="42">
        <f t="shared" si="112"/>
        <v>2014</v>
      </c>
      <c r="I622" s="96"/>
      <c r="J622" s="49"/>
      <c r="K622" s="49"/>
    </row>
    <row r="623" spans="1:11" s="16" customFormat="1" ht="12" customHeight="1" x14ac:dyDescent="0.2">
      <c r="A623" s="33"/>
      <c r="B623" s="37"/>
      <c r="C623" s="26">
        <v>3110</v>
      </c>
      <c r="D623" s="41" t="s">
        <v>235</v>
      </c>
      <c r="E623" s="45">
        <v>45360</v>
      </c>
      <c r="F623" s="42"/>
      <c r="G623" s="42">
        <v>13037</v>
      </c>
      <c r="H623" s="42">
        <f t="shared" si="112"/>
        <v>32323</v>
      </c>
      <c r="I623" s="96"/>
      <c r="J623" s="49"/>
      <c r="K623" s="49"/>
    </row>
    <row r="624" spans="1:11" s="16" customFormat="1" ht="12" customHeight="1" x14ac:dyDescent="0.2">
      <c r="A624" s="33"/>
      <c r="B624" s="37"/>
      <c r="C624" s="57" t="s">
        <v>58</v>
      </c>
      <c r="D624" s="69" t="s">
        <v>59</v>
      </c>
      <c r="E624" s="45">
        <v>125749</v>
      </c>
      <c r="F624" s="42">
        <v>30000</v>
      </c>
      <c r="G624" s="42"/>
      <c r="H624" s="42">
        <f t="shared" si="112"/>
        <v>155749</v>
      </c>
      <c r="I624" s="96"/>
      <c r="J624" s="49"/>
      <c r="K624" s="49"/>
    </row>
    <row r="625" spans="1:11" s="16" customFormat="1" ht="12" customHeight="1" x14ac:dyDescent="0.2">
      <c r="A625" s="33"/>
      <c r="B625" s="37"/>
      <c r="C625" s="26">
        <v>4240</v>
      </c>
      <c r="D625" s="41" t="s">
        <v>169</v>
      </c>
      <c r="E625" s="45">
        <v>8400</v>
      </c>
      <c r="F625" s="42"/>
      <c r="G625" s="42">
        <v>3004</v>
      </c>
      <c r="H625" s="42">
        <f t="shared" si="112"/>
        <v>5396</v>
      </c>
      <c r="I625" s="96"/>
      <c r="J625" s="49"/>
      <c r="K625" s="49"/>
    </row>
    <row r="626" spans="1:11" s="16" customFormat="1" ht="12" customHeight="1" x14ac:dyDescent="0.2">
      <c r="A626" s="33"/>
      <c r="B626" s="37"/>
      <c r="C626" s="26">
        <v>4260</v>
      </c>
      <c r="D626" s="41" t="s">
        <v>143</v>
      </c>
      <c r="E626" s="45">
        <v>193502</v>
      </c>
      <c r="F626" s="42"/>
      <c r="G626" s="42">
        <v>30000</v>
      </c>
      <c r="H626" s="42">
        <f t="shared" si="112"/>
        <v>163502</v>
      </c>
      <c r="I626" s="96"/>
      <c r="J626" s="49"/>
      <c r="K626" s="49"/>
    </row>
    <row r="627" spans="1:11" s="16" customFormat="1" ht="12" customHeight="1" x14ac:dyDescent="0.2">
      <c r="A627" s="33"/>
      <c r="B627" s="37"/>
      <c r="C627" s="26">
        <v>4280</v>
      </c>
      <c r="D627" s="41" t="s">
        <v>170</v>
      </c>
      <c r="E627" s="45">
        <v>6085</v>
      </c>
      <c r="F627" s="42">
        <v>2000</v>
      </c>
      <c r="G627" s="42"/>
      <c r="H627" s="42">
        <f t="shared" si="112"/>
        <v>8085</v>
      </c>
      <c r="I627" s="96"/>
      <c r="J627" s="49"/>
      <c r="K627" s="49"/>
    </row>
    <row r="628" spans="1:11" s="16" customFormat="1" ht="12" customHeight="1" x14ac:dyDescent="0.2">
      <c r="A628" s="33"/>
      <c r="B628" s="37"/>
      <c r="C628" s="26">
        <v>4300</v>
      </c>
      <c r="D628" s="41" t="s">
        <v>16</v>
      </c>
      <c r="E628" s="45">
        <v>309863</v>
      </c>
      <c r="F628" s="42">
        <v>30712</v>
      </c>
      <c r="G628" s="42"/>
      <c r="H628" s="42">
        <f t="shared" si="112"/>
        <v>340575</v>
      </c>
      <c r="I628" s="96"/>
      <c r="J628" s="49"/>
      <c r="K628" s="49"/>
    </row>
    <row r="629" spans="1:11" s="16" customFormat="1" ht="12" customHeight="1" x14ac:dyDescent="0.2">
      <c r="A629" s="33"/>
      <c r="B629" s="37"/>
      <c r="C629" s="26">
        <v>4360</v>
      </c>
      <c r="D629" s="41" t="s">
        <v>185</v>
      </c>
      <c r="E629" s="45">
        <v>9158</v>
      </c>
      <c r="F629" s="42"/>
      <c r="G629" s="42">
        <v>2300</v>
      </c>
      <c r="H629" s="42">
        <f t="shared" si="112"/>
        <v>6858</v>
      </c>
      <c r="I629" s="96"/>
      <c r="J629" s="49"/>
      <c r="K629" s="49"/>
    </row>
    <row r="630" spans="1:11" s="16" customFormat="1" ht="12" customHeight="1" x14ac:dyDescent="0.2">
      <c r="A630" s="33"/>
      <c r="B630" s="37"/>
      <c r="C630" s="26">
        <v>4380</v>
      </c>
      <c r="D630" s="69" t="s">
        <v>255</v>
      </c>
      <c r="E630" s="45">
        <v>78</v>
      </c>
      <c r="F630" s="42"/>
      <c r="G630" s="42">
        <v>78</v>
      </c>
      <c r="H630" s="42">
        <f t="shared" si="112"/>
        <v>0</v>
      </c>
      <c r="I630" s="96"/>
      <c r="J630" s="49"/>
      <c r="K630" s="49"/>
    </row>
    <row r="631" spans="1:11" s="16" customFormat="1" ht="21" customHeight="1" x14ac:dyDescent="0.2">
      <c r="A631" s="33"/>
      <c r="B631" s="37"/>
      <c r="C631" s="64">
        <v>4390</v>
      </c>
      <c r="D631" s="65" t="s">
        <v>157</v>
      </c>
      <c r="E631" s="45">
        <v>3040</v>
      </c>
      <c r="F631" s="42"/>
      <c r="G631" s="42">
        <v>1180</v>
      </c>
      <c r="H631" s="42">
        <f t="shared" si="112"/>
        <v>1860</v>
      </c>
      <c r="I631" s="96"/>
      <c r="J631" s="49"/>
      <c r="K631" s="49"/>
    </row>
    <row r="632" spans="1:11" s="16" customFormat="1" ht="12" customHeight="1" x14ac:dyDescent="0.2">
      <c r="A632" s="33"/>
      <c r="B632" s="37"/>
      <c r="C632" s="26">
        <v>4510</v>
      </c>
      <c r="D632" s="41" t="s">
        <v>193</v>
      </c>
      <c r="E632" s="45">
        <v>385</v>
      </c>
      <c r="F632" s="42"/>
      <c r="G632" s="42">
        <v>385</v>
      </c>
      <c r="H632" s="42">
        <f t="shared" si="112"/>
        <v>0</v>
      </c>
      <c r="I632" s="96"/>
      <c r="J632" s="49"/>
      <c r="K632" s="49"/>
    </row>
    <row r="633" spans="1:11" s="16" customFormat="1" ht="12" customHeight="1" x14ac:dyDescent="0.2">
      <c r="A633" s="33"/>
      <c r="B633" s="37"/>
      <c r="C633" s="64">
        <v>4520</v>
      </c>
      <c r="D633" s="112" t="s">
        <v>256</v>
      </c>
      <c r="E633" s="45">
        <v>23085</v>
      </c>
      <c r="F633" s="42"/>
      <c r="G633" s="42">
        <v>6164</v>
      </c>
      <c r="H633" s="42">
        <f t="shared" si="112"/>
        <v>16921</v>
      </c>
      <c r="I633" s="96"/>
      <c r="J633" s="49"/>
      <c r="K633" s="49"/>
    </row>
    <row r="634" spans="1:11" s="16" customFormat="1" ht="12" customHeight="1" x14ac:dyDescent="0.2">
      <c r="A634" s="33"/>
      <c r="B634" s="37"/>
      <c r="C634" s="26">
        <v>4610</v>
      </c>
      <c r="D634" s="134" t="s">
        <v>132</v>
      </c>
      <c r="E634" s="45">
        <v>78</v>
      </c>
      <c r="F634" s="42"/>
      <c r="G634" s="42">
        <v>78</v>
      </c>
      <c r="H634" s="42">
        <f t="shared" si="112"/>
        <v>0</v>
      </c>
      <c r="I634" s="96"/>
      <c r="J634" s="49"/>
      <c r="K634" s="49"/>
    </row>
    <row r="635" spans="1:11" s="16" customFormat="1" ht="21.6" customHeight="1" x14ac:dyDescent="0.2">
      <c r="A635" s="33"/>
      <c r="B635" s="37"/>
      <c r="C635" s="64">
        <v>4700</v>
      </c>
      <c r="D635" s="68" t="s">
        <v>138</v>
      </c>
      <c r="E635" s="45">
        <v>15865</v>
      </c>
      <c r="F635" s="42"/>
      <c r="G635" s="42">
        <v>4000</v>
      </c>
      <c r="H635" s="42">
        <f t="shared" si="112"/>
        <v>11865</v>
      </c>
      <c r="I635" s="96"/>
      <c r="J635" s="49"/>
      <c r="K635" s="49"/>
    </row>
    <row r="636" spans="1:11" s="16" customFormat="1" ht="12" customHeight="1" x14ac:dyDescent="0.2">
      <c r="A636" s="33"/>
      <c r="B636" s="37"/>
      <c r="C636" s="27"/>
      <c r="D636" s="709" t="s">
        <v>257</v>
      </c>
      <c r="E636" s="94">
        <v>1962413.76</v>
      </c>
      <c r="F636" s="697">
        <f>SUM(F637:F638)</f>
        <v>900</v>
      </c>
      <c r="G636" s="697">
        <f>SUM(G637:G638)</f>
        <v>900</v>
      </c>
      <c r="H636" s="94">
        <f t="shared" si="112"/>
        <v>1962413.76</v>
      </c>
      <c r="I636" s="96"/>
      <c r="J636" s="49"/>
      <c r="K636" s="49"/>
    </row>
    <row r="637" spans="1:11" s="16" customFormat="1" ht="12" customHeight="1" x14ac:dyDescent="0.2">
      <c r="A637" s="33"/>
      <c r="B637" s="37"/>
      <c r="C637" s="26">
        <v>4360</v>
      </c>
      <c r="D637" s="41" t="s">
        <v>185</v>
      </c>
      <c r="E637" s="45">
        <v>2610</v>
      </c>
      <c r="F637" s="42">
        <v>900</v>
      </c>
      <c r="G637" s="42"/>
      <c r="H637" s="42">
        <f t="shared" si="112"/>
        <v>3510</v>
      </c>
      <c r="I637" s="96"/>
      <c r="J637" s="49"/>
      <c r="K637" s="49"/>
    </row>
    <row r="638" spans="1:11" s="16" customFormat="1" ht="12" customHeight="1" x14ac:dyDescent="0.2">
      <c r="A638" s="33"/>
      <c r="B638" s="37"/>
      <c r="C638" s="99" t="s">
        <v>258</v>
      </c>
      <c r="D638" s="69" t="s">
        <v>39</v>
      </c>
      <c r="E638" s="45">
        <v>3640</v>
      </c>
      <c r="F638" s="42"/>
      <c r="G638" s="42">
        <v>900</v>
      </c>
      <c r="H638" s="42">
        <f t="shared" si="112"/>
        <v>2740</v>
      </c>
      <c r="I638" s="96"/>
      <c r="J638" s="49"/>
      <c r="K638" s="49"/>
    </row>
    <row r="639" spans="1:11" s="16" customFormat="1" ht="12" customHeight="1" x14ac:dyDescent="0.2">
      <c r="A639" s="33"/>
      <c r="B639" s="37"/>
      <c r="C639" s="27"/>
      <c r="D639" s="705" t="s">
        <v>223</v>
      </c>
      <c r="E639" s="94">
        <v>2751500</v>
      </c>
      <c r="F639" s="697">
        <f>SUM(F640:F641)</f>
        <v>2751500</v>
      </c>
      <c r="G639" s="697">
        <f>SUM(G640:G641)</f>
        <v>2751500</v>
      </c>
      <c r="H639" s="685">
        <f t="shared" si="112"/>
        <v>2751500</v>
      </c>
      <c r="I639" s="96"/>
      <c r="J639" s="49"/>
      <c r="K639" s="49"/>
    </row>
    <row r="640" spans="1:11" s="16" customFormat="1" ht="45.75" customHeight="1" x14ac:dyDescent="0.2">
      <c r="A640" s="33"/>
      <c r="B640" s="37"/>
      <c r="C640" s="99" t="s">
        <v>224</v>
      </c>
      <c r="D640" s="68" t="s">
        <v>225</v>
      </c>
      <c r="E640" s="45">
        <v>0</v>
      </c>
      <c r="F640" s="42">
        <v>2751500</v>
      </c>
      <c r="G640" s="42"/>
      <c r="H640" s="44">
        <f t="shared" si="112"/>
        <v>2751500</v>
      </c>
      <c r="I640" s="96"/>
      <c r="J640" s="49"/>
      <c r="K640" s="49"/>
    </row>
    <row r="641" spans="1:11" s="16" customFormat="1" ht="33" customHeight="1" x14ac:dyDescent="0.2">
      <c r="A641" s="33"/>
      <c r="B641" s="37"/>
      <c r="C641" s="64">
        <v>2830</v>
      </c>
      <c r="D641" s="112" t="s">
        <v>166</v>
      </c>
      <c r="E641" s="42">
        <v>2751500</v>
      </c>
      <c r="F641" s="42"/>
      <c r="G641" s="42">
        <v>2751500</v>
      </c>
      <c r="H641" s="44">
        <f t="shared" si="112"/>
        <v>0</v>
      </c>
      <c r="I641" s="96"/>
      <c r="J641" s="49"/>
      <c r="K641" s="49"/>
    </row>
    <row r="642" spans="1:11" s="16" customFormat="1" ht="12" customHeight="1" x14ac:dyDescent="0.2">
      <c r="A642" s="33"/>
      <c r="B642" s="64">
        <v>85595</v>
      </c>
      <c r="C642" s="27"/>
      <c r="D642" s="84" t="s">
        <v>15</v>
      </c>
      <c r="E642" s="39">
        <v>621452.22</v>
      </c>
      <c r="F642" s="40">
        <f>SUM(F643,F646)</f>
        <v>42321</v>
      </c>
      <c r="G642" s="40">
        <f>SUM(G643,G646)</f>
        <v>14000</v>
      </c>
      <c r="H642" s="39">
        <f>SUM(E642+F642-G642)</f>
        <v>649773.22</v>
      </c>
      <c r="I642" s="96"/>
      <c r="J642" s="49"/>
      <c r="K642" s="49"/>
    </row>
    <row r="643" spans="1:11" s="16" customFormat="1" ht="12" customHeight="1" x14ac:dyDescent="0.2">
      <c r="A643" s="33"/>
      <c r="B643" s="64"/>
      <c r="C643" s="27"/>
      <c r="D643" s="709" t="s">
        <v>259</v>
      </c>
      <c r="E643" s="94">
        <v>77000</v>
      </c>
      <c r="F643" s="697">
        <f>SUM(F644:F645)</f>
        <v>14000</v>
      </c>
      <c r="G643" s="697">
        <f>SUM(G644:G645)</f>
        <v>14000</v>
      </c>
      <c r="H643" s="94">
        <f t="shared" ref="H643:H674" si="114">SUM(E643+F643-G643)</f>
        <v>77000</v>
      </c>
      <c r="I643" s="96"/>
      <c r="J643" s="49"/>
      <c r="K643" s="49"/>
    </row>
    <row r="644" spans="1:11" s="16" customFormat="1" ht="12" customHeight="1" x14ac:dyDescent="0.2">
      <c r="A644" s="33"/>
      <c r="B644" s="64"/>
      <c r="C644" s="76">
        <v>4210</v>
      </c>
      <c r="D644" s="75" t="s">
        <v>215</v>
      </c>
      <c r="E644" s="45">
        <v>26184</v>
      </c>
      <c r="F644" s="42"/>
      <c r="G644" s="42">
        <v>14000</v>
      </c>
      <c r="H644" s="42">
        <f t="shared" si="114"/>
        <v>12184</v>
      </c>
      <c r="I644" s="96"/>
      <c r="J644" s="49"/>
      <c r="K644" s="49"/>
    </row>
    <row r="645" spans="1:11" s="16" customFormat="1" ht="12" customHeight="1" x14ac:dyDescent="0.2">
      <c r="A645" s="33"/>
      <c r="B645" s="64"/>
      <c r="C645" s="26">
        <v>4300</v>
      </c>
      <c r="D645" s="41" t="s">
        <v>16</v>
      </c>
      <c r="E645" s="45">
        <v>47295</v>
      </c>
      <c r="F645" s="42">
        <v>14000</v>
      </c>
      <c r="G645" s="42"/>
      <c r="H645" s="42">
        <f t="shared" si="114"/>
        <v>61295</v>
      </c>
      <c r="I645" s="96"/>
      <c r="J645" s="49"/>
      <c r="K645" s="49"/>
    </row>
    <row r="646" spans="1:11" s="16" customFormat="1" ht="24" customHeight="1" x14ac:dyDescent="0.2">
      <c r="A646" s="33"/>
      <c r="B646" s="37"/>
      <c r="C646" s="57"/>
      <c r="D646" s="689" t="s">
        <v>260</v>
      </c>
      <c r="E646" s="94">
        <v>190008</v>
      </c>
      <c r="F646" s="687">
        <f>SUM(F647:F649)</f>
        <v>28321</v>
      </c>
      <c r="G646" s="687">
        <f>SUM(G647:G649)</f>
        <v>0</v>
      </c>
      <c r="H646" s="94">
        <f t="shared" si="114"/>
        <v>218329</v>
      </c>
      <c r="I646" s="97"/>
      <c r="J646" s="49"/>
      <c r="K646" s="49"/>
    </row>
    <row r="647" spans="1:11" s="16" customFormat="1" ht="22.5" customHeight="1" x14ac:dyDescent="0.2">
      <c r="A647" s="33"/>
      <c r="B647" s="37"/>
      <c r="C647" s="64">
        <v>3290</v>
      </c>
      <c r="D647" s="65" t="s">
        <v>237</v>
      </c>
      <c r="E647" s="43">
        <v>185654</v>
      </c>
      <c r="F647" s="43">
        <v>27702</v>
      </c>
      <c r="G647" s="44"/>
      <c r="H647" s="43">
        <f t="shared" si="114"/>
        <v>213356</v>
      </c>
      <c r="I647" s="96"/>
      <c r="J647" s="49"/>
      <c r="K647" s="49"/>
    </row>
    <row r="648" spans="1:11" s="16" customFormat="1" ht="22.5" customHeight="1" x14ac:dyDescent="0.2">
      <c r="A648" s="33"/>
      <c r="B648" s="37"/>
      <c r="C648" s="64">
        <v>4740</v>
      </c>
      <c r="D648" s="65" t="s">
        <v>261</v>
      </c>
      <c r="E648" s="42">
        <v>3630</v>
      </c>
      <c r="F648" s="45">
        <v>516</v>
      </c>
      <c r="G648" s="42"/>
      <c r="H648" s="43">
        <f t="shared" si="114"/>
        <v>4146</v>
      </c>
      <c r="I648" s="96"/>
      <c r="J648" s="49"/>
      <c r="K648" s="49"/>
    </row>
    <row r="649" spans="1:11" s="16" customFormat="1" ht="21.75" customHeight="1" x14ac:dyDescent="0.2">
      <c r="A649" s="33"/>
      <c r="B649" s="37"/>
      <c r="C649" s="64">
        <v>4850</v>
      </c>
      <c r="D649" s="65" t="s">
        <v>178</v>
      </c>
      <c r="E649" s="42">
        <v>724</v>
      </c>
      <c r="F649" s="45">
        <v>103</v>
      </c>
      <c r="G649" s="42"/>
      <c r="H649" s="43">
        <f t="shared" si="114"/>
        <v>827</v>
      </c>
      <c r="I649" s="96"/>
      <c r="J649" s="49"/>
      <c r="K649" s="49"/>
    </row>
    <row r="650" spans="1:11" s="16" customFormat="1" ht="12" customHeight="1" thickBot="1" x14ac:dyDescent="0.25">
      <c r="A650" s="32">
        <v>900</v>
      </c>
      <c r="B650" s="33"/>
      <c r="C650" s="34"/>
      <c r="D650" s="35" t="s">
        <v>262</v>
      </c>
      <c r="E650" s="31">
        <v>81714040</v>
      </c>
      <c r="F650" s="36">
        <f>SUM(F651,F655)</f>
        <v>45250</v>
      </c>
      <c r="G650" s="36">
        <f>SUM(G651,G655)</f>
        <v>45250</v>
      </c>
      <c r="H650" s="31">
        <f t="shared" si="114"/>
        <v>81714040</v>
      </c>
      <c r="I650" s="96"/>
      <c r="J650" s="49"/>
      <c r="K650" s="49"/>
    </row>
    <row r="651" spans="1:11" s="16" customFormat="1" ht="12" customHeight="1" thickTop="1" x14ac:dyDescent="0.2">
      <c r="A651" s="32"/>
      <c r="B651" s="86">
        <v>90003</v>
      </c>
      <c r="C651" s="80"/>
      <c r="D651" s="81" t="s">
        <v>263</v>
      </c>
      <c r="E651" s="39">
        <v>1135800</v>
      </c>
      <c r="F651" s="39">
        <f>SUM(F652)</f>
        <v>3000</v>
      </c>
      <c r="G651" s="39">
        <f>SUM(G652)</f>
        <v>23000</v>
      </c>
      <c r="H651" s="39">
        <f t="shared" si="114"/>
        <v>1115800</v>
      </c>
      <c r="I651" s="96"/>
      <c r="J651" s="49"/>
      <c r="K651" s="49"/>
    </row>
    <row r="652" spans="1:11" s="16" customFormat="1" ht="12" customHeight="1" x14ac:dyDescent="0.2">
      <c r="A652" s="32"/>
      <c r="B652" s="37"/>
      <c r="C652" s="26"/>
      <c r="D652" s="689" t="s">
        <v>264</v>
      </c>
      <c r="E652" s="685">
        <v>1115800</v>
      </c>
      <c r="F652" s="685">
        <f>SUM(F653:F654)</f>
        <v>3000</v>
      </c>
      <c r="G652" s="685">
        <f>SUM(G653:G654)</f>
        <v>23000</v>
      </c>
      <c r="H652" s="685">
        <f t="shared" si="114"/>
        <v>1095800</v>
      </c>
      <c r="I652" s="96"/>
      <c r="J652" s="49"/>
      <c r="K652" s="49"/>
    </row>
    <row r="653" spans="1:11" s="16" customFormat="1" ht="12" customHeight="1" x14ac:dyDescent="0.2">
      <c r="A653" s="32"/>
      <c r="B653" s="37"/>
      <c r="C653" s="26">
        <v>4270</v>
      </c>
      <c r="D653" s="90" t="s">
        <v>60</v>
      </c>
      <c r="E653" s="168">
        <v>25000</v>
      </c>
      <c r="F653" s="44">
        <v>3000</v>
      </c>
      <c r="G653" s="44"/>
      <c r="H653" s="44">
        <f t="shared" si="114"/>
        <v>28000</v>
      </c>
      <c r="I653" s="96"/>
      <c r="J653" s="49"/>
      <c r="K653" s="49"/>
    </row>
    <row r="654" spans="1:11" s="16" customFormat="1" ht="12" customHeight="1" x14ac:dyDescent="0.2">
      <c r="A654" s="32"/>
      <c r="B654" s="37"/>
      <c r="C654" s="86">
        <v>4300</v>
      </c>
      <c r="D654" s="69" t="s">
        <v>16</v>
      </c>
      <c r="E654" s="45">
        <v>320000</v>
      </c>
      <c r="F654" s="42"/>
      <c r="G654" s="42">
        <f>20000+3000</f>
        <v>23000</v>
      </c>
      <c r="H654" s="45">
        <f t="shared" si="114"/>
        <v>297000</v>
      </c>
      <c r="I654" s="96"/>
      <c r="J654" s="49"/>
      <c r="K654" s="49"/>
    </row>
    <row r="655" spans="1:11" s="16" customFormat="1" ht="12" customHeight="1" x14ac:dyDescent="0.2">
      <c r="A655" s="33"/>
      <c r="B655" s="37">
        <v>90095</v>
      </c>
      <c r="C655" s="34"/>
      <c r="D655" s="84" t="s">
        <v>15</v>
      </c>
      <c r="E655" s="39">
        <v>30051228.969999999</v>
      </c>
      <c r="F655" s="39">
        <f>SUM(F656)</f>
        <v>42250</v>
      </c>
      <c r="G655" s="39">
        <f>SUM(G656)</f>
        <v>22250</v>
      </c>
      <c r="H655" s="39">
        <f t="shared" si="114"/>
        <v>30071228.969999999</v>
      </c>
      <c r="I655" s="96"/>
      <c r="J655" s="49"/>
      <c r="K655" s="49"/>
    </row>
    <row r="656" spans="1:11" s="16" customFormat="1" ht="12" customHeight="1" x14ac:dyDescent="0.2">
      <c r="A656" s="33"/>
      <c r="B656" s="37"/>
      <c r="C656" s="26"/>
      <c r="D656" s="684" t="s">
        <v>264</v>
      </c>
      <c r="E656" s="685">
        <v>9577417</v>
      </c>
      <c r="F656" s="687">
        <f>SUM(F657:F661)</f>
        <v>42250</v>
      </c>
      <c r="G656" s="687">
        <f>SUM(G657:G661)</f>
        <v>22250</v>
      </c>
      <c r="H656" s="94">
        <f t="shared" si="114"/>
        <v>9597417</v>
      </c>
      <c r="I656" s="96"/>
      <c r="J656" s="49"/>
      <c r="K656" s="49"/>
    </row>
    <row r="657" spans="1:11" s="16" customFormat="1" ht="20.45" customHeight="1" x14ac:dyDescent="0.2">
      <c r="A657" s="33"/>
      <c r="B657" s="37"/>
      <c r="C657" s="67">
        <v>4140</v>
      </c>
      <c r="D657" s="68" t="s">
        <v>38</v>
      </c>
      <c r="E657" s="45">
        <v>100000</v>
      </c>
      <c r="F657" s="42">
        <v>22100</v>
      </c>
      <c r="G657" s="42"/>
      <c r="H657" s="42">
        <f t="shared" si="114"/>
        <v>122100</v>
      </c>
      <c r="I657" s="96"/>
      <c r="J657" s="49"/>
      <c r="K657" s="49"/>
    </row>
    <row r="658" spans="1:11" s="16" customFormat="1" ht="12" customHeight="1" x14ac:dyDescent="0.2">
      <c r="A658" s="33"/>
      <c r="B658" s="37"/>
      <c r="C658" s="86">
        <v>4300</v>
      </c>
      <c r="D658" s="69" t="s">
        <v>16</v>
      </c>
      <c r="E658" s="45">
        <v>275320</v>
      </c>
      <c r="F658" s="42">
        <v>20000</v>
      </c>
      <c r="G658" s="42"/>
      <c r="H658" s="42">
        <f t="shared" si="114"/>
        <v>295320</v>
      </c>
      <c r="I658" s="96"/>
      <c r="J658" s="49"/>
      <c r="K658" s="49"/>
    </row>
    <row r="659" spans="1:11" s="16" customFormat="1" ht="19.899999999999999" customHeight="1" x14ac:dyDescent="0.2">
      <c r="A659" s="33"/>
      <c r="B659" s="37"/>
      <c r="C659" s="64">
        <v>4390</v>
      </c>
      <c r="D659" s="65" t="s">
        <v>157</v>
      </c>
      <c r="E659" s="45">
        <v>450</v>
      </c>
      <c r="F659" s="42"/>
      <c r="G659" s="42">
        <v>150</v>
      </c>
      <c r="H659" s="42">
        <f t="shared" si="114"/>
        <v>300</v>
      </c>
      <c r="I659" s="96"/>
      <c r="J659" s="49"/>
      <c r="K659" s="49"/>
    </row>
    <row r="660" spans="1:11" s="16" customFormat="1" ht="12" customHeight="1" x14ac:dyDescent="0.2">
      <c r="A660" s="33"/>
      <c r="B660" s="37"/>
      <c r="C660" s="26">
        <v>4430</v>
      </c>
      <c r="D660" s="41" t="s">
        <v>136</v>
      </c>
      <c r="E660" s="45">
        <v>124400</v>
      </c>
      <c r="F660" s="42">
        <v>150</v>
      </c>
      <c r="G660" s="42"/>
      <c r="H660" s="42">
        <f t="shared" si="114"/>
        <v>124550</v>
      </c>
      <c r="I660" s="96"/>
      <c r="J660" s="49"/>
      <c r="K660" s="49"/>
    </row>
    <row r="661" spans="1:11" s="16" customFormat="1" ht="12" customHeight="1" x14ac:dyDescent="0.2">
      <c r="A661" s="113"/>
      <c r="B661" s="72"/>
      <c r="C661" s="153" t="s">
        <v>258</v>
      </c>
      <c r="D661" s="84" t="s">
        <v>39</v>
      </c>
      <c r="E661" s="74">
        <v>84877</v>
      </c>
      <c r="F661" s="130"/>
      <c r="G661" s="130">
        <v>22100</v>
      </c>
      <c r="H661" s="130">
        <f t="shared" si="114"/>
        <v>62777</v>
      </c>
      <c r="I661" s="96"/>
      <c r="J661" s="49"/>
      <c r="K661" s="49"/>
    </row>
    <row r="662" spans="1:11" s="16" customFormat="1" ht="12" customHeight="1" thickBot="1" x14ac:dyDescent="0.25">
      <c r="A662" s="32">
        <v>921</v>
      </c>
      <c r="B662" s="33"/>
      <c r="C662" s="34"/>
      <c r="D662" s="35" t="s">
        <v>265</v>
      </c>
      <c r="E662" s="31">
        <v>15325472.360000001</v>
      </c>
      <c r="F662" s="36">
        <f>SUM(F663)</f>
        <v>222000</v>
      </c>
      <c r="G662" s="36">
        <f>SUM(G663)</f>
        <v>222000</v>
      </c>
      <c r="H662" s="31">
        <f t="shared" si="114"/>
        <v>15325472.360000001</v>
      </c>
      <c r="I662" s="96"/>
      <c r="J662" s="49"/>
      <c r="K662" s="49"/>
    </row>
    <row r="663" spans="1:11" s="16" customFormat="1" ht="12" customHeight="1" thickTop="1" x14ac:dyDescent="0.2">
      <c r="A663" s="32"/>
      <c r="B663" s="56">
        <v>92195</v>
      </c>
      <c r="C663" s="86"/>
      <c r="D663" s="84" t="s">
        <v>15</v>
      </c>
      <c r="E663" s="39">
        <v>843194.26</v>
      </c>
      <c r="F663" s="39">
        <f>SUM(F664)</f>
        <v>222000</v>
      </c>
      <c r="G663" s="39">
        <f>SUM(G664)</f>
        <v>222000</v>
      </c>
      <c r="H663" s="39">
        <f t="shared" si="114"/>
        <v>843194.26</v>
      </c>
      <c r="I663" s="96"/>
      <c r="J663" s="49"/>
      <c r="K663" s="49"/>
    </row>
    <row r="664" spans="1:11" s="16" customFormat="1" ht="12" customHeight="1" x14ac:dyDescent="0.2">
      <c r="A664" s="32"/>
      <c r="B664" s="88"/>
      <c r="C664" s="86"/>
      <c r="D664" s="710" t="s">
        <v>146</v>
      </c>
      <c r="E664" s="94">
        <v>502658</v>
      </c>
      <c r="F664" s="697">
        <f>SUM(F665:F667)</f>
        <v>222000</v>
      </c>
      <c r="G664" s="697">
        <f>SUM(G665:G667)</f>
        <v>222000</v>
      </c>
      <c r="H664" s="685">
        <f t="shared" si="114"/>
        <v>502658</v>
      </c>
      <c r="I664" s="96"/>
      <c r="J664" s="49"/>
      <c r="K664" s="49"/>
    </row>
    <row r="665" spans="1:11" s="16" customFormat="1" ht="45" customHeight="1" x14ac:dyDescent="0.2">
      <c r="A665" s="32"/>
      <c r="B665" s="88"/>
      <c r="C665" s="99" t="s">
        <v>224</v>
      </c>
      <c r="D665" s="68" t="s">
        <v>225</v>
      </c>
      <c r="E665" s="45">
        <v>0</v>
      </c>
      <c r="F665" s="42">
        <f>87000+135000</f>
        <v>222000</v>
      </c>
      <c r="G665" s="42"/>
      <c r="H665" s="44">
        <f t="shared" si="114"/>
        <v>222000</v>
      </c>
      <c r="I665" s="96"/>
      <c r="J665" s="49"/>
      <c r="K665" s="49"/>
    </row>
    <row r="666" spans="1:11" s="16" customFormat="1" ht="21.6" customHeight="1" x14ac:dyDescent="0.2">
      <c r="A666" s="32"/>
      <c r="B666" s="88"/>
      <c r="C666" s="64">
        <v>2810</v>
      </c>
      <c r="D666" s="65" t="s">
        <v>165</v>
      </c>
      <c r="E666" s="45">
        <v>87000</v>
      </c>
      <c r="F666" s="42"/>
      <c r="G666" s="42">
        <v>87000</v>
      </c>
      <c r="H666" s="44">
        <f t="shared" si="114"/>
        <v>0</v>
      </c>
      <c r="I666" s="96"/>
      <c r="J666" s="49"/>
      <c r="K666" s="49"/>
    </row>
    <row r="667" spans="1:11" s="16" customFormat="1" ht="33.75" customHeight="1" x14ac:dyDescent="0.2">
      <c r="A667" s="32"/>
      <c r="B667" s="88"/>
      <c r="C667" s="99" t="s">
        <v>183</v>
      </c>
      <c r="D667" s="135" t="s">
        <v>184</v>
      </c>
      <c r="E667" s="44">
        <v>135000</v>
      </c>
      <c r="F667" s="44"/>
      <c r="G667" s="44">
        <v>135000</v>
      </c>
      <c r="H667" s="44">
        <f t="shared" si="114"/>
        <v>0</v>
      </c>
      <c r="I667" s="96"/>
      <c r="J667" s="49"/>
      <c r="K667" s="49"/>
    </row>
    <row r="668" spans="1:11" s="16" customFormat="1" ht="12" customHeight="1" thickBot="1" x14ac:dyDescent="0.25">
      <c r="A668" s="32">
        <v>926</v>
      </c>
      <c r="B668" s="33"/>
      <c r="C668" s="34"/>
      <c r="D668" s="35" t="s">
        <v>57</v>
      </c>
      <c r="E668" s="31">
        <v>30412138</v>
      </c>
      <c r="F668" s="31">
        <f>SUM(F669)</f>
        <v>2436300</v>
      </c>
      <c r="G668" s="31">
        <f>SUM(G669)</f>
        <v>2436300</v>
      </c>
      <c r="H668" s="31">
        <f t="shared" si="114"/>
        <v>30412138</v>
      </c>
      <c r="I668" s="96"/>
      <c r="J668" s="49"/>
      <c r="K668" s="49"/>
    </row>
    <row r="669" spans="1:11" s="16" customFormat="1" ht="12" customHeight="1" thickTop="1" x14ac:dyDescent="0.2">
      <c r="A669" s="32"/>
      <c r="B669" s="75">
        <v>92605</v>
      </c>
      <c r="C669" s="76"/>
      <c r="D669" s="77" t="s">
        <v>266</v>
      </c>
      <c r="E669" s="39">
        <v>2543145.42</v>
      </c>
      <c r="F669" s="39">
        <f>SUM(F670)</f>
        <v>2436300</v>
      </c>
      <c r="G669" s="39">
        <f>SUM(G670)</f>
        <v>2436300</v>
      </c>
      <c r="H669" s="39">
        <f t="shared" si="114"/>
        <v>2543145.42</v>
      </c>
      <c r="I669" s="96"/>
      <c r="J669" s="49"/>
      <c r="K669" s="49"/>
    </row>
    <row r="670" spans="1:11" s="16" customFormat="1" ht="12" customHeight="1" x14ac:dyDescent="0.2">
      <c r="A670" s="32"/>
      <c r="B670" s="37"/>
      <c r="C670" s="34"/>
      <c r="D670" s="711" t="s">
        <v>267</v>
      </c>
      <c r="E670" s="685">
        <v>2436300</v>
      </c>
      <c r="F670" s="685">
        <f>SUM(F671:F674)</f>
        <v>2436300</v>
      </c>
      <c r="G670" s="685">
        <f>SUM(G671:G674)</f>
        <v>2436300</v>
      </c>
      <c r="H670" s="685">
        <f t="shared" si="114"/>
        <v>2436300</v>
      </c>
      <c r="I670" s="96"/>
      <c r="J670" s="49"/>
      <c r="K670" s="49"/>
    </row>
    <row r="671" spans="1:11" s="16" customFormat="1" ht="43.5" customHeight="1" x14ac:dyDescent="0.2">
      <c r="A671" s="32"/>
      <c r="B671" s="37"/>
      <c r="C671" s="99" t="s">
        <v>224</v>
      </c>
      <c r="D671" s="68" t="s">
        <v>225</v>
      </c>
      <c r="E671" s="151">
        <v>0</v>
      </c>
      <c r="F671" s="45">
        <f>25000+1411300+1000000</f>
        <v>2436300</v>
      </c>
      <c r="G671" s="45"/>
      <c r="H671" s="43">
        <f t="shared" si="114"/>
        <v>2436300</v>
      </c>
      <c r="I671" s="96"/>
      <c r="J671" s="49"/>
      <c r="K671" s="49"/>
    </row>
    <row r="672" spans="1:11" s="16" customFormat="1" ht="23.45" customHeight="1" x14ac:dyDescent="0.2">
      <c r="A672" s="32"/>
      <c r="B672" s="37"/>
      <c r="C672" s="64">
        <v>2810</v>
      </c>
      <c r="D672" s="65" t="s">
        <v>165</v>
      </c>
      <c r="E672" s="151">
        <v>25000</v>
      </c>
      <c r="F672" s="45"/>
      <c r="G672" s="45">
        <v>25000</v>
      </c>
      <c r="H672" s="43">
        <f t="shared" si="114"/>
        <v>0</v>
      </c>
      <c r="I672" s="96"/>
      <c r="J672" s="49"/>
      <c r="K672" s="49"/>
    </row>
    <row r="673" spans="1:11" s="16" customFormat="1" ht="34.9" customHeight="1" x14ac:dyDescent="0.2">
      <c r="A673" s="32"/>
      <c r="B673" s="37"/>
      <c r="C673" s="99" t="s">
        <v>183</v>
      </c>
      <c r="D673" s="135" t="s">
        <v>184</v>
      </c>
      <c r="E673" s="151">
        <v>1411300</v>
      </c>
      <c r="F673" s="45"/>
      <c r="G673" s="45">
        <v>1411300</v>
      </c>
      <c r="H673" s="43">
        <f t="shared" si="114"/>
        <v>0</v>
      </c>
      <c r="I673" s="96"/>
      <c r="J673" s="49"/>
      <c r="K673" s="49"/>
    </row>
    <row r="674" spans="1:11" s="16" customFormat="1" ht="35.25" customHeight="1" x14ac:dyDescent="0.2">
      <c r="A674" s="32"/>
      <c r="B674" s="37"/>
      <c r="C674" s="64">
        <v>2830</v>
      </c>
      <c r="D674" s="60" t="s">
        <v>166</v>
      </c>
      <c r="E674" s="151">
        <v>1000000</v>
      </c>
      <c r="F674" s="45"/>
      <c r="G674" s="45">
        <v>1000000</v>
      </c>
      <c r="H674" s="43">
        <f t="shared" si="114"/>
        <v>0</v>
      </c>
      <c r="I674" s="96"/>
      <c r="J674" s="49"/>
      <c r="K674" s="49"/>
    </row>
    <row r="675" spans="1:11" s="16" customFormat="1" ht="19.149999999999999" customHeight="1" thickBot="1" x14ac:dyDescent="0.25">
      <c r="A675" s="88"/>
      <c r="B675" s="37"/>
      <c r="C675" s="26"/>
      <c r="D675" s="30" t="s">
        <v>61</v>
      </c>
      <c r="E675" s="31">
        <v>48432558.170000002</v>
      </c>
      <c r="F675" s="31">
        <f>SUM(F676,F681,F691,F702,F711,F728,F734)</f>
        <v>4139048.1</v>
      </c>
      <c r="G675" s="31">
        <f>SUM(G676,G681,G691,G702,G711,G728,G734)</f>
        <v>3028263.52</v>
      </c>
      <c r="H675" s="31">
        <f t="shared" ref="H675" si="115">SUM(E675+F675-G675)</f>
        <v>49543342.75</v>
      </c>
      <c r="I675" s="96"/>
      <c r="J675" s="49"/>
      <c r="K675" s="49"/>
    </row>
    <row r="676" spans="1:11" s="16" customFormat="1" ht="19.149999999999999" customHeight="1" thickTop="1" thickBot="1" x14ac:dyDescent="0.25">
      <c r="A676" s="169" t="s">
        <v>112</v>
      </c>
      <c r="B676" s="85"/>
      <c r="C676" s="85"/>
      <c r="D676" s="170" t="s">
        <v>113</v>
      </c>
      <c r="E676" s="31">
        <v>7458.77</v>
      </c>
      <c r="F676" s="31">
        <f>SUM(F677)</f>
        <v>6987.71</v>
      </c>
      <c r="G676" s="31">
        <f>SUM(G677)</f>
        <v>0</v>
      </c>
      <c r="H676" s="31">
        <f t="shared" ref="H676:H689" si="116">SUM(E676+F676-G676)</f>
        <v>14446.48</v>
      </c>
      <c r="I676" s="96"/>
      <c r="J676" s="49"/>
      <c r="K676" s="49"/>
    </row>
    <row r="677" spans="1:11" s="16" customFormat="1" ht="12" customHeight="1" thickTop="1" x14ac:dyDescent="0.2">
      <c r="A677" s="171"/>
      <c r="B677" s="119" t="s">
        <v>114</v>
      </c>
      <c r="C677" s="120"/>
      <c r="D677" s="121" t="s">
        <v>115</v>
      </c>
      <c r="E677" s="74">
        <v>7458.77</v>
      </c>
      <c r="F677" s="40">
        <f t="shared" ref="F677:G677" si="117">SUM(F678)</f>
        <v>6987.71</v>
      </c>
      <c r="G677" s="40">
        <f t="shared" si="117"/>
        <v>0</v>
      </c>
      <c r="H677" s="39">
        <f t="shared" si="116"/>
        <v>14446.48</v>
      </c>
      <c r="I677" s="96"/>
      <c r="J677" s="49"/>
      <c r="K677" s="49"/>
    </row>
    <row r="678" spans="1:11" s="16" customFormat="1" ht="12" customHeight="1" x14ac:dyDescent="0.2">
      <c r="A678" s="34"/>
      <c r="B678" s="37"/>
      <c r="C678" s="27"/>
      <c r="D678" s="693" t="s">
        <v>268</v>
      </c>
      <c r="E678" s="95">
        <v>7458.77</v>
      </c>
      <c r="F678" s="697">
        <f>SUM(F679:F680)</f>
        <v>6987.71</v>
      </c>
      <c r="G678" s="697">
        <f>SUM(G679:G680)</f>
        <v>0</v>
      </c>
      <c r="H678" s="685">
        <f t="shared" si="116"/>
        <v>14446.48</v>
      </c>
      <c r="I678" s="96"/>
      <c r="J678" s="49"/>
      <c r="K678" s="49"/>
    </row>
    <row r="679" spans="1:11" s="16" customFormat="1" ht="12" customHeight="1" x14ac:dyDescent="0.2">
      <c r="A679" s="34"/>
      <c r="B679" s="37"/>
      <c r="C679" s="26">
        <v>4300</v>
      </c>
      <c r="D679" s="41" t="s">
        <v>16</v>
      </c>
      <c r="E679" s="45">
        <v>146.25</v>
      </c>
      <c r="F679" s="42">
        <v>137.01</v>
      </c>
      <c r="G679" s="42"/>
      <c r="H679" s="42">
        <f t="shared" si="116"/>
        <v>283.26</v>
      </c>
      <c r="I679" s="96"/>
      <c r="J679" s="49"/>
      <c r="K679" s="49"/>
    </row>
    <row r="680" spans="1:11" s="16" customFormat="1" ht="12" customHeight="1" x14ac:dyDescent="0.2">
      <c r="A680" s="34"/>
      <c r="B680" s="33"/>
      <c r="C680" s="26">
        <v>4430</v>
      </c>
      <c r="D680" s="41" t="s">
        <v>269</v>
      </c>
      <c r="E680" s="42">
        <v>7312.52</v>
      </c>
      <c r="F680" s="42">
        <v>6850.7</v>
      </c>
      <c r="G680" s="158"/>
      <c r="H680" s="42">
        <f t="shared" si="116"/>
        <v>14163.220000000001</v>
      </c>
      <c r="I680" s="96"/>
      <c r="J680" s="49"/>
      <c r="K680" s="49"/>
    </row>
    <row r="681" spans="1:11" s="16" customFormat="1" ht="12" customHeight="1" thickBot="1" x14ac:dyDescent="0.25">
      <c r="A681" s="33">
        <v>750</v>
      </c>
      <c r="B681" s="33"/>
      <c r="C681" s="34"/>
      <c r="D681" s="35" t="s">
        <v>14</v>
      </c>
      <c r="E681" s="31">
        <v>1908750.41</v>
      </c>
      <c r="F681" s="31">
        <f>SUM(F682)</f>
        <v>303838.15000000002</v>
      </c>
      <c r="G681" s="31">
        <f>SUM(G682)</f>
        <v>0</v>
      </c>
      <c r="H681" s="31">
        <f t="shared" si="116"/>
        <v>2212588.56</v>
      </c>
      <c r="I681" s="96"/>
      <c r="J681" s="49"/>
      <c r="K681" s="49"/>
    </row>
    <row r="682" spans="1:11" s="16" customFormat="1" ht="12" customHeight="1" thickTop="1" x14ac:dyDescent="0.2">
      <c r="A682" s="33"/>
      <c r="B682" s="26">
        <v>75011</v>
      </c>
      <c r="C682" s="85"/>
      <c r="D682" s="89" t="s">
        <v>116</v>
      </c>
      <c r="E682" s="74">
        <v>1908750.41</v>
      </c>
      <c r="F682" s="40">
        <f>SUM(F683,F687)</f>
        <v>303838.15000000002</v>
      </c>
      <c r="G682" s="40">
        <f>SUM(G683,G687)</f>
        <v>0</v>
      </c>
      <c r="H682" s="39">
        <f t="shared" si="116"/>
        <v>2212588.56</v>
      </c>
      <c r="I682" s="96"/>
      <c r="J682" s="49"/>
      <c r="K682" s="49"/>
    </row>
    <row r="683" spans="1:11" s="16" customFormat="1" ht="12" customHeight="1" x14ac:dyDescent="0.2">
      <c r="A683" s="33"/>
      <c r="B683" s="26"/>
      <c r="C683" s="27"/>
      <c r="D683" s="693" t="s">
        <v>73</v>
      </c>
      <c r="E683" s="95">
        <v>1906800</v>
      </c>
      <c r="F683" s="697">
        <f>SUM(F684:F686)</f>
        <v>303375</v>
      </c>
      <c r="G683" s="697">
        <f>SUM(G684:G686)</f>
        <v>0</v>
      </c>
      <c r="H683" s="685">
        <f t="shared" si="116"/>
        <v>2210175</v>
      </c>
      <c r="I683" s="96"/>
      <c r="J683" s="49"/>
      <c r="K683" s="49"/>
    </row>
    <row r="684" spans="1:11" s="16" customFormat="1" ht="12" customHeight="1" x14ac:dyDescent="0.2">
      <c r="A684" s="33"/>
      <c r="B684" s="26"/>
      <c r="C684" s="26">
        <v>4010</v>
      </c>
      <c r="D684" s="41" t="s">
        <v>34</v>
      </c>
      <c r="E684" s="42">
        <v>1476639</v>
      </c>
      <c r="F684" s="42">
        <v>253574</v>
      </c>
      <c r="G684" s="158"/>
      <c r="H684" s="44">
        <f t="shared" si="116"/>
        <v>1730213</v>
      </c>
      <c r="I684" s="96"/>
      <c r="J684" s="49"/>
      <c r="K684" s="49"/>
    </row>
    <row r="685" spans="1:11" s="16" customFormat="1" ht="12" customHeight="1" x14ac:dyDescent="0.2">
      <c r="A685" s="33"/>
      <c r="B685" s="26"/>
      <c r="C685" s="26">
        <v>4110</v>
      </c>
      <c r="D685" s="41" t="s">
        <v>36</v>
      </c>
      <c r="E685" s="42">
        <v>274483</v>
      </c>
      <c r="F685" s="42">
        <v>43589</v>
      </c>
      <c r="G685" s="158"/>
      <c r="H685" s="44">
        <f t="shared" si="116"/>
        <v>318072</v>
      </c>
      <c r="I685" s="96"/>
      <c r="J685" s="49"/>
      <c r="K685" s="49"/>
    </row>
    <row r="686" spans="1:11" s="16" customFormat="1" ht="12" customHeight="1" x14ac:dyDescent="0.2">
      <c r="A686" s="33"/>
      <c r="B686" s="26"/>
      <c r="C686" s="26">
        <v>4120</v>
      </c>
      <c r="D686" s="41" t="s">
        <v>62</v>
      </c>
      <c r="E686" s="42">
        <v>39120</v>
      </c>
      <c r="F686" s="42">
        <v>6212</v>
      </c>
      <c r="G686" s="158"/>
      <c r="H686" s="44">
        <f t="shared" si="116"/>
        <v>45332</v>
      </c>
      <c r="I686" s="96"/>
      <c r="J686" s="49"/>
      <c r="K686" s="49"/>
    </row>
    <row r="687" spans="1:11" s="16" customFormat="1" ht="47.25" customHeight="1" x14ac:dyDescent="0.2">
      <c r="A687" s="33"/>
      <c r="B687" s="26"/>
      <c r="C687" s="27"/>
      <c r="D687" s="712" t="s">
        <v>270</v>
      </c>
      <c r="E687" s="94">
        <v>1950.41</v>
      </c>
      <c r="F687" s="697">
        <f>SUM(F688:F689)</f>
        <v>463.15</v>
      </c>
      <c r="G687" s="697">
        <f>SUM(G688:G689)</f>
        <v>0</v>
      </c>
      <c r="H687" s="685">
        <f t="shared" si="116"/>
        <v>2413.56</v>
      </c>
      <c r="I687" s="97"/>
      <c r="J687" s="49"/>
      <c r="K687" s="49"/>
    </row>
    <row r="688" spans="1:11" s="16" customFormat="1" ht="21.75" customHeight="1" x14ac:dyDescent="0.2">
      <c r="A688" s="33"/>
      <c r="B688" s="26"/>
      <c r="C688" s="64">
        <v>4740</v>
      </c>
      <c r="D688" s="65" t="s">
        <v>261</v>
      </c>
      <c r="E688" s="42">
        <v>1630.23</v>
      </c>
      <c r="F688" s="45">
        <f>72+315.12</f>
        <v>387.12</v>
      </c>
      <c r="G688" s="45"/>
      <c r="H688" s="44">
        <f t="shared" si="116"/>
        <v>2017.35</v>
      </c>
      <c r="I688" s="96"/>
      <c r="J688" s="49"/>
      <c r="K688" s="49"/>
    </row>
    <row r="689" spans="1:11" s="16" customFormat="1" ht="24" customHeight="1" x14ac:dyDescent="0.2">
      <c r="A689" s="33"/>
      <c r="B689" s="26"/>
      <c r="C689" s="64">
        <v>4850</v>
      </c>
      <c r="D689" s="65" t="s">
        <v>178</v>
      </c>
      <c r="E689" s="42">
        <v>320.18</v>
      </c>
      <c r="F689" s="45">
        <f>14.14+61.89</f>
        <v>76.03</v>
      </c>
      <c r="G689" s="45"/>
      <c r="H689" s="44">
        <f t="shared" si="116"/>
        <v>396.21000000000004</v>
      </c>
      <c r="I689" s="96"/>
      <c r="J689" s="49"/>
      <c r="K689" s="49"/>
    </row>
    <row r="690" spans="1:11" s="16" customFormat="1" ht="12" customHeight="1" x14ac:dyDescent="0.2">
      <c r="A690" s="33">
        <v>754</v>
      </c>
      <c r="B690" s="33"/>
      <c r="C690" s="34"/>
      <c r="D690" s="35" t="s">
        <v>26</v>
      </c>
      <c r="E690" s="42"/>
      <c r="F690" s="43"/>
      <c r="G690" s="43"/>
      <c r="H690" s="42"/>
      <c r="I690" s="96"/>
      <c r="J690" s="49"/>
      <c r="K690" s="49"/>
    </row>
    <row r="691" spans="1:11" s="16" customFormat="1" ht="12" customHeight="1" thickBot="1" x14ac:dyDescent="0.25">
      <c r="A691" s="33"/>
      <c r="B691" s="33"/>
      <c r="C691" s="34"/>
      <c r="D691" s="35" t="s">
        <v>27</v>
      </c>
      <c r="E691" s="36">
        <v>1987260</v>
      </c>
      <c r="F691" s="36">
        <f>SUM(F692)</f>
        <v>157532.49</v>
      </c>
      <c r="G691" s="36">
        <f>SUM(G692)</f>
        <v>16460.490000000002</v>
      </c>
      <c r="H691" s="36">
        <f>SUM(E691+F691-G691)</f>
        <v>2128332</v>
      </c>
      <c r="I691" s="96"/>
      <c r="J691" s="49"/>
      <c r="K691" s="49"/>
    </row>
    <row r="692" spans="1:11" s="16" customFormat="1" ht="12" customHeight="1" thickTop="1" x14ac:dyDescent="0.2">
      <c r="A692" s="37"/>
      <c r="B692" s="37">
        <v>75495</v>
      </c>
      <c r="C692" s="27"/>
      <c r="D692" s="38" t="s">
        <v>15</v>
      </c>
      <c r="E692" s="39">
        <v>1987260</v>
      </c>
      <c r="F692" s="40">
        <f>SUM(F693,F697,F699)</f>
        <v>157532.49</v>
      </c>
      <c r="G692" s="40">
        <f>SUM(G693,G697,G699)</f>
        <v>16460.490000000002</v>
      </c>
      <c r="H692" s="39">
        <f>SUM(E692+F692-G692)</f>
        <v>2128332</v>
      </c>
      <c r="I692" s="96"/>
      <c r="J692" s="49"/>
      <c r="K692" s="49"/>
    </row>
    <row r="693" spans="1:11" s="16" customFormat="1" ht="23.25" customHeight="1" x14ac:dyDescent="0.2">
      <c r="A693" s="37"/>
      <c r="B693" s="37"/>
      <c r="C693" s="57"/>
      <c r="D693" s="689" t="s">
        <v>271</v>
      </c>
      <c r="E693" s="94">
        <v>299600</v>
      </c>
      <c r="F693" s="687">
        <f>SUM(F694:F696)</f>
        <v>13752</v>
      </c>
      <c r="G693" s="687">
        <f>SUM(G694:G696)</f>
        <v>0</v>
      </c>
      <c r="H693" s="94">
        <f t="shared" ref="H693:H696" si="118">SUM(E693+F693-G693)</f>
        <v>313352</v>
      </c>
      <c r="I693" s="97"/>
      <c r="J693" s="49"/>
      <c r="K693" s="49"/>
    </row>
    <row r="694" spans="1:11" s="16" customFormat="1" ht="23.25" customHeight="1" x14ac:dyDescent="0.2">
      <c r="A694" s="37"/>
      <c r="B694" s="37"/>
      <c r="C694" s="64">
        <v>3280</v>
      </c>
      <c r="D694" s="65" t="s">
        <v>272</v>
      </c>
      <c r="E694" s="45">
        <v>297120</v>
      </c>
      <c r="F694" s="42">
        <v>13640</v>
      </c>
      <c r="G694" s="42"/>
      <c r="H694" s="45">
        <f t="shared" si="118"/>
        <v>310760</v>
      </c>
      <c r="I694" s="96"/>
      <c r="J694" s="49"/>
      <c r="K694" s="49"/>
    </row>
    <row r="695" spans="1:11" s="16" customFormat="1" ht="22.5" customHeight="1" x14ac:dyDescent="0.2">
      <c r="A695" s="37"/>
      <c r="B695" s="37"/>
      <c r="C695" s="64">
        <v>4740</v>
      </c>
      <c r="D695" s="65" t="s">
        <v>261</v>
      </c>
      <c r="E695" s="45">
        <v>2066</v>
      </c>
      <c r="F695" s="42">
        <v>93</v>
      </c>
      <c r="G695" s="42"/>
      <c r="H695" s="45">
        <f t="shared" si="118"/>
        <v>2159</v>
      </c>
      <c r="I695" s="96"/>
      <c r="J695" s="49"/>
      <c r="K695" s="49"/>
    </row>
    <row r="696" spans="1:11" s="16" customFormat="1" ht="22.5" customHeight="1" x14ac:dyDescent="0.2">
      <c r="A696" s="72"/>
      <c r="B696" s="72"/>
      <c r="C696" s="124">
        <v>4850</v>
      </c>
      <c r="D696" s="123" t="s">
        <v>178</v>
      </c>
      <c r="E696" s="74">
        <v>414</v>
      </c>
      <c r="F696" s="130">
        <v>19</v>
      </c>
      <c r="G696" s="130"/>
      <c r="H696" s="74">
        <f t="shared" si="118"/>
        <v>433</v>
      </c>
      <c r="I696" s="96"/>
      <c r="J696" s="49"/>
      <c r="K696" s="49"/>
    </row>
    <row r="697" spans="1:11" s="16" customFormat="1" ht="35.25" customHeight="1" x14ac:dyDescent="0.2">
      <c r="A697" s="37"/>
      <c r="B697" s="37"/>
      <c r="C697" s="57"/>
      <c r="D697" s="692" t="s">
        <v>273</v>
      </c>
      <c r="E697" s="685">
        <v>1275158.67</v>
      </c>
      <c r="F697" s="685">
        <f>SUM(F698:F698)</f>
        <v>127320</v>
      </c>
      <c r="G697" s="685">
        <f>SUM(G698:G698)</f>
        <v>16460.490000000002</v>
      </c>
      <c r="H697" s="94">
        <f>SUM(E697+F697-G697)</f>
        <v>1386018.18</v>
      </c>
      <c r="I697" s="97"/>
      <c r="J697" s="49"/>
      <c r="K697" s="49"/>
    </row>
    <row r="698" spans="1:11" s="16" customFormat="1" ht="12" customHeight="1" x14ac:dyDescent="0.2">
      <c r="A698" s="37"/>
      <c r="B698" s="37"/>
      <c r="C698" s="37">
        <v>4370</v>
      </c>
      <c r="D698" s="41" t="s">
        <v>274</v>
      </c>
      <c r="E698" s="45">
        <v>1275158.67</v>
      </c>
      <c r="F698" s="42">
        <v>127320</v>
      </c>
      <c r="G698" s="42">
        <v>16460.490000000002</v>
      </c>
      <c r="H698" s="45">
        <f t="shared" ref="H698" si="119">SUM(E698+F698-G698)</f>
        <v>1386018.18</v>
      </c>
      <c r="I698" s="96"/>
      <c r="J698" s="49"/>
      <c r="K698" s="49"/>
    </row>
    <row r="699" spans="1:11" s="16" customFormat="1" ht="33" customHeight="1" x14ac:dyDescent="0.2">
      <c r="A699" s="37"/>
      <c r="B699" s="37"/>
      <c r="C699" s="27"/>
      <c r="D699" s="713" t="s">
        <v>275</v>
      </c>
      <c r="E699" s="685">
        <v>412501.33</v>
      </c>
      <c r="F699" s="687">
        <f>SUM(F700:F701)</f>
        <v>16460.489999999998</v>
      </c>
      <c r="G699" s="687">
        <f>SUM(G700:G701)</f>
        <v>0</v>
      </c>
      <c r="H699" s="94">
        <f>SUM(E699+F699-G699)</f>
        <v>428961.82</v>
      </c>
      <c r="I699" s="97"/>
      <c r="J699" s="49"/>
      <c r="K699" s="49"/>
    </row>
    <row r="700" spans="1:11" s="16" customFormat="1" ht="12" customHeight="1" x14ac:dyDescent="0.2">
      <c r="A700" s="37"/>
      <c r="B700" s="37"/>
      <c r="C700" s="26">
        <v>4370</v>
      </c>
      <c r="D700" s="41" t="s">
        <v>274</v>
      </c>
      <c r="E700" s="45">
        <v>24418.14</v>
      </c>
      <c r="F700" s="45">
        <v>2456.25</v>
      </c>
      <c r="G700" s="45"/>
      <c r="H700" s="43">
        <f t="shared" ref="H700:H712" si="120">SUM(E700+F700-G700)</f>
        <v>26874.39</v>
      </c>
      <c r="I700" s="96"/>
      <c r="J700" s="49"/>
      <c r="K700" s="49"/>
    </row>
    <row r="701" spans="1:11" s="16" customFormat="1" ht="22.5" customHeight="1" x14ac:dyDescent="0.2">
      <c r="A701" s="37"/>
      <c r="B701" s="37"/>
      <c r="C701" s="64">
        <v>4860</v>
      </c>
      <c r="D701" s="65" t="s">
        <v>276</v>
      </c>
      <c r="E701" s="45">
        <v>388083.19</v>
      </c>
      <c r="F701" s="45">
        <v>14004.24</v>
      </c>
      <c r="G701" s="45"/>
      <c r="H701" s="43">
        <f t="shared" si="120"/>
        <v>402087.43</v>
      </c>
      <c r="I701" s="96"/>
      <c r="J701" s="49"/>
      <c r="K701" s="49"/>
    </row>
    <row r="702" spans="1:11" s="16" customFormat="1" ht="12" customHeight="1" thickBot="1" x14ac:dyDescent="0.25">
      <c r="A702" s="32">
        <v>801</v>
      </c>
      <c r="B702" s="33"/>
      <c r="C702" s="34"/>
      <c r="D702" s="35" t="s">
        <v>40</v>
      </c>
      <c r="E702" s="31">
        <v>825905.29</v>
      </c>
      <c r="F702" s="31">
        <f>SUM(F705)</f>
        <v>21684.75</v>
      </c>
      <c r="G702" s="31">
        <f>SUM(G705)</f>
        <v>14651.03</v>
      </c>
      <c r="H702" s="31">
        <f>SUM(E702+F702-G702)</f>
        <v>832939.01</v>
      </c>
      <c r="I702" s="96"/>
      <c r="J702" s="49"/>
      <c r="K702" s="49"/>
    </row>
    <row r="703" spans="1:11" s="16" customFormat="1" ht="12" customHeight="1" thickTop="1" x14ac:dyDescent="0.2">
      <c r="A703" s="32"/>
      <c r="B703" s="37">
        <v>80153</v>
      </c>
      <c r="C703" s="34"/>
      <c r="D703" s="69" t="s">
        <v>91</v>
      </c>
      <c r="E703" s="62"/>
      <c r="F703" s="62"/>
      <c r="G703" s="62"/>
      <c r="H703" s="62"/>
      <c r="I703" s="96"/>
      <c r="J703" s="49"/>
      <c r="K703" s="49"/>
    </row>
    <row r="704" spans="1:11" s="16" customFormat="1" ht="12" customHeight="1" x14ac:dyDescent="0.2">
      <c r="A704" s="32"/>
      <c r="B704" s="33"/>
      <c r="C704" s="34"/>
      <c r="D704" s="69" t="s">
        <v>92</v>
      </c>
      <c r="E704" s="62"/>
      <c r="F704" s="62"/>
      <c r="G704" s="62"/>
      <c r="H704" s="62"/>
      <c r="I704" s="96"/>
      <c r="J704" s="49"/>
      <c r="K704" s="49"/>
    </row>
    <row r="705" spans="1:11" s="16" customFormat="1" ht="12" customHeight="1" x14ac:dyDescent="0.2">
      <c r="A705" s="33"/>
      <c r="B705" s="37"/>
      <c r="C705" s="27"/>
      <c r="D705" s="38" t="s">
        <v>93</v>
      </c>
      <c r="E705" s="39">
        <v>825905.29</v>
      </c>
      <c r="F705" s="39">
        <f>SUM(F706,F708)</f>
        <v>21684.75</v>
      </c>
      <c r="G705" s="39">
        <f>SUM(G706,G708)</f>
        <v>14651.03</v>
      </c>
      <c r="H705" s="39">
        <f t="shared" ref="H705:H710" si="121">SUM(E705+F705-G705)</f>
        <v>832939.01</v>
      </c>
      <c r="I705" s="96"/>
      <c r="J705" s="49"/>
      <c r="K705" s="111"/>
    </row>
    <row r="706" spans="1:11" s="16" customFormat="1" ht="12" customHeight="1" x14ac:dyDescent="0.2">
      <c r="A706" s="53"/>
      <c r="B706" s="37"/>
      <c r="C706" s="27"/>
      <c r="D706" s="693" t="s">
        <v>42</v>
      </c>
      <c r="E706" s="94">
        <v>732123.47</v>
      </c>
      <c r="F706" s="687">
        <f>SUM(F707:F707)</f>
        <v>14130.47</v>
      </c>
      <c r="G706" s="687">
        <f>SUM(G707:G707)</f>
        <v>10511.78</v>
      </c>
      <c r="H706" s="94">
        <f t="shared" si="121"/>
        <v>735742.15999999992</v>
      </c>
      <c r="I706" s="96"/>
      <c r="J706" s="49"/>
      <c r="K706" s="49"/>
    </row>
    <row r="707" spans="1:11" s="16" customFormat="1" ht="12" customHeight="1" x14ac:dyDescent="0.2">
      <c r="A707" s="32"/>
      <c r="B707" s="54"/>
      <c r="C707" s="26">
        <v>4240</v>
      </c>
      <c r="D707" s="41" t="s">
        <v>169</v>
      </c>
      <c r="E707" s="43">
        <v>732123.47</v>
      </c>
      <c r="F707" s="44">
        <v>14130.47</v>
      </c>
      <c r="G707" s="44">
        <v>10511.78</v>
      </c>
      <c r="H707" s="43">
        <f t="shared" si="121"/>
        <v>735742.15999999992</v>
      </c>
      <c r="I707" s="96"/>
      <c r="J707" s="49"/>
      <c r="K707" s="49"/>
    </row>
    <row r="708" spans="1:11" s="16" customFormat="1" ht="12" customHeight="1" x14ac:dyDescent="0.2">
      <c r="A708" s="32"/>
      <c r="B708" s="54"/>
      <c r="C708" s="27"/>
      <c r="D708" s="684" t="s">
        <v>56</v>
      </c>
      <c r="E708" s="94">
        <v>93781.82</v>
      </c>
      <c r="F708" s="687">
        <f>SUM(F709:F710)</f>
        <v>7554.28</v>
      </c>
      <c r="G708" s="687">
        <f>SUM(G709:G710)</f>
        <v>4139.25</v>
      </c>
      <c r="H708" s="94">
        <f t="shared" si="121"/>
        <v>97196.85</v>
      </c>
      <c r="I708" s="96"/>
      <c r="J708" s="49"/>
      <c r="K708" s="49"/>
    </row>
    <row r="709" spans="1:11" s="16" customFormat="1" ht="33.75" customHeight="1" x14ac:dyDescent="0.2">
      <c r="A709" s="32"/>
      <c r="B709" s="54"/>
      <c r="C709" s="64">
        <v>2830</v>
      </c>
      <c r="D709" s="112" t="s">
        <v>166</v>
      </c>
      <c r="E709" s="43">
        <v>85604.57</v>
      </c>
      <c r="F709" s="44">
        <v>7554.28</v>
      </c>
      <c r="G709" s="44">
        <v>2138.44</v>
      </c>
      <c r="H709" s="43">
        <f t="shared" si="121"/>
        <v>91020.41</v>
      </c>
      <c r="I709" s="96"/>
      <c r="J709" s="49"/>
      <c r="K709" s="49"/>
    </row>
    <row r="710" spans="1:11" s="16" customFormat="1" ht="12" customHeight="1" x14ac:dyDescent="0.2">
      <c r="A710" s="32"/>
      <c r="B710" s="54"/>
      <c r="C710" s="86">
        <v>4210</v>
      </c>
      <c r="D710" s="69" t="s">
        <v>59</v>
      </c>
      <c r="E710" s="43">
        <v>8177.25</v>
      </c>
      <c r="F710" s="44"/>
      <c r="G710" s="44">
        <v>2000.81</v>
      </c>
      <c r="H710" s="43">
        <f t="shared" si="121"/>
        <v>6176.4400000000005</v>
      </c>
      <c r="I710" s="96"/>
      <c r="J710" s="49"/>
      <c r="K710" s="49"/>
    </row>
    <row r="711" spans="1:11" s="16" customFormat="1" ht="12" customHeight="1" thickBot="1" x14ac:dyDescent="0.25">
      <c r="A711" s="172">
        <v>852</v>
      </c>
      <c r="B711" s="172"/>
      <c r="C711" s="76"/>
      <c r="D711" s="91" t="s">
        <v>30</v>
      </c>
      <c r="E711" s="31">
        <v>4190364</v>
      </c>
      <c r="F711" s="31">
        <f>SUM(F712,F720,F724)</f>
        <v>3169896</v>
      </c>
      <c r="G711" s="31">
        <f>SUM(G712,G720,G724)</f>
        <v>2882035</v>
      </c>
      <c r="H711" s="31">
        <f t="shared" si="120"/>
        <v>4478225</v>
      </c>
      <c r="I711" s="96"/>
      <c r="J711" s="49"/>
      <c r="K711" s="49"/>
    </row>
    <row r="712" spans="1:11" s="16" customFormat="1" ht="12" customHeight="1" thickTop="1" x14ac:dyDescent="0.2">
      <c r="A712" s="172"/>
      <c r="B712" s="76">
        <v>85203</v>
      </c>
      <c r="C712" s="173"/>
      <c r="D712" s="77" t="s">
        <v>232</v>
      </c>
      <c r="E712" s="74">
        <v>1248603</v>
      </c>
      <c r="F712" s="40">
        <f>SUM(F714)</f>
        <v>1535</v>
      </c>
      <c r="G712" s="40">
        <f>SUM(G714)</f>
        <v>1535</v>
      </c>
      <c r="H712" s="39">
        <f t="shared" si="120"/>
        <v>1248603</v>
      </c>
      <c r="I712" s="96"/>
      <c r="J712" s="49"/>
      <c r="K712" s="49"/>
    </row>
    <row r="713" spans="1:11" s="16" customFormat="1" ht="12" customHeight="1" x14ac:dyDescent="0.2">
      <c r="A713" s="172"/>
      <c r="B713" s="137"/>
      <c r="C713" s="56"/>
      <c r="D713" s="69" t="s">
        <v>277</v>
      </c>
      <c r="E713" s="42"/>
      <c r="F713" s="45"/>
      <c r="G713" s="45"/>
      <c r="H713" s="44"/>
      <c r="I713" s="96"/>
      <c r="J713" s="49"/>
      <c r="K713" s="49"/>
    </row>
    <row r="714" spans="1:11" s="16" customFormat="1" ht="12" customHeight="1" x14ac:dyDescent="0.2">
      <c r="A714" s="172"/>
      <c r="B714" s="137"/>
      <c r="C714" s="27"/>
      <c r="D714" s="693" t="s">
        <v>278</v>
      </c>
      <c r="E714" s="94">
        <v>111700</v>
      </c>
      <c r="F714" s="697">
        <f>SUM(F715:F719)</f>
        <v>1535</v>
      </c>
      <c r="G714" s="697">
        <f>SUM(G715:G719)</f>
        <v>1535</v>
      </c>
      <c r="H714" s="685">
        <f t="shared" ref="H714:H719" si="122">SUM(E714+F714-G714)</f>
        <v>111700</v>
      </c>
      <c r="I714" s="96"/>
      <c r="J714" s="49"/>
      <c r="K714" s="49"/>
    </row>
    <row r="715" spans="1:11" s="16" customFormat="1" ht="12" customHeight="1" x14ac:dyDescent="0.2">
      <c r="A715" s="172"/>
      <c r="B715" s="137"/>
      <c r="C715" s="26">
        <v>4010</v>
      </c>
      <c r="D715" s="41" t="s">
        <v>34</v>
      </c>
      <c r="E715" s="45">
        <v>55726</v>
      </c>
      <c r="F715" s="42">
        <v>535</v>
      </c>
      <c r="G715" s="42"/>
      <c r="H715" s="42">
        <f t="shared" si="122"/>
        <v>56261</v>
      </c>
      <c r="I715" s="96"/>
      <c r="J715" s="49"/>
      <c r="K715" s="49"/>
    </row>
    <row r="716" spans="1:11" s="16" customFormat="1" ht="12" customHeight="1" x14ac:dyDescent="0.2">
      <c r="A716" s="172"/>
      <c r="B716" s="137"/>
      <c r="C716" s="86">
        <v>4110</v>
      </c>
      <c r="D716" s="69" t="s">
        <v>36</v>
      </c>
      <c r="E716" s="45">
        <v>11035</v>
      </c>
      <c r="F716" s="42"/>
      <c r="G716" s="42">
        <v>650</v>
      </c>
      <c r="H716" s="42">
        <f t="shared" si="122"/>
        <v>10385</v>
      </c>
      <c r="I716" s="96"/>
      <c r="J716" s="49"/>
      <c r="K716" s="49"/>
    </row>
    <row r="717" spans="1:11" s="16" customFormat="1" ht="12" customHeight="1" x14ac:dyDescent="0.2">
      <c r="A717" s="172"/>
      <c r="B717" s="137"/>
      <c r="C717" s="26">
        <v>4120</v>
      </c>
      <c r="D717" s="41" t="s">
        <v>37</v>
      </c>
      <c r="E717" s="45">
        <v>1570</v>
      </c>
      <c r="F717" s="42"/>
      <c r="G717" s="42">
        <v>350</v>
      </c>
      <c r="H717" s="42">
        <f t="shared" si="122"/>
        <v>1220</v>
      </c>
      <c r="I717" s="96"/>
      <c r="J717" s="49"/>
      <c r="K717" s="49"/>
    </row>
    <row r="718" spans="1:11" s="16" customFormat="1" ht="12" customHeight="1" x14ac:dyDescent="0.2">
      <c r="A718" s="172"/>
      <c r="B718" s="137"/>
      <c r="C718" s="26">
        <v>4170</v>
      </c>
      <c r="D718" s="41" t="s">
        <v>69</v>
      </c>
      <c r="E718" s="45">
        <v>10661</v>
      </c>
      <c r="F718" s="42"/>
      <c r="G718" s="42">
        <v>535</v>
      </c>
      <c r="H718" s="42">
        <f t="shared" si="122"/>
        <v>10126</v>
      </c>
      <c r="I718" s="96"/>
      <c r="J718" s="49"/>
      <c r="K718" s="49"/>
    </row>
    <row r="719" spans="1:11" s="16" customFormat="1" ht="12" customHeight="1" x14ac:dyDescent="0.2">
      <c r="A719" s="172"/>
      <c r="B719" s="137"/>
      <c r="C719" s="57" t="s">
        <v>58</v>
      </c>
      <c r="D719" s="69" t="s">
        <v>59</v>
      </c>
      <c r="E719" s="45">
        <v>2709</v>
      </c>
      <c r="F719" s="42">
        <v>1000</v>
      </c>
      <c r="G719" s="42"/>
      <c r="H719" s="42">
        <f t="shared" si="122"/>
        <v>3709</v>
      </c>
      <c r="I719" s="96"/>
      <c r="J719" s="49"/>
      <c r="K719" s="49"/>
    </row>
    <row r="720" spans="1:11" s="16" customFormat="1" ht="12" customHeight="1" x14ac:dyDescent="0.2">
      <c r="A720" s="172"/>
      <c r="B720" s="76">
        <v>85219</v>
      </c>
      <c r="C720" s="173"/>
      <c r="D720" s="77" t="s">
        <v>103</v>
      </c>
      <c r="E720" s="74">
        <v>53261</v>
      </c>
      <c r="F720" s="40">
        <f>SUM(F721)</f>
        <v>14316</v>
      </c>
      <c r="G720" s="40">
        <f>SUM(G721)</f>
        <v>0</v>
      </c>
      <c r="H720" s="39">
        <f>SUM(E720+F720-G720)</f>
        <v>67577</v>
      </c>
      <c r="I720" s="96"/>
      <c r="J720" s="49"/>
      <c r="K720" s="49"/>
    </row>
    <row r="721" spans="1:11" s="16" customFormat="1" ht="12" customHeight="1" x14ac:dyDescent="0.2">
      <c r="A721" s="172"/>
      <c r="B721" s="137"/>
      <c r="C721" s="173"/>
      <c r="D721" s="714" t="s">
        <v>64</v>
      </c>
      <c r="E721" s="95">
        <v>53261</v>
      </c>
      <c r="F721" s="697">
        <f>SUM(F722:F723)</f>
        <v>14316</v>
      </c>
      <c r="G721" s="697">
        <f>SUM(G722:G723)</f>
        <v>0</v>
      </c>
      <c r="H721" s="685">
        <f>SUM(E721+F721-G721)</f>
        <v>67577</v>
      </c>
      <c r="I721" s="96"/>
      <c r="J721" s="49"/>
      <c r="K721" s="49"/>
    </row>
    <row r="722" spans="1:11" s="16" customFormat="1" ht="12" customHeight="1" x14ac:dyDescent="0.2">
      <c r="A722" s="172"/>
      <c r="B722" s="37"/>
      <c r="C722" s="26">
        <v>3110</v>
      </c>
      <c r="D722" s="41" t="s">
        <v>235</v>
      </c>
      <c r="E722" s="45">
        <v>52474</v>
      </c>
      <c r="F722" s="45">
        <v>14105</v>
      </c>
      <c r="G722" s="45"/>
      <c r="H722" s="44">
        <f>SUM(E722+F722-G722)</f>
        <v>66579</v>
      </c>
      <c r="I722" s="96"/>
      <c r="J722" s="49"/>
      <c r="K722" s="49"/>
    </row>
    <row r="723" spans="1:11" s="16" customFormat="1" ht="12" customHeight="1" x14ac:dyDescent="0.2">
      <c r="A723" s="172"/>
      <c r="B723" s="37"/>
      <c r="C723" s="57" t="s">
        <v>58</v>
      </c>
      <c r="D723" s="69" t="s">
        <v>59</v>
      </c>
      <c r="E723" s="45">
        <v>787</v>
      </c>
      <c r="F723" s="45">
        <v>211</v>
      </c>
      <c r="G723" s="45"/>
      <c r="H723" s="44">
        <f>SUM(E723+F723-G723)</f>
        <v>998</v>
      </c>
      <c r="I723" s="96"/>
      <c r="J723" s="49"/>
      <c r="K723" s="49"/>
    </row>
    <row r="724" spans="1:11" s="16" customFormat="1" ht="12" customHeight="1" x14ac:dyDescent="0.2">
      <c r="A724" s="172"/>
      <c r="B724" s="37">
        <v>85228</v>
      </c>
      <c r="C724" s="27"/>
      <c r="D724" s="63" t="s">
        <v>604</v>
      </c>
      <c r="E724" s="74">
        <v>2880500</v>
      </c>
      <c r="F724" s="40">
        <f t="shared" ref="F724:G724" si="123">SUM(F725)</f>
        <v>3154045</v>
      </c>
      <c r="G724" s="40">
        <f t="shared" si="123"/>
        <v>2880500</v>
      </c>
      <c r="H724" s="39">
        <f t="shared" ref="H724:H729" si="124">SUM(E724+F724-G724)</f>
        <v>3154045</v>
      </c>
      <c r="I724" s="96"/>
      <c r="J724" s="49"/>
      <c r="K724" s="49"/>
    </row>
    <row r="725" spans="1:11" s="16" customFormat="1" ht="12" customHeight="1" x14ac:dyDescent="0.2">
      <c r="A725" s="172"/>
      <c r="B725" s="37"/>
      <c r="C725" s="27"/>
      <c r="D725" s="705" t="s">
        <v>223</v>
      </c>
      <c r="E725" s="95">
        <v>2880500</v>
      </c>
      <c r="F725" s="697">
        <f>SUM(F726:F727)</f>
        <v>3154045</v>
      </c>
      <c r="G725" s="697">
        <f>SUM(G726:G727)</f>
        <v>2880500</v>
      </c>
      <c r="H725" s="685">
        <f t="shared" si="124"/>
        <v>3154045</v>
      </c>
      <c r="I725" s="96"/>
      <c r="J725" s="49"/>
      <c r="K725" s="49"/>
    </row>
    <row r="726" spans="1:11" s="16" customFormat="1" ht="45" customHeight="1" x14ac:dyDescent="0.2">
      <c r="A726" s="172"/>
      <c r="B726" s="37"/>
      <c r="C726" s="99" t="s">
        <v>224</v>
      </c>
      <c r="D726" s="68" t="s">
        <v>225</v>
      </c>
      <c r="E726" s="45">
        <v>0</v>
      </c>
      <c r="F726" s="42">
        <f>2880500+273545</f>
        <v>3154045</v>
      </c>
      <c r="G726" s="42"/>
      <c r="H726" s="44">
        <f t="shared" si="124"/>
        <v>3154045</v>
      </c>
      <c r="I726" s="96"/>
      <c r="J726" s="49"/>
      <c r="K726" s="49"/>
    </row>
    <row r="727" spans="1:11" s="16" customFormat="1" ht="36" customHeight="1" x14ac:dyDescent="0.2">
      <c r="A727" s="172"/>
      <c r="B727" s="33"/>
      <c r="C727" s="99" t="s">
        <v>183</v>
      </c>
      <c r="D727" s="135" t="s">
        <v>184</v>
      </c>
      <c r="E727" s="42">
        <v>2880500</v>
      </c>
      <c r="F727" s="42"/>
      <c r="G727" s="42">
        <v>2880500</v>
      </c>
      <c r="H727" s="44">
        <f t="shared" si="124"/>
        <v>0</v>
      </c>
      <c r="I727" s="96"/>
      <c r="J727" s="49"/>
      <c r="K727" s="49"/>
    </row>
    <row r="728" spans="1:11" s="16" customFormat="1" ht="12" customHeight="1" thickBot="1" x14ac:dyDescent="0.25">
      <c r="A728" s="32">
        <v>853</v>
      </c>
      <c r="B728" s="33"/>
      <c r="C728" s="34"/>
      <c r="D728" s="35" t="s">
        <v>71</v>
      </c>
      <c r="E728" s="31">
        <v>802812.7</v>
      </c>
      <c r="F728" s="36">
        <f>SUM(F729)</f>
        <v>4284</v>
      </c>
      <c r="G728" s="36">
        <f>SUM(G729)</f>
        <v>0</v>
      </c>
      <c r="H728" s="31">
        <f t="shared" si="124"/>
        <v>807096.7</v>
      </c>
      <c r="I728" s="96"/>
      <c r="J728" s="49"/>
      <c r="K728" s="49"/>
    </row>
    <row r="729" spans="1:11" s="16" customFormat="1" ht="12" customHeight="1" thickTop="1" x14ac:dyDescent="0.2">
      <c r="A729" s="34"/>
      <c r="B729" s="37">
        <v>85395</v>
      </c>
      <c r="C729" s="27"/>
      <c r="D729" s="38" t="s">
        <v>15</v>
      </c>
      <c r="E729" s="74">
        <v>802812.7</v>
      </c>
      <c r="F729" s="39">
        <f>SUM(F730)</f>
        <v>4284</v>
      </c>
      <c r="G729" s="39">
        <f>SUM(G730)</f>
        <v>0</v>
      </c>
      <c r="H729" s="39">
        <f t="shared" si="124"/>
        <v>807096.7</v>
      </c>
      <c r="I729" s="96"/>
      <c r="J729" s="49"/>
      <c r="K729" s="49"/>
    </row>
    <row r="730" spans="1:11" s="16" customFormat="1" ht="22.5" customHeight="1" x14ac:dyDescent="0.2">
      <c r="A730" s="34"/>
      <c r="B730" s="37"/>
      <c r="C730" s="57"/>
      <c r="D730" s="712" t="s">
        <v>279</v>
      </c>
      <c r="E730" s="94">
        <v>30294</v>
      </c>
      <c r="F730" s="687">
        <f>SUM(F731:F733)</f>
        <v>4284</v>
      </c>
      <c r="G730" s="687">
        <f>SUM(G731:G733)</f>
        <v>0</v>
      </c>
      <c r="H730" s="94">
        <f>SUM(E730+F730-G730)</f>
        <v>34578</v>
      </c>
      <c r="I730" s="97"/>
      <c r="J730" s="49"/>
      <c r="K730" s="49"/>
    </row>
    <row r="731" spans="1:11" s="16" customFormat="1" ht="22.5" customHeight="1" x14ac:dyDescent="0.2">
      <c r="A731" s="34"/>
      <c r="B731" s="37"/>
      <c r="C731" s="64">
        <v>3290</v>
      </c>
      <c r="D731" s="65" t="s">
        <v>237</v>
      </c>
      <c r="E731" s="43">
        <v>29700</v>
      </c>
      <c r="F731" s="44">
        <v>4200</v>
      </c>
      <c r="G731" s="44"/>
      <c r="H731" s="44">
        <f>SUM(E731+F731-G731)</f>
        <v>33900</v>
      </c>
      <c r="I731" s="96"/>
      <c r="J731" s="49"/>
      <c r="K731" s="49"/>
    </row>
    <row r="732" spans="1:11" s="16" customFormat="1" ht="22.5" customHeight="1" x14ac:dyDescent="0.2">
      <c r="A732" s="34"/>
      <c r="B732" s="37"/>
      <c r="C732" s="64">
        <v>4740</v>
      </c>
      <c r="D732" s="65" t="s">
        <v>261</v>
      </c>
      <c r="E732" s="42">
        <v>495</v>
      </c>
      <c r="F732" s="44">
        <v>70</v>
      </c>
      <c r="G732" s="44"/>
      <c r="H732" s="44">
        <f t="shared" ref="H732:H734" si="125">SUM(E732+F732-G732)</f>
        <v>565</v>
      </c>
      <c r="I732" s="96"/>
      <c r="J732" s="49"/>
      <c r="K732" s="49"/>
    </row>
    <row r="733" spans="1:11" s="16" customFormat="1" ht="22.5" customHeight="1" x14ac:dyDescent="0.2">
      <c r="A733" s="34"/>
      <c r="B733" s="37"/>
      <c r="C733" s="64">
        <v>4850</v>
      </c>
      <c r="D733" s="65" t="s">
        <v>178</v>
      </c>
      <c r="E733" s="42">
        <v>99</v>
      </c>
      <c r="F733" s="44">
        <v>14</v>
      </c>
      <c r="G733" s="44"/>
      <c r="H733" s="44">
        <f t="shared" si="125"/>
        <v>113</v>
      </c>
      <c r="I733" s="96"/>
      <c r="J733" s="49"/>
      <c r="K733" s="49"/>
    </row>
    <row r="734" spans="1:11" s="16" customFormat="1" ht="12" customHeight="1" thickBot="1" x14ac:dyDescent="0.25">
      <c r="A734" s="33">
        <v>855</v>
      </c>
      <c r="B734" s="33"/>
      <c r="C734" s="34"/>
      <c r="D734" s="35" t="s">
        <v>22</v>
      </c>
      <c r="E734" s="36">
        <v>38058140</v>
      </c>
      <c r="F734" s="31">
        <f>SUM(F737,F746,F751)</f>
        <v>474825</v>
      </c>
      <c r="G734" s="31">
        <f>SUM(G737,G746,G751)</f>
        <v>115117</v>
      </c>
      <c r="H734" s="31">
        <f t="shared" si="125"/>
        <v>38417848</v>
      </c>
      <c r="I734" s="96"/>
      <c r="J734" s="49"/>
      <c r="K734" s="49"/>
    </row>
    <row r="735" spans="1:11" s="16" customFormat="1" ht="12" customHeight="1" thickTop="1" x14ac:dyDescent="0.2">
      <c r="A735" s="33"/>
      <c r="B735" s="56">
        <v>85502</v>
      </c>
      <c r="C735" s="57"/>
      <c r="D735" s="78" t="s">
        <v>280</v>
      </c>
      <c r="E735" s="42"/>
      <c r="F735" s="42"/>
      <c r="G735" s="158"/>
      <c r="H735" s="44"/>
      <c r="I735" s="96"/>
      <c r="J735" s="49"/>
      <c r="K735" s="49"/>
    </row>
    <row r="736" spans="1:11" s="16" customFormat="1" ht="12" customHeight="1" x14ac:dyDescent="0.2">
      <c r="A736" s="33"/>
      <c r="B736" s="56"/>
      <c r="C736" s="57"/>
      <c r="D736" s="78" t="s">
        <v>281</v>
      </c>
      <c r="E736" s="42"/>
      <c r="F736" s="42"/>
      <c r="G736" s="158"/>
      <c r="H736" s="44"/>
      <c r="I736" s="96"/>
      <c r="J736" s="49"/>
      <c r="K736" s="49"/>
    </row>
    <row r="737" spans="1:11" s="16" customFormat="1" ht="12" customHeight="1" x14ac:dyDescent="0.2">
      <c r="A737" s="33"/>
      <c r="B737" s="56"/>
      <c r="C737" s="57"/>
      <c r="D737" s="58" t="s">
        <v>282</v>
      </c>
      <c r="E737" s="40">
        <v>37590419</v>
      </c>
      <c r="F737" s="40">
        <f>SUM(F738,F742)</f>
        <v>422523</v>
      </c>
      <c r="G737" s="40">
        <f>SUM(G738,G742)</f>
        <v>115117</v>
      </c>
      <c r="H737" s="39">
        <f t="shared" ref="H737:H748" si="126">SUM(E737+F737-G737)</f>
        <v>37897825</v>
      </c>
      <c r="I737" s="96"/>
      <c r="J737" s="49"/>
      <c r="K737" s="49"/>
    </row>
    <row r="738" spans="1:11" s="16" customFormat="1" ht="12" customHeight="1" x14ac:dyDescent="0.2">
      <c r="A738" s="33"/>
      <c r="B738" s="37"/>
      <c r="C738" s="27"/>
      <c r="D738" s="714" t="s">
        <v>64</v>
      </c>
      <c r="E738" s="697">
        <v>37490044</v>
      </c>
      <c r="F738" s="697">
        <f>SUM(F739:F741)</f>
        <v>416211</v>
      </c>
      <c r="G738" s="697">
        <f>SUM(G739:G741)</f>
        <v>113987</v>
      </c>
      <c r="H738" s="685">
        <f t="shared" si="126"/>
        <v>37792268</v>
      </c>
      <c r="I738" s="96"/>
      <c r="J738" s="49"/>
      <c r="K738" s="49"/>
    </row>
    <row r="739" spans="1:11" s="16" customFormat="1" ht="12" customHeight="1" x14ac:dyDescent="0.2">
      <c r="A739" s="33"/>
      <c r="B739" s="33"/>
      <c r="C739" s="76">
        <v>3110</v>
      </c>
      <c r="D739" s="75" t="s">
        <v>235</v>
      </c>
      <c r="E739" s="42">
        <v>32834326</v>
      </c>
      <c r="F739" s="45">
        <v>65002</v>
      </c>
      <c r="G739" s="45">
        <v>113987</v>
      </c>
      <c r="H739" s="44">
        <f t="shared" si="126"/>
        <v>32785341</v>
      </c>
      <c r="I739" s="96"/>
      <c r="J739" s="49"/>
      <c r="K739" s="49"/>
    </row>
    <row r="740" spans="1:11" s="16" customFormat="1" ht="12" customHeight="1" x14ac:dyDescent="0.2">
      <c r="A740" s="33"/>
      <c r="B740" s="33"/>
      <c r="C740" s="26">
        <v>4010</v>
      </c>
      <c r="D740" s="41" t="s">
        <v>34</v>
      </c>
      <c r="E740" s="42">
        <v>742315</v>
      </c>
      <c r="F740" s="45">
        <v>1676</v>
      </c>
      <c r="G740" s="45"/>
      <c r="H740" s="44">
        <f t="shared" si="126"/>
        <v>743991</v>
      </c>
      <c r="I740" s="96"/>
      <c r="J740" s="49"/>
      <c r="K740" s="49"/>
    </row>
    <row r="741" spans="1:11" s="16" customFormat="1" ht="12" customHeight="1" x14ac:dyDescent="0.2">
      <c r="A741" s="113"/>
      <c r="B741" s="113"/>
      <c r="C741" s="83">
        <v>4110</v>
      </c>
      <c r="D741" s="84" t="s">
        <v>36</v>
      </c>
      <c r="E741" s="130">
        <v>3769693</v>
      </c>
      <c r="F741" s="74">
        <f>333+349200</f>
        <v>349533</v>
      </c>
      <c r="G741" s="74"/>
      <c r="H741" s="40">
        <f t="shared" si="126"/>
        <v>4119226</v>
      </c>
      <c r="I741" s="96"/>
      <c r="J741" s="49"/>
      <c r="K741" s="49"/>
    </row>
    <row r="742" spans="1:11" s="16" customFormat="1" ht="22.15" customHeight="1" x14ac:dyDescent="0.2">
      <c r="A742" s="33"/>
      <c r="B742" s="33"/>
      <c r="C742" s="27"/>
      <c r="D742" s="714" t="s">
        <v>283</v>
      </c>
      <c r="E742" s="697">
        <v>100375</v>
      </c>
      <c r="F742" s="697">
        <f>SUM(F743:F745)</f>
        <v>6312</v>
      </c>
      <c r="G742" s="697">
        <f>SUM(G743:G745)</f>
        <v>1130</v>
      </c>
      <c r="H742" s="685">
        <f t="shared" si="126"/>
        <v>105557</v>
      </c>
      <c r="I742" s="96"/>
      <c r="J742" s="49"/>
      <c r="K742" s="49"/>
    </row>
    <row r="743" spans="1:11" s="16" customFormat="1" ht="12" customHeight="1" x14ac:dyDescent="0.2">
      <c r="A743" s="33"/>
      <c r="B743" s="33"/>
      <c r="C743" s="76">
        <v>3110</v>
      </c>
      <c r="D743" s="75" t="s">
        <v>235</v>
      </c>
      <c r="E743" s="42">
        <v>98375</v>
      </c>
      <c r="F743" s="45">
        <v>3781</v>
      </c>
      <c r="G743" s="45"/>
      <c r="H743" s="44">
        <f t="shared" si="126"/>
        <v>102156</v>
      </c>
      <c r="I743" s="96"/>
      <c r="J743" s="49"/>
      <c r="K743" s="49"/>
    </row>
    <row r="744" spans="1:11" s="16" customFormat="1" ht="12" customHeight="1" x14ac:dyDescent="0.2">
      <c r="A744" s="33"/>
      <c r="B744" s="33"/>
      <c r="C744" s="26">
        <v>4010</v>
      </c>
      <c r="D744" s="41" t="s">
        <v>34</v>
      </c>
      <c r="E744" s="42">
        <v>0</v>
      </c>
      <c r="F744" s="45">
        <v>2531</v>
      </c>
      <c r="G744" s="45"/>
      <c r="H744" s="44">
        <f t="shared" si="126"/>
        <v>2531</v>
      </c>
      <c r="I744" s="96"/>
      <c r="J744" s="49"/>
      <c r="K744" s="49"/>
    </row>
    <row r="745" spans="1:11" s="16" customFormat="1" ht="12" customHeight="1" x14ac:dyDescent="0.2">
      <c r="A745" s="33"/>
      <c r="B745" s="33"/>
      <c r="C745" s="26">
        <v>4300</v>
      </c>
      <c r="D745" s="41" t="s">
        <v>16</v>
      </c>
      <c r="E745" s="42">
        <v>1130</v>
      </c>
      <c r="F745" s="45"/>
      <c r="G745" s="45">
        <v>1130</v>
      </c>
      <c r="H745" s="44">
        <f t="shared" si="126"/>
        <v>0</v>
      </c>
      <c r="I745" s="96"/>
      <c r="J745" s="49"/>
      <c r="K745" s="49"/>
    </row>
    <row r="746" spans="1:11" s="16" customFormat="1" ht="12" customHeight="1" x14ac:dyDescent="0.2">
      <c r="A746" s="33"/>
      <c r="B746" s="76">
        <v>85503</v>
      </c>
      <c r="C746" s="174"/>
      <c r="D746" s="77" t="s">
        <v>125</v>
      </c>
      <c r="E746" s="130">
        <v>11687</v>
      </c>
      <c r="F746" s="40">
        <f t="shared" ref="F746:G746" si="127">SUM(F747)</f>
        <v>2500</v>
      </c>
      <c r="G746" s="40">
        <f t="shared" si="127"/>
        <v>0</v>
      </c>
      <c r="H746" s="39">
        <f t="shared" si="126"/>
        <v>14187</v>
      </c>
      <c r="I746" s="96"/>
      <c r="J746" s="49"/>
      <c r="K746" s="49"/>
    </row>
    <row r="747" spans="1:11" s="16" customFormat="1" ht="12" customHeight="1" x14ac:dyDescent="0.2">
      <c r="A747" s="33"/>
      <c r="B747" s="137"/>
      <c r="C747" s="174"/>
      <c r="D747" s="715" t="s">
        <v>223</v>
      </c>
      <c r="E747" s="131">
        <v>11687</v>
      </c>
      <c r="F747" s="697">
        <f>SUM(F748:F748)</f>
        <v>2500</v>
      </c>
      <c r="G747" s="697">
        <f>SUM(G748:G748)</f>
        <v>0</v>
      </c>
      <c r="H747" s="685">
        <f t="shared" si="126"/>
        <v>14187</v>
      </c>
      <c r="I747" s="96"/>
      <c r="J747" s="49"/>
      <c r="K747" s="49"/>
    </row>
    <row r="748" spans="1:11" s="16" customFormat="1" ht="12" customHeight="1" x14ac:dyDescent="0.2">
      <c r="A748" s="33"/>
      <c r="B748" s="137"/>
      <c r="C748" s="57" t="s">
        <v>58</v>
      </c>
      <c r="D748" s="69" t="s">
        <v>59</v>
      </c>
      <c r="E748" s="42">
        <v>662</v>
      </c>
      <c r="F748" s="45">
        <v>2500</v>
      </c>
      <c r="G748" s="45"/>
      <c r="H748" s="44">
        <f t="shared" si="126"/>
        <v>3162</v>
      </c>
      <c r="I748" s="96"/>
      <c r="J748" s="49"/>
      <c r="K748" s="49"/>
    </row>
    <row r="749" spans="1:11" s="16" customFormat="1" ht="12" customHeight="1" x14ac:dyDescent="0.2">
      <c r="A749" s="33"/>
      <c r="B749" s="37">
        <v>85513</v>
      </c>
      <c r="C749" s="27"/>
      <c r="D749" s="56" t="s">
        <v>23</v>
      </c>
      <c r="E749" s="44"/>
      <c r="F749" s="44"/>
      <c r="G749" s="44"/>
      <c r="H749" s="44"/>
      <c r="I749" s="96"/>
      <c r="J749" s="49"/>
      <c r="K749" s="49"/>
    </row>
    <row r="750" spans="1:11" s="16" customFormat="1" ht="12" customHeight="1" x14ac:dyDescent="0.2">
      <c r="A750" s="33"/>
      <c r="B750" s="54"/>
      <c r="C750" s="27"/>
      <c r="D750" s="61" t="s">
        <v>24</v>
      </c>
      <c r="E750" s="44"/>
      <c r="F750" s="44"/>
      <c r="G750" s="44"/>
      <c r="H750" s="44"/>
      <c r="I750" s="96"/>
      <c r="J750" s="49"/>
      <c r="K750" s="49"/>
    </row>
    <row r="751" spans="1:11" s="16" customFormat="1" ht="12" customHeight="1" x14ac:dyDescent="0.2">
      <c r="A751" s="33"/>
      <c r="B751" s="37"/>
      <c r="C751" s="27"/>
      <c r="D751" s="38" t="s">
        <v>63</v>
      </c>
      <c r="E751" s="39">
        <v>456034</v>
      </c>
      <c r="F751" s="40">
        <f t="shared" ref="F751:G751" si="128">SUM(F752)</f>
        <v>49802</v>
      </c>
      <c r="G751" s="40">
        <f t="shared" si="128"/>
        <v>0</v>
      </c>
      <c r="H751" s="39">
        <f>SUM(E751+F751-G751)</f>
        <v>505836</v>
      </c>
      <c r="I751" s="96"/>
      <c r="J751" s="49"/>
      <c r="K751" s="49"/>
    </row>
    <row r="752" spans="1:11" s="16" customFormat="1" ht="12" customHeight="1" x14ac:dyDescent="0.2">
      <c r="A752" s="33"/>
      <c r="B752" s="37"/>
      <c r="C752" s="27"/>
      <c r="D752" s="693" t="s">
        <v>64</v>
      </c>
      <c r="E752" s="94">
        <v>456034</v>
      </c>
      <c r="F752" s="687">
        <f>SUM(F753)</f>
        <v>49802</v>
      </c>
      <c r="G752" s="687">
        <f>SUM(G753)</f>
        <v>0</v>
      </c>
      <c r="H752" s="94">
        <f>SUM(E752+F752-G752)</f>
        <v>505836</v>
      </c>
      <c r="I752" s="96"/>
      <c r="J752" s="49"/>
      <c r="K752" s="49"/>
    </row>
    <row r="753" spans="1:11" s="16" customFormat="1" ht="12" customHeight="1" x14ac:dyDescent="0.2">
      <c r="A753" s="33"/>
      <c r="B753" s="33"/>
      <c r="C753" s="26">
        <v>4130</v>
      </c>
      <c r="D753" s="41" t="s">
        <v>65</v>
      </c>
      <c r="E753" s="42">
        <v>456034</v>
      </c>
      <c r="F753" s="44">
        <v>49802</v>
      </c>
      <c r="G753" s="44"/>
      <c r="H753" s="42">
        <f>SUM(E753+F753-G753)</f>
        <v>505836</v>
      </c>
      <c r="I753" s="96"/>
      <c r="J753" s="49"/>
      <c r="K753" s="49"/>
    </row>
    <row r="754" spans="1:11" s="16" customFormat="1" ht="21.75" customHeight="1" thickBot="1" x14ac:dyDescent="0.25">
      <c r="A754" s="87"/>
      <c r="B754" s="37"/>
      <c r="C754" s="26"/>
      <c r="D754" s="30" t="s">
        <v>66</v>
      </c>
      <c r="E754" s="31">
        <v>21756740.029999997</v>
      </c>
      <c r="F754" s="31">
        <f>SUM(F755,F761,F765,F772,F780)</f>
        <v>155871.78</v>
      </c>
      <c r="G754" s="31">
        <f>SUM(G755,G761,G765,G772,G780)</f>
        <v>148026.16</v>
      </c>
      <c r="H754" s="31">
        <f>SUM(E754+F754-G754)</f>
        <v>21764585.649999999</v>
      </c>
      <c r="I754" s="96"/>
      <c r="J754" s="49"/>
      <c r="K754" s="49"/>
    </row>
    <row r="755" spans="1:11" s="16" customFormat="1" ht="19.5" customHeight="1" thickTop="1" thickBot="1" x14ac:dyDescent="0.25">
      <c r="A755" s="33">
        <v>750</v>
      </c>
      <c r="B755" s="33"/>
      <c r="C755" s="34"/>
      <c r="D755" s="35" t="s">
        <v>14</v>
      </c>
      <c r="E755" s="31">
        <v>125000</v>
      </c>
      <c r="F755" s="31">
        <f>SUM(F756)</f>
        <v>5941</v>
      </c>
      <c r="G755" s="31">
        <f>SUM(G756)</f>
        <v>0</v>
      </c>
      <c r="H755" s="31">
        <f t="shared" ref="H755:H760" si="129">SUM(E755+F755-G755)</f>
        <v>130941</v>
      </c>
      <c r="I755" s="96"/>
      <c r="J755" s="49"/>
      <c r="K755" s="49"/>
    </row>
    <row r="756" spans="1:11" s="16" customFormat="1" ht="12" customHeight="1" thickTop="1" x14ac:dyDescent="0.2">
      <c r="A756" s="33"/>
      <c r="B756" s="26">
        <v>75011</v>
      </c>
      <c r="C756" s="85"/>
      <c r="D756" s="89" t="s">
        <v>116</v>
      </c>
      <c r="E756" s="74">
        <v>125000</v>
      </c>
      <c r="F756" s="40">
        <f>SUM(F757)</f>
        <v>5941</v>
      </c>
      <c r="G756" s="40">
        <f>SUM(G757)</f>
        <v>0</v>
      </c>
      <c r="H756" s="39">
        <f t="shared" si="129"/>
        <v>130941</v>
      </c>
      <c r="I756" s="96"/>
      <c r="J756" s="49"/>
      <c r="K756" s="49"/>
    </row>
    <row r="757" spans="1:11" s="16" customFormat="1" ht="12" customHeight="1" x14ac:dyDescent="0.2">
      <c r="A757" s="33"/>
      <c r="B757" s="26"/>
      <c r="C757" s="27"/>
      <c r="D757" s="693" t="s">
        <v>73</v>
      </c>
      <c r="E757" s="95">
        <v>125000</v>
      </c>
      <c r="F757" s="697">
        <f>SUM(F758:F760)</f>
        <v>5941</v>
      </c>
      <c r="G757" s="697">
        <f>SUM(G758:G760)</f>
        <v>0</v>
      </c>
      <c r="H757" s="685">
        <f t="shared" si="129"/>
        <v>130941</v>
      </c>
      <c r="I757" s="96"/>
      <c r="J757" s="49"/>
      <c r="K757" s="49"/>
    </row>
    <row r="758" spans="1:11" s="16" customFormat="1" ht="12" customHeight="1" x14ac:dyDescent="0.2">
      <c r="A758" s="33"/>
      <c r="B758" s="26"/>
      <c r="C758" s="26">
        <v>4010</v>
      </c>
      <c r="D758" s="41" t="s">
        <v>34</v>
      </c>
      <c r="E758" s="42">
        <v>96949</v>
      </c>
      <c r="F758" s="42">
        <v>5193</v>
      </c>
      <c r="G758" s="158"/>
      <c r="H758" s="44">
        <f t="shared" si="129"/>
        <v>102142</v>
      </c>
      <c r="I758" s="96"/>
      <c r="J758" s="49"/>
      <c r="K758" s="49"/>
    </row>
    <row r="759" spans="1:11" s="16" customFormat="1" ht="12" customHeight="1" x14ac:dyDescent="0.2">
      <c r="A759" s="33"/>
      <c r="B759" s="26"/>
      <c r="C759" s="26">
        <v>4110</v>
      </c>
      <c r="D759" s="41" t="s">
        <v>36</v>
      </c>
      <c r="E759" s="42">
        <v>17923</v>
      </c>
      <c r="F759" s="42">
        <v>655</v>
      </c>
      <c r="G759" s="158"/>
      <c r="H759" s="44">
        <f t="shared" si="129"/>
        <v>18578</v>
      </c>
      <c r="I759" s="96"/>
      <c r="J759" s="49"/>
      <c r="K759" s="49"/>
    </row>
    <row r="760" spans="1:11" s="16" customFormat="1" ht="12" customHeight="1" x14ac:dyDescent="0.2">
      <c r="A760" s="33"/>
      <c r="B760" s="26"/>
      <c r="C760" s="26">
        <v>4120</v>
      </c>
      <c r="D760" s="41" t="s">
        <v>62</v>
      </c>
      <c r="E760" s="42">
        <v>2554</v>
      </c>
      <c r="F760" s="42">
        <v>93</v>
      </c>
      <c r="G760" s="158"/>
      <c r="H760" s="44">
        <f t="shared" si="129"/>
        <v>2647</v>
      </c>
      <c r="I760" s="96"/>
      <c r="J760" s="49"/>
      <c r="K760" s="49"/>
    </row>
    <row r="761" spans="1:11" s="16" customFormat="1" ht="12" customHeight="1" thickBot="1" x14ac:dyDescent="0.25">
      <c r="A761" s="33">
        <v>754</v>
      </c>
      <c r="B761" s="33"/>
      <c r="C761" s="34"/>
      <c r="D761" s="35" t="s">
        <v>67</v>
      </c>
      <c r="E761" s="31">
        <v>18470572.579999998</v>
      </c>
      <c r="F761" s="36">
        <f t="shared" ref="F761:G762" si="130">SUM(F762)</f>
        <v>502.74</v>
      </c>
      <c r="G761" s="36">
        <f t="shared" si="130"/>
        <v>0</v>
      </c>
      <c r="H761" s="31">
        <f>SUM(E761+F761-G761)</f>
        <v>18471075.319999997</v>
      </c>
      <c r="I761" s="96"/>
      <c r="J761" s="49"/>
      <c r="K761" s="49"/>
    </row>
    <row r="762" spans="1:11" s="16" customFormat="1" ht="12.75" customHeight="1" thickTop="1" x14ac:dyDescent="0.2">
      <c r="A762" s="88"/>
      <c r="B762" s="26">
        <v>75411</v>
      </c>
      <c r="C762" s="85"/>
      <c r="D762" s="89" t="s">
        <v>28</v>
      </c>
      <c r="E762" s="39">
        <v>18470572.579999998</v>
      </c>
      <c r="F762" s="40">
        <f t="shared" si="130"/>
        <v>502.74</v>
      </c>
      <c r="G762" s="40">
        <f t="shared" si="130"/>
        <v>0</v>
      </c>
      <c r="H762" s="39">
        <f>SUM(E762+F762-G762)</f>
        <v>18471075.319999997</v>
      </c>
      <c r="I762" s="96"/>
      <c r="J762" s="49"/>
      <c r="K762" s="49"/>
    </row>
    <row r="763" spans="1:11" s="16" customFormat="1" ht="12.6" customHeight="1" x14ac:dyDescent="0.2">
      <c r="A763" s="17"/>
      <c r="B763" s="85"/>
      <c r="C763" s="26"/>
      <c r="D763" s="705" t="s">
        <v>68</v>
      </c>
      <c r="E763" s="685">
        <v>18470572.579999998</v>
      </c>
      <c r="F763" s="685">
        <f>SUM(F764:F764)</f>
        <v>502.74</v>
      </c>
      <c r="G763" s="685">
        <f>SUM(G764:G764)</f>
        <v>0</v>
      </c>
      <c r="H763" s="94">
        <f>SUM(E763+F763-G763)</f>
        <v>18471075.319999997</v>
      </c>
      <c r="I763" s="96"/>
      <c r="J763" s="49"/>
      <c r="K763" s="49"/>
    </row>
    <row r="764" spans="1:11" s="16" customFormat="1" ht="12" customHeight="1" x14ac:dyDescent="0.2">
      <c r="A764" s="32"/>
      <c r="B764" s="37"/>
      <c r="C764" s="26">
        <v>4440</v>
      </c>
      <c r="D764" s="41" t="s">
        <v>284</v>
      </c>
      <c r="E764" s="42">
        <v>7155</v>
      </c>
      <c r="F764" s="42">
        <v>502.74</v>
      </c>
      <c r="G764" s="42"/>
      <c r="H764" s="44">
        <f t="shared" ref="H764" si="131">SUM(E764+F764-G764)</f>
        <v>7657.74</v>
      </c>
      <c r="I764" s="96"/>
      <c r="J764" s="49"/>
      <c r="K764" s="49"/>
    </row>
    <row r="765" spans="1:11" s="16" customFormat="1" ht="12" customHeight="1" thickBot="1" x14ac:dyDescent="0.25">
      <c r="A765" s="33">
        <v>755</v>
      </c>
      <c r="B765" s="33"/>
      <c r="C765" s="34"/>
      <c r="D765" s="35" t="s">
        <v>285</v>
      </c>
      <c r="E765" s="31">
        <v>264000</v>
      </c>
      <c r="F765" s="36">
        <f t="shared" ref="F765:G766" si="132">SUM(F766)</f>
        <v>129040</v>
      </c>
      <c r="G765" s="36">
        <f t="shared" si="132"/>
        <v>129040</v>
      </c>
      <c r="H765" s="31">
        <f>SUM(E765+F765-G765)</f>
        <v>264000</v>
      </c>
      <c r="I765" s="96"/>
      <c r="J765" s="49"/>
      <c r="K765" s="49"/>
    </row>
    <row r="766" spans="1:11" s="16" customFormat="1" ht="12" customHeight="1" thickTop="1" x14ac:dyDescent="0.2">
      <c r="A766" s="88"/>
      <c r="B766" s="26">
        <v>75515</v>
      </c>
      <c r="C766" s="85"/>
      <c r="D766" s="89" t="s">
        <v>286</v>
      </c>
      <c r="E766" s="39">
        <v>264000</v>
      </c>
      <c r="F766" s="40">
        <f t="shared" si="132"/>
        <v>129040</v>
      </c>
      <c r="G766" s="40">
        <f t="shared" si="132"/>
        <v>129040</v>
      </c>
      <c r="H766" s="39">
        <f>SUM(E766+F766-G766)</f>
        <v>264000</v>
      </c>
      <c r="I766" s="96"/>
      <c r="J766" s="49"/>
      <c r="K766" s="49"/>
    </row>
    <row r="767" spans="1:11" s="16" customFormat="1" ht="12" customHeight="1" x14ac:dyDescent="0.2">
      <c r="A767" s="17"/>
      <c r="B767" s="85"/>
      <c r="C767" s="26"/>
      <c r="D767" s="705" t="s">
        <v>223</v>
      </c>
      <c r="E767" s="685">
        <v>264000</v>
      </c>
      <c r="F767" s="685">
        <f>SUM(F768:F771)</f>
        <v>129040</v>
      </c>
      <c r="G767" s="685">
        <f>SUM(G768:G771)</f>
        <v>129040</v>
      </c>
      <c r="H767" s="94">
        <f>SUM(E767+F767-G767)</f>
        <v>264000</v>
      </c>
      <c r="I767" s="96"/>
      <c r="J767" s="49"/>
      <c r="K767" s="49"/>
    </row>
    <row r="768" spans="1:11" s="16" customFormat="1" ht="46.5" customHeight="1" x14ac:dyDescent="0.2">
      <c r="A768" s="32"/>
      <c r="B768" s="37"/>
      <c r="C768" s="99" t="s">
        <v>224</v>
      </c>
      <c r="D768" s="68" t="s">
        <v>225</v>
      </c>
      <c r="E768" s="44">
        <v>0</v>
      </c>
      <c r="F768" s="42">
        <v>128040</v>
      </c>
      <c r="G768" s="42"/>
      <c r="H768" s="43">
        <f t="shared" ref="H768:H771" si="133">SUM(E768+F768-G768)</f>
        <v>128040</v>
      </c>
      <c r="I768" s="96"/>
      <c r="J768" s="49"/>
      <c r="K768" s="49"/>
    </row>
    <row r="769" spans="1:11" s="16" customFormat="1" ht="33.75" customHeight="1" x14ac:dyDescent="0.2">
      <c r="A769" s="32"/>
      <c r="B769" s="37"/>
      <c r="C769" s="99" t="s">
        <v>183</v>
      </c>
      <c r="D769" s="68" t="s">
        <v>184</v>
      </c>
      <c r="E769" s="44">
        <v>128040</v>
      </c>
      <c r="F769" s="42"/>
      <c r="G769" s="42">
        <v>128040</v>
      </c>
      <c r="H769" s="43">
        <f t="shared" si="133"/>
        <v>0</v>
      </c>
      <c r="I769" s="96"/>
      <c r="J769" s="49"/>
      <c r="K769" s="49"/>
    </row>
    <row r="770" spans="1:11" s="16" customFormat="1" ht="12" customHeight="1" x14ac:dyDescent="0.2">
      <c r="A770" s="32"/>
      <c r="B770" s="37"/>
      <c r="C770" s="57" t="s">
        <v>58</v>
      </c>
      <c r="D770" s="69" t="s">
        <v>59</v>
      </c>
      <c r="E770" s="44">
        <v>618</v>
      </c>
      <c r="F770" s="42">
        <v>1000</v>
      </c>
      <c r="G770" s="42"/>
      <c r="H770" s="43">
        <f t="shared" si="133"/>
        <v>1618</v>
      </c>
      <c r="I770" s="96"/>
      <c r="J770" s="49"/>
      <c r="K770" s="49"/>
    </row>
    <row r="771" spans="1:11" s="16" customFormat="1" ht="12" customHeight="1" x14ac:dyDescent="0.2">
      <c r="A771" s="32"/>
      <c r="B771" s="37"/>
      <c r="C771" s="26">
        <v>4300</v>
      </c>
      <c r="D771" s="41" t="s">
        <v>16</v>
      </c>
      <c r="E771" s="146">
        <v>116366.72</v>
      </c>
      <c r="F771" s="42"/>
      <c r="G771" s="42">
        <v>1000</v>
      </c>
      <c r="H771" s="43">
        <f t="shared" si="133"/>
        <v>115366.72</v>
      </c>
      <c r="I771" s="96"/>
      <c r="J771" s="49"/>
      <c r="K771" s="49"/>
    </row>
    <row r="772" spans="1:11" s="16" customFormat="1" ht="12" customHeight="1" thickBot="1" x14ac:dyDescent="0.25">
      <c r="A772" s="32">
        <v>801</v>
      </c>
      <c r="B772" s="33"/>
      <c r="C772" s="34"/>
      <c r="D772" s="35" t="s">
        <v>40</v>
      </c>
      <c r="E772" s="31">
        <v>52495.45</v>
      </c>
      <c r="F772" s="31">
        <f>SUM(F775)</f>
        <v>1201.8800000000001</v>
      </c>
      <c r="G772" s="31">
        <f>SUM(G775)</f>
        <v>0</v>
      </c>
      <c r="H772" s="31">
        <f>SUM(E772+F772-G772)</f>
        <v>53697.329999999994</v>
      </c>
      <c r="I772" s="96"/>
      <c r="J772" s="49"/>
      <c r="K772" s="49"/>
    </row>
    <row r="773" spans="1:11" s="16" customFormat="1" ht="12" customHeight="1" thickTop="1" x14ac:dyDescent="0.2">
      <c r="A773" s="32"/>
      <c r="B773" s="37">
        <v>80153</v>
      </c>
      <c r="C773" s="34"/>
      <c r="D773" s="69" t="s">
        <v>91</v>
      </c>
      <c r="E773" s="62"/>
      <c r="F773" s="62"/>
      <c r="G773" s="62"/>
      <c r="H773" s="62"/>
      <c r="I773" s="96"/>
      <c r="J773" s="49"/>
      <c r="K773" s="49"/>
    </row>
    <row r="774" spans="1:11" s="16" customFormat="1" ht="12" customHeight="1" x14ac:dyDescent="0.2">
      <c r="A774" s="32"/>
      <c r="B774" s="33"/>
      <c r="C774" s="34"/>
      <c r="D774" s="69" t="s">
        <v>92</v>
      </c>
      <c r="E774" s="62"/>
      <c r="F774" s="62"/>
      <c r="G774" s="62"/>
      <c r="H774" s="62"/>
      <c r="I774" s="96"/>
      <c r="J774" s="49"/>
      <c r="K774" s="49"/>
    </row>
    <row r="775" spans="1:11" s="16" customFormat="1" ht="12" customHeight="1" x14ac:dyDescent="0.2">
      <c r="A775" s="33"/>
      <c r="B775" s="37"/>
      <c r="C775" s="27"/>
      <c r="D775" s="38" t="s">
        <v>93</v>
      </c>
      <c r="E775" s="39">
        <v>52495.45</v>
      </c>
      <c r="F775" s="39">
        <f>SUM(F776,F778)</f>
        <v>1201.8800000000001</v>
      </c>
      <c r="G775" s="39">
        <f>SUM(G776,G778)</f>
        <v>0</v>
      </c>
      <c r="H775" s="39">
        <f>SUM(E775+F775-G775)</f>
        <v>53697.329999999994</v>
      </c>
      <c r="I775" s="96"/>
      <c r="J775" s="49"/>
      <c r="K775" s="49"/>
    </row>
    <row r="776" spans="1:11" s="16" customFormat="1" ht="12" customHeight="1" x14ac:dyDescent="0.2">
      <c r="A776" s="53"/>
      <c r="B776" s="37"/>
      <c r="C776" s="27"/>
      <c r="D776" s="693" t="s">
        <v>42</v>
      </c>
      <c r="E776" s="94">
        <v>51975.74</v>
      </c>
      <c r="F776" s="687">
        <f>SUM(F777:F777)</f>
        <v>1189.98</v>
      </c>
      <c r="G776" s="687">
        <f>SUM(G777:G777)</f>
        <v>0</v>
      </c>
      <c r="H776" s="94">
        <f>SUM(E776+F776-G776)</f>
        <v>53165.72</v>
      </c>
      <c r="I776" s="96"/>
      <c r="J776" s="49"/>
      <c r="K776" s="49"/>
    </row>
    <row r="777" spans="1:11" s="16" customFormat="1" ht="12" customHeight="1" x14ac:dyDescent="0.2">
      <c r="A777" s="32"/>
      <c r="B777" s="54"/>
      <c r="C777" s="26">
        <v>4240</v>
      </c>
      <c r="D777" s="41" t="s">
        <v>169</v>
      </c>
      <c r="E777" s="43">
        <v>51975.74</v>
      </c>
      <c r="F777" s="44">
        <v>1189.98</v>
      </c>
      <c r="G777" s="175"/>
      <c r="H777" s="43">
        <f>SUM(E777+F777-G777)</f>
        <v>53165.72</v>
      </c>
      <c r="I777" s="96"/>
      <c r="J777" s="49"/>
      <c r="K777" s="49"/>
    </row>
    <row r="778" spans="1:11" s="16" customFormat="1" ht="12" customHeight="1" x14ac:dyDescent="0.2">
      <c r="A778" s="32"/>
      <c r="B778" s="54"/>
      <c r="C778" s="27"/>
      <c r="D778" s="684" t="s">
        <v>56</v>
      </c>
      <c r="E778" s="94">
        <v>519.71</v>
      </c>
      <c r="F778" s="687">
        <f>SUM(F779:F779)</f>
        <v>11.9</v>
      </c>
      <c r="G778" s="687">
        <f>SUM(G779:G779)</f>
        <v>0</v>
      </c>
      <c r="H778" s="94">
        <f>SUM(E778+F778-G778)</f>
        <v>531.61</v>
      </c>
      <c r="I778" s="96"/>
      <c r="J778" s="49"/>
      <c r="K778" s="49"/>
    </row>
    <row r="779" spans="1:11" s="16" customFormat="1" ht="12" customHeight="1" x14ac:dyDescent="0.2">
      <c r="A779" s="32"/>
      <c r="B779" s="54"/>
      <c r="C779" s="86">
        <v>4210</v>
      </c>
      <c r="D779" s="69" t="s">
        <v>59</v>
      </c>
      <c r="E779" s="43">
        <v>519.71</v>
      </c>
      <c r="F779" s="44">
        <v>11.9</v>
      </c>
      <c r="G779" s="175"/>
      <c r="H779" s="43">
        <f>SUM(E779+F779-G779)</f>
        <v>531.61</v>
      </c>
      <c r="I779" s="96"/>
      <c r="J779" s="49"/>
      <c r="K779" s="49"/>
    </row>
    <row r="780" spans="1:11" s="16" customFormat="1" ht="12" customHeight="1" thickBot="1" x14ac:dyDescent="0.25">
      <c r="A780" s="32">
        <v>853</v>
      </c>
      <c r="B780" s="33"/>
      <c r="C780" s="34"/>
      <c r="D780" s="35" t="s">
        <v>71</v>
      </c>
      <c r="E780" s="31">
        <v>538099</v>
      </c>
      <c r="F780" s="31">
        <f>SUM(F781)</f>
        <v>19186.16</v>
      </c>
      <c r="G780" s="31">
        <f>SUM(G781)</f>
        <v>18986.16</v>
      </c>
      <c r="H780" s="31">
        <f t="shared" ref="H780:H785" si="134">SUM(E780+F780-G780)</f>
        <v>538299</v>
      </c>
      <c r="I780" s="96"/>
      <c r="J780" s="49"/>
      <c r="K780" s="49"/>
    </row>
    <row r="781" spans="1:11" s="16" customFormat="1" ht="12" customHeight="1" thickTop="1" x14ac:dyDescent="0.2">
      <c r="A781" s="32"/>
      <c r="B781" s="37">
        <v>85321</v>
      </c>
      <c r="C781" s="27"/>
      <c r="D781" s="38" t="s">
        <v>72</v>
      </c>
      <c r="E781" s="74">
        <v>508300</v>
      </c>
      <c r="F781" s="40">
        <f>SUM(F782,F786)</f>
        <v>19186.16</v>
      </c>
      <c r="G781" s="40">
        <f>SUM(G782,G786)</f>
        <v>18986.16</v>
      </c>
      <c r="H781" s="39">
        <f t="shared" si="134"/>
        <v>508500.00000000006</v>
      </c>
      <c r="I781" s="96"/>
      <c r="J781" s="49"/>
      <c r="K781" s="49"/>
    </row>
    <row r="782" spans="1:11" s="16" customFormat="1" ht="12" customHeight="1" x14ac:dyDescent="0.2">
      <c r="A782" s="32"/>
      <c r="B782" s="37"/>
      <c r="C782" s="27"/>
      <c r="D782" s="684" t="s">
        <v>287</v>
      </c>
      <c r="E782" s="95">
        <v>241500</v>
      </c>
      <c r="F782" s="697">
        <f>SUM(F783:F785)</f>
        <v>18986.16</v>
      </c>
      <c r="G782" s="697">
        <f>SUM(G783:G785)</f>
        <v>18986.16</v>
      </c>
      <c r="H782" s="685">
        <f t="shared" si="134"/>
        <v>241500</v>
      </c>
      <c r="I782" s="96"/>
      <c r="J782" s="49"/>
      <c r="K782" s="49"/>
    </row>
    <row r="783" spans="1:11" s="16" customFormat="1" ht="12" customHeight="1" x14ac:dyDescent="0.2">
      <c r="A783" s="32"/>
      <c r="B783" s="33"/>
      <c r="C783" s="26">
        <v>4170</v>
      </c>
      <c r="D783" s="41" t="s">
        <v>69</v>
      </c>
      <c r="E783" s="42">
        <v>97114</v>
      </c>
      <c r="F783" s="42">
        <v>8186.16</v>
      </c>
      <c r="G783" s="42"/>
      <c r="H783" s="44">
        <f t="shared" si="134"/>
        <v>105300.16</v>
      </c>
      <c r="I783" s="96"/>
      <c r="J783" s="49"/>
      <c r="K783" s="49"/>
    </row>
    <row r="784" spans="1:11" s="16" customFormat="1" ht="12" customHeight="1" x14ac:dyDescent="0.2">
      <c r="A784" s="32"/>
      <c r="B784" s="33"/>
      <c r="C784" s="57" t="s">
        <v>58</v>
      </c>
      <c r="D784" s="69" t="s">
        <v>59</v>
      </c>
      <c r="E784" s="42">
        <v>19500</v>
      </c>
      <c r="F784" s="42"/>
      <c r="G784" s="42">
        <v>18986.16</v>
      </c>
      <c r="H784" s="44">
        <f t="shared" si="134"/>
        <v>513.84000000000015</v>
      </c>
      <c r="I784" s="96"/>
      <c r="J784" s="49"/>
      <c r="K784" s="49"/>
    </row>
    <row r="785" spans="1:11" s="16" customFormat="1" ht="12" customHeight="1" x14ac:dyDescent="0.2">
      <c r="A785" s="176"/>
      <c r="B785" s="177"/>
      <c r="C785" s="26">
        <v>4300</v>
      </c>
      <c r="D785" s="41" t="s">
        <v>16</v>
      </c>
      <c r="E785" s="42">
        <v>111583</v>
      </c>
      <c r="F785" s="178">
        <v>10800</v>
      </c>
      <c r="G785" s="178"/>
      <c r="H785" s="44">
        <f t="shared" si="134"/>
        <v>122383</v>
      </c>
      <c r="I785" s="96"/>
      <c r="J785" s="49"/>
      <c r="K785" s="49"/>
    </row>
    <row r="786" spans="1:11" s="16" customFormat="1" ht="42.75" customHeight="1" x14ac:dyDescent="0.2">
      <c r="A786" s="32"/>
      <c r="B786" s="33"/>
      <c r="C786" s="27"/>
      <c r="D786" s="692" t="s">
        <v>288</v>
      </c>
      <c r="E786" s="94">
        <v>800</v>
      </c>
      <c r="F786" s="687">
        <f>SUM(F787:F788)</f>
        <v>200</v>
      </c>
      <c r="G786" s="687">
        <f>SUM(G787:G788)</f>
        <v>0</v>
      </c>
      <c r="H786" s="94">
        <f>SUM(E786+F786-G786)</f>
        <v>1000</v>
      </c>
      <c r="I786" s="97"/>
      <c r="J786" s="49"/>
      <c r="K786" s="49"/>
    </row>
    <row r="787" spans="1:11" s="16" customFormat="1" ht="12" customHeight="1" x14ac:dyDescent="0.2">
      <c r="A787" s="32"/>
      <c r="B787" s="33"/>
      <c r="C787" s="37">
        <v>4370</v>
      </c>
      <c r="D787" s="41" t="s">
        <v>274</v>
      </c>
      <c r="E787" s="45">
        <v>440</v>
      </c>
      <c r="F787" s="42">
        <v>120</v>
      </c>
      <c r="G787" s="42"/>
      <c r="H787" s="45">
        <f t="shared" ref="H787:H788" si="135">SUM(E787+F787-G787)</f>
        <v>560</v>
      </c>
      <c r="I787" s="96"/>
      <c r="J787" s="49"/>
      <c r="K787" s="49"/>
    </row>
    <row r="788" spans="1:11" s="16" customFormat="1" ht="21.75" customHeight="1" x14ac:dyDescent="0.2">
      <c r="A788" s="32"/>
      <c r="B788" s="33"/>
      <c r="C788" s="64">
        <v>4740</v>
      </c>
      <c r="D788" s="65" t="s">
        <v>261</v>
      </c>
      <c r="E788" s="42">
        <v>320</v>
      </c>
      <c r="F788" s="42">
        <v>80</v>
      </c>
      <c r="G788" s="42"/>
      <c r="H788" s="44">
        <f t="shared" si="135"/>
        <v>400</v>
      </c>
      <c r="I788" s="96"/>
      <c r="J788" s="49"/>
      <c r="K788" s="49"/>
    </row>
    <row r="789" spans="1:11" s="16" customFormat="1" ht="3.75" customHeight="1" x14ac:dyDescent="0.2">
      <c r="A789" s="93"/>
      <c r="B789" s="93"/>
      <c r="C789" s="46"/>
      <c r="D789" s="47"/>
      <c r="E789" s="39"/>
      <c r="F789" s="39"/>
      <c r="G789" s="39"/>
      <c r="H789" s="39"/>
      <c r="I789" s="96"/>
      <c r="J789" s="49"/>
      <c r="K789" s="49"/>
    </row>
    <row r="790" spans="1:11" s="16" customFormat="1" ht="12.95" customHeight="1" x14ac:dyDescent="0.2">
      <c r="I790" s="96"/>
      <c r="J790" s="49"/>
      <c r="K790" s="49"/>
    </row>
    <row r="791" spans="1:11" s="16" customFormat="1" ht="12.95" customHeight="1" x14ac:dyDescent="0.2">
      <c r="I791" s="96"/>
      <c r="J791" s="49"/>
      <c r="K791" s="49"/>
    </row>
    <row r="792" spans="1:11" s="16" customFormat="1" ht="12.95" customHeight="1" x14ac:dyDescent="0.2">
      <c r="I792" s="96"/>
      <c r="J792" s="49"/>
      <c r="K792" s="49"/>
    </row>
    <row r="793" spans="1:11" s="16" customFormat="1" ht="12.95" customHeight="1" x14ac:dyDescent="0.2">
      <c r="I793" s="96"/>
      <c r="J793" s="49"/>
      <c r="K793" s="49"/>
    </row>
    <row r="794" spans="1:11" s="16" customFormat="1" ht="12.95" customHeight="1" x14ac:dyDescent="0.2">
      <c r="I794" s="96"/>
      <c r="J794" s="49"/>
      <c r="K794" s="49"/>
    </row>
    <row r="795" spans="1:11" s="16" customFormat="1" ht="12.95" customHeight="1" x14ac:dyDescent="0.2">
      <c r="I795" s="96"/>
      <c r="J795" s="49"/>
      <c r="K795" s="49"/>
    </row>
    <row r="796" spans="1:11" s="16" customFormat="1" ht="12.95" customHeight="1" x14ac:dyDescent="0.2">
      <c r="I796" s="96"/>
      <c r="J796" s="49"/>
      <c r="K796" s="49"/>
    </row>
    <row r="797" spans="1:11" s="16" customFormat="1" ht="12.95" customHeight="1" x14ac:dyDescent="0.2">
      <c r="I797" s="96"/>
      <c r="J797" s="49"/>
      <c r="K797" s="49"/>
    </row>
    <row r="798" spans="1:11" s="16" customFormat="1" ht="12.95" customHeight="1" x14ac:dyDescent="0.2">
      <c r="I798" s="96"/>
      <c r="J798" s="49"/>
      <c r="K798" s="49"/>
    </row>
    <row r="799" spans="1:11" s="16" customFormat="1" ht="12.95" customHeight="1" x14ac:dyDescent="0.2">
      <c r="I799" s="96"/>
      <c r="J799" s="49"/>
      <c r="K799" s="49"/>
    </row>
    <row r="800" spans="1:11" s="16" customFormat="1" ht="12.95" customHeight="1" x14ac:dyDescent="0.2">
      <c r="I800" s="96"/>
      <c r="J800" s="49"/>
      <c r="K800" s="49"/>
    </row>
    <row r="801" spans="9:11" s="16" customFormat="1" ht="12.95" customHeight="1" x14ac:dyDescent="0.2">
      <c r="I801" s="96"/>
      <c r="J801" s="49"/>
      <c r="K801" s="49"/>
    </row>
    <row r="802" spans="9:11" s="16" customFormat="1" ht="12.95" customHeight="1" x14ac:dyDescent="0.2">
      <c r="I802" s="96"/>
      <c r="J802" s="49"/>
      <c r="K802" s="49"/>
    </row>
    <row r="803" spans="9:11" s="16" customFormat="1" ht="12.95" customHeight="1" x14ac:dyDescent="0.2">
      <c r="I803" s="96"/>
      <c r="J803" s="49"/>
      <c r="K803" s="49"/>
    </row>
    <row r="804" spans="9:11" s="16" customFormat="1" ht="12.95" customHeight="1" x14ac:dyDescent="0.2">
      <c r="I804" s="96"/>
      <c r="J804" s="49"/>
      <c r="K804" s="49"/>
    </row>
    <row r="805" spans="9:11" s="16" customFormat="1" ht="12.95" customHeight="1" x14ac:dyDescent="0.2">
      <c r="I805" s="96"/>
      <c r="J805" s="49"/>
      <c r="K805" s="49"/>
    </row>
    <row r="806" spans="9:11" s="16" customFormat="1" ht="12.95" customHeight="1" x14ac:dyDescent="0.2">
      <c r="I806" s="96"/>
      <c r="J806" s="49"/>
      <c r="K806" s="49"/>
    </row>
    <row r="807" spans="9:11" s="16" customFormat="1" ht="12.95" customHeight="1" x14ac:dyDescent="0.2">
      <c r="I807" s="96"/>
      <c r="J807" s="49"/>
      <c r="K807" s="49"/>
    </row>
    <row r="808" spans="9:11" s="16" customFormat="1" ht="12.95" customHeight="1" x14ac:dyDescent="0.2">
      <c r="I808" s="96"/>
      <c r="J808" s="49"/>
      <c r="K808" s="49"/>
    </row>
    <row r="809" spans="9:11" s="16" customFormat="1" ht="12.95" customHeight="1" x14ac:dyDescent="0.2">
      <c r="I809" s="96"/>
      <c r="J809" s="49"/>
      <c r="K809" s="49"/>
    </row>
    <row r="810" spans="9:11" s="16" customFormat="1" ht="12.95" customHeight="1" x14ac:dyDescent="0.2">
      <c r="I810" s="96"/>
      <c r="J810" s="49"/>
      <c r="K810" s="49"/>
    </row>
    <row r="811" spans="9:11" s="16" customFormat="1" ht="12.95" customHeight="1" x14ac:dyDescent="0.2">
      <c r="I811" s="96"/>
      <c r="J811" s="49"/>
      <c r="K811" s="49"/>
    </row>
    <row r="812" spans="9:11" s="16" customFormat="1" ht="12.95" customHeight="1" x14ac:dyDescent="0.2">
      <c r="I812" s="96"/>
      <c r="J812" s="49"/>
      <c r="K812" s="49"/>
    </row>
    <row r="813" spans="9:11" s="16" customFormat="1" ht="12.95" customHeight="1" x14ac:dyDescent="0.2">
      <c r="I813" s="96"/>
      <c r="J813" s="49"/>
      <c r="K813" s="49"/>
    </row>
    <row r="814" spans="9:11" s="16" customFormat="1" ht="12.95" customHeight="1" x14ac:dyDescent="0.2">
      <c r="I814" s="96"/>
      <c r="J814" s="49"/>
      <c r="K814" s="49"/>
    </row>
    <row r="815" spans="9:11" s="16" customFormat="1" ht="12.95" customHeight="1" x14ac:dyDescent="0.2">
      <c r="I815" s="96"/>
      <c r="J815" s="49"/>
      <c r="K815" s="49"/>
    </row>
    <row r="816" spans="9:11" s="16" customFormat="1" ht="12.95" customHeight="1" x14ac:dyDescent="0.2">
      <c r="I816" s="96"/>
      <c r="J816" s="49"/>
      <c r="K816" s="49"/>
    </row>
    <row r="817" spans="9:11" s="16" customFormat="1" ht="12.95" customHeight="1" x14ac:dyDescent="0.2">
      <c r="I817" s="96"/>
      <c r="J817" s="49"/>
      <c r="K817" s="49"/>
    </row>
    <row r="818" spans="9:11" s="16" customFormat="1" ht="12.95" customHeight="1" x14ac:dyDescent="0.2">
      <c r="I818" s="96"/>
      <c r="J818" s="49"/>
      <c r="K818" s="49"/>
    </row>
    <row r="819" spans="9:11" s="16" customFormat="1" ht="12.95" customHeight="1" x14ac:dyDescent="0.2">
      <c r="I819" s="96"/>
      <c r="J819" s="49"/>
      <c r="K819" s="49"/>
    </row>
    <row r="820" spans="9:11" s="16" customFormat="1" ht="12.95" customHeight="1" x14ac:dyDescent="0.2">
      <c r="I820" s="96"/>
      <c r="J820" s="49"/>
      <c r="K820" s="49"/>
    </row>
    <row r="821" spans="9:11" s="16" customFormat="1" ht="12.95" customHeight="1" x14ac:dyDescent="0.2">
      <c r="I821" s="96"/>
      <c r="J821" s="49"/>
      <c r="K821" s="49"/>
    </row>
    <row r="822" spans="9:11" s="16" customFormat="1" ht="12.95" customHeight="1" x14ac:dyDescent="0.2">
      <c r="I822" s="96"/>
      <c r="J822" s="49"/>
      <c r="K822" s="49"/>
    </row>
    <row r="823" spans="9:11" s="16" customFormat="1" ht="12.95" customHeight="1" x14ac:dyDescent="0.2">
      <c r="I823" s="96"/>
      <c r="J823" s="49"/>
      <c r="K823" s="49"/>
    </row>
    <row r="824" spans="9:11" s="16" customFormat="1" ht="12.95" customHeight="1" x14ac:dyDescent="0.2">
      <c r="I824" s="96"/>
      <c r="J824" s="49"/>
      <c r="K824" s="49"/>
    </row>
    <row r="825" spans="9:11" s="16" customFormat="1" ht="12.95" customHeight="1" x14ac:dyDescent="0.2">
      <c r="I825" s="96"/>
      <c r="J825" s="49"/>
      <c r="K825" s="49"/>
    </row>
    <row r="826" spans="9:11" s="16" customFormat="1" ht="12.95" customHeight="1" x14ac:dyDescent="0.2">
      <c r="I826" s="96"/>
      <c r="J826" s="49"/>
      <c r="K826" s="49"/>
    </row>
    <row r="827" spans="9:11" s="16" customFormat="1" ht="12.95" customHeight="1" x14ac:dyDescent="0.2">
      <c r="I827" s="96"/>
      <c r="J827" s="49"/>
      <c r="K827" s="49"/>
    </row>
    <row r="828" spans="9:11" s="16" customFormat="1" ht="12.95" customHeight="1" x14ac:dyDescent="0.2">
      <c r="I828" s="96"/>
      <c r="J828" s="49"/>
      <c r="K828" s="49"/>
    </row>
    <row r="829" spans="9:11" s="16" customFormat="1" ht="12.95" customHeight="1" x14ac:dyDescent="0.2">
      <c r="I829" s="96"/>
      <c r="J829" s="49"/>
      <c r="K829" s="49"/>
    </row>
    <row r="830" spans="9:11" s="16" customFormat="1" ht="12.95" customHeight="1" x14ac:dyDescent="0.2">
      <c r="I830" s="96"/>
      <c r="J830" s="49"/>
      <c r="K830" s="49"/>
    </row>
    <row r="831" spans="9:11" s="16" customFormat="1" ht="12.95" customHeight="1" x14ac:dyDescent="0.2">
      <c r="I831" s="96"/>
      <c r="J831" s="49"/>
      <c r="K831" s="49"/>
    </row>
    <row r="832" spans="9:11" s="16" customFormat="1" ht="12.95" customHeight="1" x14ac:dyDescent="0.2">
      <c r="I832" s="96"/>
      <c r="J832" s="49"/>
      <c r="K832" s="49"/>
    </row>
    <row r="833" spans="9:11" s="16" customFormat="1" ht="12.95" customHeight="1" x14ac:dyDescent="0.2">
      <c r="I833" s="96"/>
      <c r="J833" s="49"/>
      <c r="K833" s="49"/>
    </row>
    <row r="834" spans="9:11" s="16" customFormat="1" ht="12.95" customHeight="1" x14ac:dyDescent="0.2">
      <c r="I834" s="96"/>
      <c r="J834" s="49"/>
      <c r="K834" s="49"/>
    </row>
    <row r="835" spans="9:11" s="16" customFormat="1" ht="12.95" customHeight="1" x14ac:dyDescent="0.2">
      <c r="I835" s="96"/>
      <c r="J835" s="49"/>
      <c r="K835" s="49"/>
    </row>
    <row r="836" spans="9:11" s="16" customFormat="1" ht="12.95" customHeight="1" x14ac:dyDescent="0.2">
      <c r="I836" s="96"/>
      <c r="J836" s="49"/>
      <c r="K836" s="49"/>
    </row>
    <row r="837" spans="9:11" s="16" customFormat="1" ht="12.95" customHeight="1" x14ac:dyDescent="0.2">
      <c r="I837" s="96"/>
      <c r="J837" s="49"/>
      <c r="K837" s="49"/>
    </row>
    <row r="838" spans="9:11" s="16" customFormat="1" ht="12.95" customHeight="1" x14ac:dyDescent="0.2">
      <c r="I838" s="96"/>
      <c r="J838" s="49"/>
      <c r="K838" s="49"/>
    </row>
    <row r="839" spans="9:11" s="16" customFormat="1" ht="12.95" customHeight="1" x14ac:dyDescent="0.2">
      <c r="I839" s="96"/>
      <c r="J839" s="49"/>
      <c r="K839" s="49"/>
    </row>
    <row r="840" spans="9:11" s="16" customFormat="1" ht="12.95" customHeight="1" x14ac:dyDescent="0.2">
      <c r="I840" s="96"/>
      <c r="J840" s="49"/>
      <c r="K840" s="49"/>
    </row>
    <row r="841" spans="9:11" s="16" customFormat="1" ht="12.95" customHeight="1" x14ac:dyDescent="0.2">
      <c r="I841" s="96"/>
      <c r="J841" s="49"/>
      <c r="K841" s="49"/>
    </row>
    <row r="842" spans="9:11" s="16" customFormat="1" ht="12.95" customHeight="1" x14ac:dyDescent="0.2">
      <c r="I842" s="96"/>
      <c r="J842" s="49"/>
      <c r="K842" s="49"/>
    </row>
    <row r="843" spans="9:11" s="16" customFormat="1" ht="12.95" customHeight="1" x14ac:dyDescent="0.2">
      <c r="I843" s="96"/>
      <c r="J843" s="49"/>
      <c r="K843" s="49"/>
    </row>
    <row r="844" spans="9:11" s="16" customFormat="1" ht="12.95" customHeight="1" x14ac:dyDescent="0.2">
      <c r="I844" s="96"/>
      <c r="J844" s="49"/>
      <c r="K844" s="49"/>
    </row>
    <row r="845" spans="9:11" s="16" customFormat="1" ht="12.95" customHeight="1" x14ac:dyDescent="0.2">
      <c r="I845" s="96"/>
      <c r="J845" s="49"/>
      <c r="K845" s="49"/>
    </row>
    <row r="846" spans="9:11" s="16" customFormat="1" ht="12.95" customHeight="1" x14ac:dyDescent="0.2">
      <c r="I846" s="96"/>
      <c r="J846" s="49"/>
      <c r="K846" s="49"/>
    </row>
    <row r="847" spans="9:11" s="16" customFormat="1" ht="12.95" customHeight="1" x14ac:dyDescent="0.2">
      <c r="I847" s="96"/>
      <c r="J847" s="49"/>
      <c r="K847" s="49"/>
    </row>
    <row r="848" spans="9:11" s="16" customFormat="1" ht="12.95" customHeight="1" x14ac:dyDescent="0.2">
      <c r="I848" s="96"/>
      <c r="J848" s="49"/>
      <c r="K848" s="49"/>
    </row>
    <row r="849" spans="9:11" s="16" customFormat="1" ht="12.95" customHeight="1" x14ac:dyDescent="0.2">
      <c r="I849" s="96"/>
      <c r="J849" s="49"/>
      <c r="K849" s="49"/>
    </row>
    <row r="850" spans="9:11" s="16" customFormat="1" ht="12.95" customHeight="1" x14ac:dyDescent="0.2">
      <c r="I850" s="96"/>
      <c r="J850" s="49"/>
      <c r="K850" s="49"/>
    </row>
    <row r="851" spans="9:11" s="16" customFormat="1" ht="12.95" customHeight="1" x14ac:dyDescent="0.2">
      <c r="I851" s="96"/>
      <c r="J851" s="49"/>
      <c r="K851" s="49"/>
    </row>
    <row r="852" spans="9:11" s="16" customFormat="1" ht="12.95" customHeight="1" x14ac:dyDescent="0.2">
      <c r="I852" s="96"/>
      <c r="J852" s="49"/>
      <c r="K852" s="49"/>
    </row>
    <row r="853" spans="9:11" s="16" customFormat="1" ht="12.95" customHeight="1" x14ac:dyDescent="0.2">
      <c r="I853" s="96"/>
      <c r="J853" s="49"/>
      <c r="K853" s="49"/>
    </row>
    <row r="854" spans="9:11" s="16" customFormat="1" ht="12.95" customHeight="1" x14ac:dyDescent="0.2">
      <c r="I854" s="96"/>
      <c r="J854" s="49"/>
      <c r="K854" s="49"/>
    </row>
    <row r="855" spans="9:11" s="16" customFormat="1" ht="12.95" customHeight="1" x14ac:dyDescent="0.2">
      <c r="I855" s="96"/>
      <c r="J855" s="49"/>
      <c r="K855" s="49"/>
    </row>
    <row r="856" spans="9:11" s="16" customFormat="1" ht="12.95" customHeight="1" x14ac:dyDescent="0.2">
      <c r="I856" s="96"/>
      <c r="J856" s="49"/>
      <c r="K856" s="49"/>
    </row>
    <row r="857" spans="9:11" ht="12.95" customHeight="1" x14ac:dyDescent="0.25"/>
    <row r="858" spans="9:11" ht="12.95" customHeight="1" x14ac:dyDescent="0.25"/>
    <row r="859" spans="9:11" ht="12.95" customHeight="1" x14ac:dyDescent="0.25"/>
    <row r="860" spans="9:11" ht="12.95" customHeight="1" x14ac:dyDescent="0.25"/>
    <row r="861" spans="9:11" ht="12.95" customHeight="1" x14ac:dyDescent="0.25"/>
    <row r="862" spans="9:11" ht="12.95" customHeight="1" x14ac:dyDescent="0.25"/>
    <row r="863" spans="9:11" ht="12.95" customHeight="1" x14ac:dyDescent="0.25"/>
    <row r="864" spans="9:11" ht="12.95" customHeight="1" x14ac:dyDescent="0.25"/>
    <row r="865" ht="12.95" customHeight="1" x14ac:dyDescent="0.25"/>
    <row r="866" ht="12.95" customHeight="1" x14ac:dyDescent="0.25"/>
    <row r="867" ht="12.95" customHeight="1" x14ac:dyDescent="0.25"/>
    <row r="868" ht="12.9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5" manualBreakCount="5">
    <brk id="40" max="7" man="1"/>
    <brk id="71" max="7" man="1"/>
    <brk id="298" max="7" man="1"/>
    <brk id="378" max="7" man="1"/>
    <brk id="6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D734-74C3-4101-996E-EFE57CE98743}">
  <sheetPr>
    <tabColor rgb="FFCC00CC"/>
  </sheetPr>
  <dimension ref="A1:O41"/>
  <sheetViews>
    <sheetView zoomScaleNormal="100" workbookViewId="0">
      <pane ySplit="15" topLeftCell="A16" activePane="bottomLeft" state="frozen"/>
      <selection pane="bottomLeft"/>
    </sheetView>
  </sheetViews>
  <sheetFormatPr defaultRowHeight="12.75" x14ac:dyDescent="0.25"/>
  <cols>
    <col min="1" max="1" width="4.140625" style="245" customWidth="1"/>
    <col min="2" max="2" width="7" style="245" customWidth="1"/>
    <col min="3" max="3" width="5.5703125" style="198" hidden="1" customWidth="1"/>
    <col min="4" max="4" width="57.42578125" style="185" customWidth="1"/>
    <col min="5" max="5" width="14" style="185" customWidth="1"/>
    <col min="6" max="6" width="13.28515625" style="185" customWidth="1"/>
    <col min="7" max="7" width="14.140625" style="248" customWidth="1"/>
    <col min="8" max="8" width="13.140625" style="248" customWidth="1"/>
    <col min="9" max="9" width="13" style="248" customWidth="1"/>
    <col min="10" max="10" width="12.5703125" style="248" customWidth="1"/>
    <col min="11" max="11" width="14.5703125" style="248" customWidth="1"/>
    <col min="12" max="12" width="9.85546875" style="248" customWidth="1"/>
    <col min="13" max="13" width="13.7109375" style="247" customWidth="1"/>
    <col min="14" max="14" width="13.42578125" style="185" customWidth="1"/>
    <col min="15" max="15" width="15.140625" style="185" customWidth="1"/>
    <col min="16" max="256" width="9.140625" style="185"/>
    <col min="257" max="257" width="4.140625" style="185" customWidth="1"/>
    <col min="258" max="258" width="7" style="185" customWidth="1"/>
    <col min="259" max="259" width="0" style="185" hidden="1" customWidth="1"/>
    <col min="260" max="260" width="61.7109375" style="185" customWidth="1"/>
    <col min="261" max="261" width="14" style="185" customWidth="1"/>
    <col min="262" max="262" width="13.28515625" style="185" customWidth="1"/>
    <col min="263" max="263" width="14.140625" style="185" customWidth="1"/>
    <col min="264" max="264" width="13.140625" style="185" customWidth="1"/>
    <col min="265" max="265" width="13" style="185" customWidth="1"/>
    <col min="266" max="266" width="12.5703125" style="185" customWidth="1"/>
    <col min="267" max="267" width="14.5703125" style="185" customWidth="1"/>
    <col min="268" max="268" width="9.85546875" style="185" customWidth="1"/>
    <col min="269" max="269" width="13.7109375" style="185" customWidth="1"/>
    <col min="270" max="270" width="13.42578125" style="185" customWidth="1"/>
    <col min="271" max="271" width="15.140625" style="185" customWidth="1"/>
    <col min="272" max="512" width="9.140625" style="185"/>
    <col min="513" max="513" width="4.140625" style="185" customWidth="1"/>
    <col min="514" max="514" width="7" style="185" customWidth="1"/>
    <col min="515" max="515" width="0" style="185" hidden="1" customWidth="1"/>
    <col min="516" max="516" width="61.7109375" style="185" customWidth="1"/>
    <col min="517" max="517" width="14" style="185" customWidth="1"/>
    <col min="518" max="518" width="13.28515625" style="185" customWidth="1"/>
    <col min="519" max="519" width="14.140625" style="185" customWidth="1"/>
    <col min="520" max="520" width="13.140625" style="185" customWidth="1"/>
    <col min="521" max="521" width="13" style="185" customWidth="1"/>
    <col min="522" max="522" width="12.5703125" style="185" customWidth="1"/>
    <col min="523" max="523" width="14.5703125" style="185" customWidth="1"/>
    <col min="524" max="524" width="9.85546875" style="185" customWidth="1"/>
    <col min="525" max="525" width="13.7109375" style="185" customWidth="1"/>
    <col min="526" max="526" width="13.42578125" style="185" customWidth="1"/>
    <col min="527" max="527" width="15.140625" style="185" customWidth="1"/>
    <col min="528" max="768" width="9.140625" style="185"/>
    <col min="769" max="769" width="4.140625" style="185" customWidth="1"/>
    <col min="770" max="770" width="7" style="185" customWidth="1"/>
    <col min="771" max="771" width="0" style="185" hidden="1" customWidth="1"/>
    <col min="772" max="772" width="61.7109375" style="185" customWidth="1"/>
    <col min="773" max="773" width="14" style="185" customWidth="1"/>
    <col min="774" max="774" width="13.28515625" style="185" customWidth="1"/>
    <col min="775" max="775" width="14.140625" style="185" customWidth="1"/>
    <col min="776" max="776" width="13.140625" style="185" customWidth="1"/>
    <col min="777" max="777" width="13" style="185" customWidth="1"/>
    <col min="778" max="778" width="12.5703125" style="185" customWidth="1"/>
    <col min="779" max="779" width="14.5703125" style="185" customWidth="1"/>
    <col min="780" max="780" width="9.85546875" style="185" customWidth="1"/>
    <col min="781" max="781" width="13.7109375" style="185" customWidth="1"/>
    <col min="782" max="782" width="13.42578125" style="185" customWidth="1"/>
    <col min="783" max="783" width="15.140625" style="185" customWidth="1"/>
    <col min="784" max="1024" width="9.140625" style="185"/>
    <col min="1025" max="1025" width="4.140625" style="185" customWidth="1"/>
    <col min="1026" max="1026" width="7" style="185" customWidth="1"/>
    <col min="1027" max="1027" width="0" style="185" hidden="1" customWidth="1"/>
    <col min="1028" max="1028" width="61.7109375" style="185" customWidth="1"/>
    <col min="1029" max="1029" width="14" style="185" customWidth="1"/>
    <col min="1030" max="1030" width="13.28515625" style="185" customWidth="1"/>
    <col min="1031" max="1031" width="14.140625" style="185" customWidth="1"/>
    <col min="1032" max="1032" width="13.140625" style="185" customWidth="1"/>
    <col min="1033" max="1033" width="13" style="185" customWidth="1"/>
    <col min="1034" max="1034" width="12.5703125" style="185" customWidth="1"/>
    <col min="1035" max="1035" width="14.5703125" style="185" customWidth="1"/>
    <col min="1036" max="1036" width="9.85546875" style="185" customWidth="1"/>
    <col min="1037" max="1037" width="13.7109375" style="185" customWidth="1"/>
    <col min="1038" max="1038" width="13.42578125" style="185" customWidth="1"/>
    <col min="1039" max="1039" width="15.140625" style="185" customWidth="1"/>
    <col min="1040" max="1280" width="9.140625" style="185"/>
    <col min="1281" max="1281" width="4.140625" style="185" customWidth="1"/>
    <col min="1282" max="1282" width="7" style="185" customWidth="1"/>
    <col min="1283" max="1283" width="0" style="185" hidden="1" customWidth="1"/>
    <col min="1284" max="1284" width="61.7109375" style="185" customWidth="1"/>
    <col min="1285" max="1285" width="14" style="185" customWidth="1"/>
    <col min="1286" max="1286" width="13.28515625" style="185" customWidth="1"/>
    <col min="1287" max="1287" width="14.140625" style="185" customWidth="1"/>
    <col min="1288" max="1288" width="13.140625" style="185" customWidth="1"/>
    <col min="1289" max="1289" width="13" style="185" customWidth="1"/>
    <col min="1290" max="1290" width="12.5703125" style="185" customWidth="1"/>
    <col min="1291" max="1291" width="14.5703125" style="185" customWidth="1"/>
    <col min="1292" max="1292" width="9.85546875" style="185" customWidth="1"/>
    <col min="1293" max="1293" width="13.7109375" style="185" customWidth="1"/>
    <col min="1294" max="1294" width="13.42578125" style="185" customWidth="1"/>
    <col min="1295" max="1295" width="15.140625" style="185" customWidth="1"/>
    <col min="1296" max="1536" width="9.140625" style="185"/>
    <col min="1537" max="1537" width="4.140625" style="185" customWidth="1"/>
    <col min="1538" max="1538" width="7" style="185" customWidth="1"/>
    <col min="1539" max="1539" width="0" style="185" hidden="1" customWidth="1"/>
    <col min="1540" max="1540" width="61.7109375" style="185" customWidth="1"/>
    <col min="1541" max="1541" width="14" style="185" customWidth="1"/>
    <col min="1542" max="1542" width="13.28515625" style="185" customWidth="1"/>
    <col min="1543" max="1543" width="14.140625" style="185" customWidth="1"/>
    <col min="1544" max="1544" width="13.140625" style="185" customWidth="1"/>
    <col min="1545" max="1545" width="13" style="185" customWidth="1"/>
    <col min="1546" max="1546" width="12.5703125" style="185" customWidth="1"/>
    <col min="1547" max="1547" width="14.5703125" style="185" customWidth="1"/>
    <col min="1548" max="1548" width="9.85546875" style="185" customWidth="1"/>
    <col min="1549" max="1549" width="13.7109375" style="185" customWidth="1"/>
    <col min="1550" max="1550" width="13.42578125" style="185" customWidth="1"/>
    <col min="1551" max="1551" width="15.140625" style="185" customWidth="1"/>
    <col min="1552" max="1792" width="9.140625" style="185"/>
    <col min="1793" max="1793" width="4.140625" style="185" customWidth="1"/>
    <col min="1794" max="1794" width="7" style="185" customWidth="1"/>
    <col min="1795" max="1795" width="0" style="185" hidden="1" customWidth="1"/>
    <col min="1796" max="1796" width="61.7109375" style="185" customWidth="1"/>
    <col min="1797" max="1797" width="14" style="185" customWidth="1"/>
    <col min="1798" max="1798" width="13.28515625" style="185" customWidth="1"/>
    <col min="1799" max="1799" width="14.140625" style="185" customWidth="1"/>
    <col min="1800" max="1800" width="13.140625" style="185" customWidth="1"/>
    <col min="1801" max="1801" width="13" style="185" customWidth="1"/>
    <col min="1802" max="1802" width="12.5703125" style="185" customWidth="1"/>
    <col min="1803" max="1803" width="14.5703125" style="185" customWidth="1"/>
    <col min="1804" max="1804" width="9.85546875" style="185" customWidth="1"/>
    <col min="1805" max="1805" width="13.7109375" style="185" customWidth="1"/>
    <col min="1806" max="1806" width="13.42578125" style="185" customWidth="1"/>
    <col min="1807" max="1807" width="15.140625" style="185" customWidth="1"/>
    <col min="1808" max="2048" width="9.140625" style="185"/>
    <col min="2049" max="2049" width="4.140625" style="185" customWidth="1"/>
    <col min="2050" max="2050" width="7" style="185" customWidth="1"/>
    <col min="2051" max="2051" width="0" style="185" hidden="1" customWidth="1"/>
    <col min="2052" max="2052" width="61.7109375" style="185" customWidth="1"/>
    <col min="2053" max="2053" width="14" style="185" customWidth="1"/>
    <col min="2054" max="2054" width="13.28515625" style="185" customWidth="1"/>
    <col min="2055" max="2055" width="14.140625" style="185" customWidth="1"/>
    <col min="2056" max="2056" width="13.140625" style="185" customWidth="1"/>
    <col min="2057" max="2057" width="13" style="185" customWidth="1"/>
    <col min="2058" max="2058" width="12.5703125" style="185" customWidth="1"/>
    <col min="2059" max="2059" width="14.5703125" style="185" customWidth="1"/>
    <col min="2060" max="2060" width="9.85546875" style="185" customWidth="1"/>
    <col min="2061" max="2061" width="13.7109375" style="185" customWidth="1"/>
    <col min="2062" max="2062" width="13.42578125" style="185" customWidth="1"/>
    <col min="2063" max="2063" width="15.140625" style="185" customWidth="1"/>
    <col min="2064" max="2304" width="9.140625" style="185"/>
    <col min="2305" max="2305" width="4.140625" style="185" customWidth="1"/>
    <col min="2306" max="2306" width="7" style="185" customWidth="1"/>
    <col min="2307" max="2307" width="0" style="185" hidden="1" customWidth="1"/>
    <col min="2308" max="2308" width="61.7109375" style="185" customWidth="1"/>
    <col min="2309" max="2309" width="14" style="185" customWidth="1"/>
    <col min="2310" max="2310" width="13.28515625" style="185" customWidth="1"/>
    <col min="2311" max="2311" width="14.140625" style="185" customWidth="1"/>
    <col min="2312" max="2312" width="13.140625" style="185" customWidth="1"/>
    <col min="2313" max="2313" width="13" style="185" customWidth="1"/>
    <col min="2314" max="2314" width="12.5703125" style="185" customWidth="1"/>
    <col min="2315" max="2315" width="14.5703125" style="185" customWidth="1"/>
    <col min="2316" max="2316" width="9.85546875" style="185" customWidth="1"/>
    <col min="2317" max="2317" width="13.7109375" style="185" customWidth="1"/>
    <col min="2318" max="2318" width="13.42578125" style="185" customWidth="1"/>
    <col min="2319" max="2319" width="15.140625" style="185" customWidth="1"/>
    <col min="2320" max="2560" width="9.140625" style="185"/>
    <col min="2561" max="2561" width="4.140625" style="185" customWidth="1"/>
    <col min="2562" max="2562" width="7" style="185" customWidth="1"/>
    <col min="2563" max="2563" width="0" style="185" hidden="1" customWidth="1"/>
    <col min="2564" max="2564" width="61.7109375" style="185" customWidth="1"/>
    <col min="2565" max="2565" width="14" style="185" customWidth="1"/>
    <col min="2566" max="2566" width="13.28515625" style="185" customWidth="1"/>
    <col min="2567" max="2567" width="14.140625" style="185" customWidth="1"/>
    <col min="2568" max="2568" width="13.140625" style="185" customWidth="1"/>
    <col min="2569" max="2569" width="13" style="185" customWidth="1"/>
    <col min="2570" max="2570" width="12.5703125" style="185" customWidth="1"/>
    <col min="2571" max="2571" width="14.5703125" style="185" customWidth="1"/>
    <col min="2572" max="2572" width="9.85546875" style="185" customWidth="1"/>
    <col min="2573" max="2573" width="13.7109375" style="185" customWidth="1"/>
    <col min="2574" max="2574" width="13.42578125" style="185" customWidth="1"/>
    <col min="2575" max="2575" width="15.140625" style="185" customWidth="1"/>
    <col min="2576" max="2816" width="9.140625" style="185"/>
    <col min="2817" max="2817" width="4.140625" style="185" customWidth="1"/>
    <col min="2818" max="2818" width="7" style="185" customWidth="1"/>
    <col min="2819" max="2819" width="0" style="185" hidden="1" customWidth="1"/>
    <col min="2820" max="2820" width="61.7109375" style="185" customWidth="1"/>
    <col min="2821" max="2821" width="14" style="185" customWidth="1"/>
    <col min="2822" max="2822" width="13.28515625" style="185" customWidth="1"/>
    <col min="2823" max="2823" width="14.140625" style="185" customWidth="1"/>
    <col min="2824" max="2824" width="13.140625" style="185" customWidth="1"/>
    <col min="2825" max="2825" width="13" style="185" customWidth="1"/>
    <col min="2826" max="2826" width="12.5703125" style="185" customWidth="1"/>
    <col min="2827" max="2827" width="14.5703125" style="185" customWidth="1"/>
    <col min="2828" max="2828" width="9.85546875" style="185" customWidth="1"/>
    <col min="2829" max="2829" width="13.7109375" style="185" customWidth="1"/>
    <col min="2830" max="2830" width="13.42578125" style="185" customWidth="1"/>
    <col min="2831" max="2831" width="15.140625" style="185" customWidth="1"/>
    <col min="2832" max="3072" width="9.140625" style="185"/>
    <col min="3073" max="3073" width="4.140625" style="185" customWidth="1"/>
    <col min="3074" max="3074" width="7" style="185" customWidth="1"/>
    <col min="3075" max="3075" width="0" style="185" hidden="1" customWidth="1"/>
    <col min="3076" max="3076" width="61.7109375" style="185" customWidth="1"/>
    <col min="3077" max="3077" width="14" style="185" customWidth="1"/>
    <col min="3078" max="3078" width="13.28515625" style="185" customWidth="1"/>
    <col min="3079" max="3079" width="14.140625" style="185" customWidth="1"/>
    <col min="3080" max="3080" width="13.140625" style="185" customWidth="1"/>
    <col min="3081" max="3081" width="13" style="185" customWidth="1"/>
    <col min="3082" max="3082" width="12.5703125" style="185" customWidth="1"/>
    <col min="3083" max="3083" width="14.5703125" style="185" customWidth="1"/>
    <col min="3084" max="3084" width="9.85546875" style="185" customWidth="1"/>
    <col min="3085" max="3085" width="13.7109375" style="185" customWidth="1"/>
    <col min="3086" max="3086" width="13.42578125" style="185" customWidth="1"/>
    <col min="3087" max="3087" width="15.140625" style="185" customWidth="1"/>
    <col min="3088" max="3328" width="9.140625" style="185"/>
    <col min="3329" max="3329" width="4.140625" style="185" customWidth="1"/>
    <col min="3330" max="3330" width="7" style="185" customWidth="1"/>
    <col min="3331" max="3331" width="0" style="185" hidden="1" customWidth="1"/>
    <col min="3332" max="3332" width="61.7109375" style="185" customWidth="1"/>
    <col min="3333" max="3333" width="14" style="185" customWidth="1"/>
    <col min="3334" max="3334" width="13.28515625" style="185" customWidth="1"/>
    <col min="3335" max="3335" width="14.140625" style="185" customWidth="1"/>
    <col min="3336" max="3336" width="13.140625" style="185" customWidth="1"/>
    <col min="3337" max="3337" width="13" style="185" customWidth="1"/>
    <col min="3338" max="3338" width="12.5703125" style="185" customWidth="1"/>
    <col min="3339" max="3339" width="14.5703125" style="185" customWidth="1"/>
    <col min="3340" max="3340" width="9.85546875" style="185" customWidth="1"/>
    <col min="3341" max="3341" width="13.7109375" style="185" customWidth="1"/>
    <col min="3342" max="3342" width="13.42578125" style="185" customWidth="1"/>
    <col min="3343" max="3343" width="15.140625" style="185" customWidth="1"/>
    <col min="3344" max="3584" width="9.140625" style="185"/>
    <col min="3585" max="3585" width="4.140625" style="185" customWidth="1"/>
    <col min="3586" max="3586" width="7" style="185" customWidth="1"/>
    <col min="3587" max="3587" width="0" style="185" hidden="1" customWidth="1"/>
    <col min="3588" max="3588" width="61.7109375" style="185" customWidth="1"/>
    <col min="3589" max="3589" width="14" style="185" customWidth="1"/>
    <col min="3590" max="3590" width="13.28515625" style="185" customWidth="1"/>
    <col min="3591" max="3591" width="14.140625" style="185" customWidth="1"/>
    <col min="3592" max="3592" width="13.140625" style="185" customWidth="1"/>
    <col min="3593" max="3593" width="13" style="185" customWidth="1"/>
    <col min="3594" max="3594" width="12.5703125" style="185" customWidth="1"/>
    <col min="3595" max="3595" width="14.5703125" style="185" customWidth="1"/>
    <col min="3596" max="3596" width="9.85546875" style="185" customWidth="1"/>
    <col min="3597" max="3597" width="13.7109375" style="185" customWidth="1"/>
    <col min="3598" max="3598" width="13.42578125" style="185" customWidth="1"/>
    <col min="3599" max="3599" width="15.140625" style="185" customWidth="1"/>
    <col min="3600" max="3840" width="9.140625" style="185"/>
    <col min="3841" max="3841" width="4.140625" style="185" customWidth="1"/>
    <col min="3842" max="3842" width="7" style="185" customWidth="1"/>
    <col min="3843" max="3843" width="0" style="185" hidden="1" customWidth="1"/>
    <col min="3844" max="3844" width="61.7109375" style="185" customWidth="1"/>
    <col min="3845" max="3845" width="14" style="185" customWidth="1"/>
    <col min="3846" max="3846" width="13.28515625" style="185" customWidth="1"/>
    <col min="3847" max="3847" width="14.140625" style="185" customWidth="1"/>
    <col min="3848" max="3848" width="13.140625" style="185" customWidth="1"/>
    <col min="3849" max="3849" width="13" style="185" customWidth="1"/>
    <col min="3850" max="3850" width="12.5703125" style="185" customWidth="1"/>
    <col min="3851" max="3851" width="14.5703125" style="185" customWidth="1"/>
    <col min="3852" max="3852" width="9.85546875" style="185" customWidth="1"/>
    <col min="3853" max="3853" width="13.7109375" style="185" customWidth="1"/>
    <col min="3854" max="3854" width="13.42578125" style="185" customWidth="1"/>
    <col min="3855" max="3855" width="15.140625" style="185" customWidth="1"/>
    <col min="3856" max="4096" width="9.140625" style="185"/>
    <col min="4097" max="4097" width="4.140625" style="185" customWidth="1"/>
    <col min="4098" max="4098" width="7" style="185" customWidth="1"/>
    <col min="4099" max="4099" width="0" style="185" hidden="1" customWidth="1"/>
    <col min="4100" max="4100" width="61.7109375" style="185" customWidth="1"/>
    <col min="4101" max="4101" width="14" style="185" customWidth="1"/>
    <col min="4102" max="4102" width="13.28515625" style="185" customWidth="1"/>
    <col min="4103" max="4103" width="14.140625" style="185" customWidth="1"/>
    <col min="4104" max="4104" width="13.140625" style="185" customWidth="1"/>
    <col min="4105" max="4105" width="13" style="185" customWidth="1"/>
    <col min="4106" max="4106" width="12.5703125" style="185" customWidth="1"/>
    <col min="4107" max="4107" width="14.5703125" style="185" customWidth="1"/>
    <col min="4108" max="4108" width="9.85546875" style="185" customWidth="1"/>
    <col min="4109" max="4109" width="13.7109375" style="185" customWidth="1"/>
    <col min="4110" max="4110" width="13.42578125" style="185" customWidth="1"/>
    <col min="4111" max="4111" width="15.140625" style="185" customWidth="1"/>
    <col min="4112" max="4352" width="9.140625" style="185"/>
    <col min="4353" max="4353" width="4.140625" style="185" customWidth="1"/>
    <col min="4354" max="4354" width="7" style="185" customWidth="1"/>
    <col min="4355" max="4355" width="0" style="185" hidden="1" customWidth="1"/>
    <col min="4356" max="4356" width="61.7109375" style="185" customWidth="1"/>
    <col min="4357" max="4357" width="14" style="185" customWidth="1"/>
    <col min="4358" max="4358" width="13.28515625" style="185" customWidth="1"/>
    <col min="4359" max="4359" width="14.140625" style="185" customWidth="1"/>
    <col min="4360" max="4360" width="13.140625" style="185" customWidth="1"/>
    <col min="4361" max="4361" width="13" style="185" customWidth="1"/>
    <col min="4362" max="4362" width="12.5703125" style="185" customWidth="1"/>
    <col min="4363" max="4363" width="14.5703125" style="185" customWidth="1"/>
    <col min="4364" max="4364" width="9.85546875" style="185" customWidth="1"/>
    <col min="4365" max="4365" width="13.7109375" style="185" customWidth="1"/>
    <col min="4366" max="4366" width="13.42578125" style="185" customWidth="1"/>
    <col min="4367" max="4367" width="15.140625" style="185" customWidth="1"/>
    <col min="4368" max="4608" width="9.140625" style="185"/>
    <col min="4609" max="4609" width="4.140625" style="185" customWidth="1"/>
    <col min="4610" max="4610" width="7" style="185" customWidth="1"/>
    <col min="4611" max="4611" width="0" style="185" hidden="1" customWidth="1"/>
    <col min="4612" max="4612" width="61.7109375" style="185" customWidth="1"/>
    <col min="4613" max="4613" width="14" style="185" customWidth="1"/>
    <col min="4614" max="4614" width="13.28515625" style="185" customWidth="1"/>
    <col min="4615" max="4615" width="14.140625" style="185" customWidth="1"/>
    <col min="4616" max="4616" width="13.140625" style="185" customWidth="1"/>
    <col min="4617" max="4617" width="13" style="185" customWidth="1"/>
    <col min="4618" max="4618" width="12.5703125" style="185" customWidth="1"/>
    <col min="4619" max="4619" width="14.5703125" style="185" customWidth="1"/>
    <col min="4620" max="4620" width="9.85546875" style="185" customWidth="1"/>
    <col min="4621" max="4621" width="13.7109375" style="185" customWidth="1"/>
    <col min="4622" max="4622" width="13.42578125" style="185" customWidth="1"/>
    <col min="4623" max="4623" width="15.140625" style="185" customWidth="1"/>
    <col min="4624" max="4864" width="9.140625" style="185"/>
    <col min="4865" max="4865" width="4.140625" style="185" customWidth="1"/>
    <col min="4866" max="4866" width="7" style="185" customWidth="1"/>
    <col min="4867" max="4867" width="0" style="185" hidden="1" customWidth="1"/>
    <col min="4868" max="4868" width="61.7109375" style="185" customWidth="1"/>
    <col min="4869" max="4869" width="14" style="185" customWidth="1"/>
    <col min="4870" max="4870" width="13.28515625" style="185" customWidth="1"/>
    <col min="4871" max="4871" width="14.140625" style="185" customWidth="1"/>
    <col min="4872" max="4872" width="13.140625" style="185" customWidth="1"/>
    <col min="4873" max="4873" width="13" style="185" customWidth="1"/>
    <col min="4874" max="4874" width="12.5703125" style="185" customWidth="1"/>
    <col min="4875" max="4875" width="14.5703125" style="185" customWidth="1"/>
    <col min="4876" max="4876" width="9.85546875" style="185" customWidth="1"/>
    <col min="4877" max="4877" width="13.7109375" style="185" customWidth="1"/>
    <col min="4878" max="4878" width="13.42578125" style="185" customWidth="1"/>
    <col min="4879" max="4879" width="15.140625" style="185" customWidth="1"/>
    <col min="4880" max="5120" width="9.140625" style="185"/>
    <col min="5121" max="5121" width="4.140625" style="185" customWidth="1"/>
    <col min="5122" max="5122" width="7" style="185" customWidth="1"/>
    <col min="5123" max="5123" width="0" style="185" hidden="1" customWidth="1"/>
    <col min="5124" max="5124" width="61.7109375" style="185" customWidth="1"/>
    <col min="5125" max="5125" width="14" style="185" customWidth="1"/>
    <col min="5126" max="5126" width="13.28515625" style="185" customWidth="1"/>
    <col min="5127" max="5127" width="14.140625" style="185" customWidth="1"/>
    <col min="5128" max="5128" width="13.140625" style="185" customWidth="1"/>
    <col min="5129" max="5129" width="13" style="185" customWidth="1"/>
    <col min="5130" max="5130" width="12.5703125" style="185" customWidth="1"/>
    <col min="5131" max="5131" width="14.5703125" style="185" customWidth="1"/>
    <col min="5132" max="5132" width="9.85546875" style="185" customWidth="1"/>
    <col min="5133" max="5133" width="13.7109375" style="185" customWidth="1"/>
    <col min="5134" max="5134" width="13.42578125" style="185" customWidth="1"/>
    <col min="5135" max="5135" width="15.140625" style="185" customWidth="1"/>
    <col min="5136" max="5376" width="9.140625" style="185"/>
    <col min="5377" max="5377" width="4.140625" style="185" customWidth="1"/>
    <col min="5378" max="5378" width="7" style="185" customWidth="1"/>
    <col min="5379" max="5379" width="0" style="185" hidden="1" customWidth="1"/>
    <col min="5380" max="5380" width="61.7109375" style="185" customWidth="1"/>
    <col min="5381" max="5381" width="14" style="185" customWidth="1"/>
    <col min="5382" max="5382" width="13.28515625" style="185" customWidth="1"/>
    <col min="5383" max="5383" width="14.140625" style="185" customWidth="1"/>
    <col min="5384" max="5384" width="13.140625" style="185" customWidth="1"/>
    <col min="5385" max="5385" width="13" style="185" customWidth="1"/>
    <col min="5386" max="5386" width="12.5703125" style="185" customWidth="1"/>
    <col min="5387" max="5387" width="14.5703125" style="185" customWidth="1"/>
    <col min="5388" max="5388" width="9.85546875" style="185" customWidth="1"/>
    <col min="5389" max="5389" width="13.7109375" style="185" customWidth="1"/>
    <col min="5390" max="5390" width="13.42578125" style="185" customWidth="1"/>
    <col min="5391" max="5391" width="15.140625" style="185" customWidth="1"/>
    <col min="5392" max="5632" width="9.140625" style="185"/>
    <col min="5633" max="5633" width="4.140625" style="185" customWidth="1"/>
    <col min="5634" max="5634" width="7" style="185" customWidth="1"/>
    <col min="5635" max="5635" width="0" style="185" hidden="1" customWidth="1"/>
    <col min="5636" max="5636" width="61.7109375" style="185" customWidth="1"/>
    <col min="5637" max="5637" width="14" style="185" customWidth="1"/>
    <col min="5638" max="5638" width="13.28515625" style="185" customWidth="1"/>
    <col min="5639" max="5639" width="14.140625" style="185" customWidth="1"/>
    <col min="5640" max="5640" width="13.140625" style="185" customWidth="1"/>
    <col min="5641" max="5641" width="13" style="185" customWidth="1"/>
    <col min="5642" max="5642" width="12.5703125" style="185" customWidth="1"/>
    <col min="5643" max="5643" width="14.5703125" style="185" customWidth="1"/>
    <col min="5644" max="5644" width="9.85546875" style="185" customWidth="1"/>
    <col min="5645" max="5645" width="13.7109375" style="185" customWidth="1"/>
    <col min="5646" max="5646" width="13.42578125" style="185" customWidth="1"/>
    <col min="5647" max="5647" width="15.140625" style="185" customWidth="1"/>
    <col min="5648" max="5888" width="9.140625" style="185"/>
    <col min="5889" max="5889" width="4.140625" style="185" customWidth="1"/>
    <col min="5890" max="5890" width="7" style="185" customWidth="1"/>
    <col min="5891" max="5891" width="0" style="185" hidden="1" customWidth="1"/>
    <col min="5892" max="5892" width="61.7109375" style="185" customWidth="1"/>
    <col min="5893" max="5893" width="14" style="185" customWidth="1"/>
    <col min="5894" max="5894" width="13.28515625" style="185" customWidth="1"/>
    <col min="5895" max="5895" width="14.140625" style="185" customWidth="1"/>
    <col min="5896" max="5896" width="13.140625" style="185" customWidth="1"/>
    <col min="5897" max="5897" width="13" style="185" customWidth="1"/>
    <col min="5898" max="5898" width="12.5703125" style="185" customWidth="1"/>
    <col min="5899" max="5899" width="14.5703125" style="185" customWidth="1"/>
    <col min="5900" max="5900" width="9.85546875" style="185" customWidth="1"/>
    <col min="5901" max="5901" width="13.7109375" style="185" customWidth="1"/>
    <col min="5902" max="5902" width="13.42578125" style="185" customWidth="1"/>
    <col min="5903" max="5903" width="15.140625" style="185" customWidth="1"/>
    <col min="5904" max="6144" width="9.140625" style="185"/>
    <col min="6145" max="6145" width="4.140625" style="185" customWidth="1"/>
    <col min="6146" max="6146" width="7" style="185" customWidth="1"/>
    <col min="6147" max="6147" width="0" style="185" hidden="1" customWidth="1"/>
    <col min="6148" max="6148" width="61.7109375" style="185" customWidth="1"/>
    <col min="6149" max="6149" width="14" style="185" customWidth="1"/>
    <col min="6150" max="6150" width="13.28515625" style="185" customWidth="1"/>
    <col min="6151" max="6151" width="14.140625" style="185" customWidth="1"/>
    <col min="6152" max="6152" width="13.140625" style="185" customWidth="1"/>
    <col min="6153" max="6153" width="13" style="185" customWidth="1"/>
    <col min="6154" max="6154" width="12.5703125" style="185" customWidth="1"/>
    <col min="6155" max="6155" width="14.5703125" style="185" customWidth="1"/>
    <col min="6156" max="6156" width="9.85546875" style="185" customWidth="1"/>
    <col min="6157" max="6157" width="13.7109375" style="185" customWidth="1"/>
    <col min="6158" max="6158" width="13.42578125" style="185" customWidth="1"/>
    <col min="6159" max="6159" width="15.140625" style="185" customWidth="1"/>
    <col min="6160" max="6400" width="9.140625" style="185"/>
    <col min="6401" max="6401" width="4.140625" style="185" customWidth="1"/>
    <col min="6402" max="6402" width="7" style="185" customWidth="1"/>
    <col min="6403" max="6403" width="0" style="185" hidden="1" customWidth="1"/>
    <col min="6404" max="6404" width="61.7109375" style="185" customWidth="1"/>
    <col min="6405" max="6405" width="14" style="185" customWidth="1"/>
    <col min="6406" max="6406" width="13.28515625" style="185" customWidth="1"/>
    <col min="6407" max="6407" width="14.140625" style="185" customWidth="1"/>
    <col min="6408" max="6408" width="13.140625" style="185" customWidth="1"/>
    <col min="6409" max="6409" width="13" style="185" customWidth="1"/>
    <col min="6410" max="6410" width="12.5703125" style="185" customWidth="1"/>
    <col min="6411" max="6411" width="14.5703125" style="185" customWidth="1"/>
    <col min="6412" max="6412" width="9.85546875" style="185" customWidth="1"/>
    <col min="6413" max="6413" width="13.7109375" style="185" customWidth="1"/>
    <col min="6414" max="6414" width="13.42578125" style="185" customWidth="1"/>
    <col min="6415" max="6415" width="15.140625" style="185" customWidth="1"/>
    <col min="6416" max="6656" width="9.140625" style="185"/>
    <col min="6657" max="6657" width="4.140625" style="185" customWidth="1"/>
    <col min="6658" max="6658" width="7" style="185" customWidth="1"/>
    <col min="6659" max="6659" width="0" style="185" hidden="1" customWidth="1"/>
    <col min="6660" max="6660" width="61.7109375" style="185" customWidth="1"/>
    <col min="6661" max="6661" width="14" style="185" customWidth="1"/>
    <col min="6662" max="6662" width="13.28515625" style="185" customWidth="1"/>
    <col min="6663" max="6663" width="14.140625" style="185" customWidth="1"/>
    <col min="6664" max="6664" width="13.140625" style="185" customWidth="1"/>
    <col min="6665" max="6665" width="13" style="185" customWidth="1"/>
    <col min="6666" max="6666" width="12.5703125" style="185" customWidth="1"/>
    <col min="6667" max="6667" width="14.5703125" style="185" customWidth="1"/>
    <col min="6668" max="6668" width="9.85546875" style="185" customWidth="1"/>
    <col min="6669" max="6669" width="13.7109375" style="185" customWidth="1"/>
    <col min="6670" max="6670" width="13.42578125" style="185" customWidth="1"/>
    <col min="6671" max="6671" width="15.140625" style="185" customWidth="1"/>
    <col min="6672" max="6912" width="9.140625" style="185"/>
    <col min="6913" max="6913" width="4.140625" style="185" customWidth="1"/>
    <col min="6914" max="6914" width="7" style="185" customWidth="1"/>
    <col min="6915" max="6915" width="0" style="185" hidden="1" customWidth="1"/>
    <col min="6916" max="6916" width="61.7109375" style="185" customWidth="1"/>
    <col min="6917" max="6917" width="14" style="185" customWidth="1"/>
    <col min="6918" max="6918" width="13.28515625" style="185" customWidth="1"/>
    <col min="6919" max="6919" width="14.140625" style="185" customWidth="1"/>
    <col min="6920" max="6920" width="13.140625" style="185" customWidth="1"/>
    <col min="6921" max="6921" width="13" style="185" customWidth="1"/>
    <col min="6922" max="6922" width="12.5703125" style="185" customWidth="1"/>
    <col min="6923" max="6923" width="14.5703125" style="185" customWidth="1"/>
    <col min="6924" max="6924" width="9.85546875" style="185" customWidth="1"/>
    <col min="6925" max="6925" width="13.7109375" style="185" customWidth="1"/>
    <col min="6926" max="6926" width="13.42578125" style="185" customWidth="1"/>
    <col min="6927" max="6927" width="15.140625" style="185" customWidth="1"/>
    <col min="6928" max="7168" width="9.140625" style="185"/>
    <col min="7169" max="7169" width="4.140625" style="185" customWidth="1"/>
    <col min="7170" max="7170" width="7" style="185" customWidth="1"/>
    <col min="7171" max="7171" width="0" style="185" hidden="1" customWidth="1"/>
    <col min="7172" max="7172" width="61.7109375" style="185" customWidth="1"/>
    <col min="7173" max="7173" width="14" style="185" customWidth="1"/>
    <col min="7174" max="7174" width="13.28515625" style="185" customWidth="1"/>
    <col min="7175" max="7175" width="14.140625" style="185" customWidth="1"/>
    <col min="7176" max="7176" width="13.140625" style="185" customWidth="1"/>
    <col min="7177" max="7177" width="13" style="185" customWidth="1"/>
    <col min="7178" max="7178" width="12.5703125" style="185" customWidth="1"/>
    <col min="7179" max="7179" width="14.5703125" style="185" customWidth="1"/>
    <col min="7180" max="7180" width="9.85546875" style="185" customWidth="1"/>
    <col min="7181" max="7181" width="13.7109375" style="185" customWidth="1"/>
    <col min="7182" max="7182" width="13.42578125" style="185" customWidth="1"/>
    <col min="7183" max="7183" width="15.140625" style="185" customWidth="1"/>
    <col min="7184" max="7424" width="9.140625" style="185"/>
    <col min="7425" max="7425" width="4.140625" style="185" customWidth="1"/>
    <col min="7426" max="7426" width="7" style="185" customWidth="1"/>
    <col min="7427" max="7427" width="0" style="185" hidden="1" customWidth="1"/>
    <col min="7428" max="7428" width="61.7109375" style="185" customWidth="1"/>
    <col min="7429" max="7429" width="14" style="185" customWidth="1"/>
    <col min="7430" max="7430" width="13.28515625" style="185" customWidth="1"/>
    <col min="7431" max="7431" width="14.140625" style="185" customWidth="1"/>
    <col min="7432" max="7432" width="13.140625" style="185" customWidth="1"/>
    <col min="7433" max="7433" width="13" style="185" customWidth="1"/>
    <col min="7434" max="7434" width="12.5703125" style="185" customWidth="1"/>
    <col min="7435" max="7435" width="14.5703125" style="185" customWidth="1"/>
    <col min="7436" max="7436" width="9.85546875" style="185" customWidth="1"/>
    <col min="7437" max="7437" width="13.7109375" style="185" customWidth="1"/>
    <col min="7438" max="7438" width="13.42578125" style="185" customWidth="1"/>
    <col min="7439" max="7439" width="15.140625" style="185" customWidth="1"/>
    <col min="7440" max="7680" width="9.140625" style="185"/>
    <col min="7681" max="7681" width="4.140625" style="185" customWidth="1"/>
    <col min="7682" max="7682" width="7" style="185" customWidth="1"/>
    <col min="7683" max="7683" width="0" style="185" hidden="1" customWidth="1"/>
    <col min="7684" max="7684" width="61.7109375" style="185" customWidth="1"/>
    <col min="7685" max="7685" width="14" style="185" customWidth="1"/>
    <col min="7686" max="7686" width="13.28515625" style="185" customWidth="1"/>
    <col min="7687" max="7687" width="14.140625" style="185" customWidth="1"/>
    <col min="7688" max="7688" width="13.140625" style="185" customWidth="1"/>
    <col min="7689" max="7689" width="13" style="185" customWidth="1"/>
    <col min="7690" max="7690" width="12.5703125" style="185" customWidth="1"/>
    <col min="7691" max="7691" width="14.5703125" style="185" customWidth="1"/>
    <col min="7692" max="7692" width="9.85546875" style="185" customWidth="1"/>
    <col min="7693" max="7693" width="13.7109375" style="185" customWidth="1"/>
    <col min="7694" max="7694" width="13.42578125" style="185" customWidth="1"/>
    <col min="7695" max="7695" width="15.140625" style="185" customWidth="1"/>
    <col min="7696" max="7936" width="9.140625" style="185"/>
    <col min="7937" max="7937" width="4.140625" style="185" customWidth="1"/>
    <col min="7938" max="7938" width="7" style="185" customWidth="1"/>
    <col min="7939" max="7939" width="0" style="185" hidden="1" customWidth="1"/>
    <col min="7940" max="7940" width="61.7109375" style="185" customWidth="1"/>
    <col min="7941" max="7941" width="14" style="185" customWidth="1"/>
    <col min="7942" max="7942" width="13.28515625" style="185" customWidth="1"/>
    <col min="7943" max="7943" width="14.140625" style="185" customWidth="1"/>
    <col min="7944" max="7944" width="13.140625" style="185" customWidth="1"/>
    <col min="7945" max="7945" width="13" style="185" customWidth="1"/>
    <col min="7946" max="7946" width="12.5703125" style="185" customWidth="1"/>
    <col min="7947" max="7947" width="14.5703125" style="185" customWidth="1"/>
    <col min="7948" max="7948" width="9.85546875" style="185" customWidth="1"/>
    <col min="7949" max="7949" width="13.7109375" style="185" customWidth="1"/>
    <col min="7950" max="7950" width="13.42578125" style="185" customWidth="1"/>
    <col min="7951" max="7951" width="15.140625" style="185" customWidth="1"/>
    <col min="7952" max="8192" width="9.140625" style="185"/>
    <col min="8193" max="8193" width="4.140625" style="185" customWidth="1"/>
    <col min="8194" max="8194" width="7" style="185" customWidth="1"/>
    <col min="8195" max="8195" width="0" style="185" hidden="1" customWidth="1"/>
    <col min="8196" max="8196" width="61.7109375" style="185" customWidth="1"/>
    <col min="8197" max="8197" width="14" style="185" customWidth="1"/>
    <col min="8198" max="8198" width="13.28515625" style="185" customWidth="1"/>
    <col min="8199" max="8199" width="14.140625" style="185" customWidth="1"/>
    <col min="8200" max="8200" width="13.140625" style="185" customWidth="1"/>
    <col min="8201" max="8201" width="13" style="185" customWidth="1"/>
    <col min="8202" max="8202" width="12.5703125" style="185" customWidth="1"/>
    <col min="8203" max="8203" width="14.5703125" style="185" customWidth="1"/>
    <col min="8204" max="8204" width="9.85546875" style="185" customWidth="1"/>
    <col min="8205" max="8205" width="13.7109375" style="185" customWidth="1"/>
    <col min="8206" max="8206" width="13.42578125" style="185" customWidth="1"/>
    <col min="8207" max="8207" width="15.140625" style="185" customWidth="1"/>
    <col min="8208" max="8448" width="9.140625" style="185"/>
    <col min="8449" max="8449" width="4.140625" style="185" customWidth="1"/>
    <col min="8450" max="8450" width="7" style="185" customWidth="1"/>
    <col min="8451" max="8451" width="0" style="185" hidden="1" customWidth="1"/>
    <col min="8452" max="8452" width="61.7109375" style="185" customWidth="1"/>
    <col min="8453" max="8453" width="14" style="185" customWidth="1"/>
    <col min="8454" max="8454" width="13.28515625" style="185" customWidth="1"/>
    <col min="8455" max="8455" width="14.140625" style="185" customWidth="1"/>
    <col min="8456" max="8456" width="13.140625" style="185" customWidth="1"/>
    <col min="8457" max="8457" width="13" style="185" customWidth="1"/>
    <col min="8458" max="8458" width="12.5703125" style="185" customWidth="1"/>
    <col min="8459" max="8459" width="14.5703125" style="185" customWidth="1"/>
    <col min="8460" max="8460" width="9.85546875" style="185" customWidth="1"/>
    <col min="8461" max="8461" width="13.7109375" style="185" customWidth="1"/>
    <col min="8462" max="8462" width="13.42578125" style="185" customWidth="1"/>
    <col min="8463" max="8463" width="15.140625" style="185" customWidth="1"/>
    <col min="8464" max="8704" width="9.140625" style="185"/>
    <col min="8705" max="8705" width="4.140625" style="185" customWidth="1"/>
    <col min="8706" max="8706" width="7" style="185" customWidth="1"/>
    <col min="8707" max="8707" width="0" style="185" hidden="1" customWidth="1"/>
    <col min="8708" max="8708" width="61.7109375" style="185" customWidth="1"/>
    <col min="8709" max="8709" width="14" style="185" customWidth="1"/>
    <col min="8710" max="8710" width="13.28515625" style="185" customWidth="1"/>
    <col min="8711" max="8711" width="14.140625" style="185" customWidth="1"/>
    <col min="8712" max="8712" width="13.140625" style="185" customWidth="1"/>
    <col min="8713" max="8713" width="13" style="185" customWidth="1"/>
    <col min="8714" max="8714" width="12.5703125" style="185" customWidth="1"/>
    <col min="8715" max="8715" width="14.5703125" style="185" customWidth="1"/>
    <col min="8716" max="8716" width="9.85546875" style="185" customWidth="1"/>
    <col min="8717" max="8717" width="13.7109375" style="185" customWidth="1"/>
    <col min="8718" max="8718" width="13.42578125" style="185" customWidth="1"/>
    <col min="8719" max="8719" width="15.140625" style="185" customWidth="1"/>
    <col min="8720" max="8960" width="9.140625" style="185"/>
    <col min="8961" max="8961" width="4.140625" style="185" customWidth="1"/>
    <col min="8962" max="8962" width="7" style="185" customWidth="1"/>
    <col min="8963" max="8963" width="0" style="185" hidden="1" customWidth="1"/>
    <col min="8964" max="8964" width="61.7109375" style="185" customWidth="1"/>
    <col min="8965" max="8965" width="14" style="185" customWidth="1"/>
    <col min="8966" max="8966" width="13.28515625" style="185" customWidth="1"/>
    <col min="8967" max="8967" width="14.140625" style="185" customWidth="1"/>
    <col min="8968" max="8968" width="13.140625" style="185" customWidth="1"/>
    <col min="8969" max="8969" width="13" style="185" customWidth="1"/>
    <col min="8970" max="8970" width="12.5703125" style="185" customWidth="1"/>
    <col min="8971" max="8971" width="14.5703125" style="185" customWidth="1"/>
    <col min="8972" max="8972" width="9.85546875" style="185" customWidth="1"/>
    <col min="8973" max="8973" width="13.7109375" style="185" customWidth="1"/>
    <col min="8974" max="8974" width="13.42578125" style="185" customWidth="1"/>
    <col min="8975" max="8975" width="15.140625" style="185" customWidth="1"/>
    <col min="8976" max="9216" width="9.140625" style="185"/>
    <col min="9217" max="9217" width="4.140625" style="185" customWidth="1"/>
    <col min="9218" max="9218" width="7" style="185" customWidth="1"/>
    <col min="9219" max="9219" width="0" style="185" hidden="1" customWidth="1"/>
    <col min="9220" max="9220" width="61.7109375" style="185" customWidth="1"/>
    <col min="9221" max="9221" width="14" style="185" customWidth="1"/>
    <col min="9222" max="9222" width="13.28515625" style="185" customWidth="1"/>
    <col min="9223" max="9223" width="14.140625" style="185" customWidth="1"/>
    <col min="9224" max="9224" width="13.140625" style="185" customWidth="1"/>
    <col min="9225" max="9225" width="13" style="185" customWidth="1"/>
    <col min="9226" max="9226" width="12.5703125" style="185" customWidth="1"/>
    <col min="9227" max="9227" width="14.5703125" style="185" customWidth="1"/>
    <col min="9228" max="9228" width="9.85546875" style="185" customWidth="1"/>
    <col min="9229" max="9229" width="13.7109375" style="185" customWidth="1"/>
    <col min="9230" max="9230" width="13.42578125" style="185" customWidth="1"/>
    <col min="9231" max="9231" width="15.140625" style="185" customWidth="1"/>
    <col min="9232" max="9472" width="9.140625" style="185"/>
    <col min="9473" max="9473" width="4.140625" style="185" customWidth="1"/>
    <col min="9474" max="9474" width="7" style="185" customWidth="1"/>
    <col min="9475" max="9475" width="0" style="185" hidden="1" customWidth="1"/>
    <col min="9476" max="9476" width="61.7109375" style="185" customWidth="1"/>
    <col min="9477" max="9477" width="14" style="185" customWidth="1"/>
    <col min="9478" max="9478" width="13.28515625" style="185" customWidth="1"/>
    <col min="9479" max="9479" width="14.140625" style="185" customWidth="1"/>
    <col min="9480" max="9480" width="13.140625" style="185" customWidth="1"/>
    <col min="9481" max="9481" width="13" style="185" customWidth="1"/>
    <col min="9482" max="9482" width="12.5703125" style="185" customWidth="1"/>
    <col min="9483" max="9483" width="14.5703125" style="185" customWidth="1"/>
    <col min="9484" max="9484" width="9.85546875" style="185" customWidth="1"/>
    <col min="9485" max="9485" width="13.7109375" style="185" customWidth="1"/>
    <col min="9486" max="9486" width="13.42578125" style="185" customWidth="1"/>
    <col min="9487" max="9487" width="15.140625" style="185" customWidth="1"/>
    <col min="9488" max="9728" width="9.140625" style="185"/>
    <col min="9729" max="9729" width="4.140625" style="185" customWidth="1"/>
    <col min="9730" max="9730" width="7" style="185" customWidth="1"/>
    <col min="9731" max="9731" width="0" style="185" hidden="1" customWidth="1"/>
    <col min="9732" max="9732" width="61.7109375" style="185" customWidth="1"/>
    <col min="9733" max="9733" width="14" style="185" customWidth="1"/>
    <col min="9734" max="9734" width="13.28515625" style="185" customWidth="1"/>
    <col min="9735" max="9735" width="14.140625" style="185" customWidth="1"/>
    <col min="9736" max="9736" width="13.140625" style="185" customWidth="1"/>
    <col min="9737" max="9737" width="13" style="185" customWidth="1"/>
    <col min="9738" max="9738" width="12.5703125" style="185" customWidth="1"/>
    <col min="9739" max="9739" width="14.5703125" style="185" customWidth="1"/>
    <col min="9740" max="9740" width="9.85546875" style="185" customWidth="1"/>
    <col min="9741" max="9741" width="13.7109375" style="185" customWidth="1"/>
    <col min="9742" max="9742" width="13.42578125" style="185" customWidth="1"/>
    <col min="9743" max="9743" width="15.140625" style="185" customWidth="1"/>
    <col min="9744" max="9984" width="9.140625" style="185"/>
    <col min="9985" max="9985" width="4.140625" style="185" customWidth="1"/>
    <col min="9986" max="9986" width="7" style="185" customWidth="1"/>
    <col min="9987" max="9987" width="0" style="185" hidden="1" customWidth="1"/>
    <col min="9988" max="9988" width="61.7109375" style="185" customWidth="1"/>
    <col min="9989" max="9989" width="14" style="185" customWidth="1"/>
    <col min="9990" max="9990" width="13.28515625" style="185" customWidth="1"/>
    <col min="9991" max="9991" width="14.140625" style="185" customWidth="1"/>
    <col min="9992" max="9992" width="13.140625" style="185" customWidth="1"/>
    <col min="9993" max="9993" width="13" style="185" customWidth="1"/>
    <col min="9994" max="9994" width="12.5703125" style="185" customWidth="1"/>
    <col min="9995" max="9995" width="14.5703125" style="185" customWidth="1"/>
    <col min="9996" max="9996" width="9.85546875" style="185" customWidth="1"/>
    <col min="9997" max="9997" width="13.7109375" style="185" customWidth="1"/>
    <col min="9998" max="9998" width="13.42578125" style="185" customWidth="1"/>
    <col min="9999" max="9999" width="15.140625" style="185" customWidth="1"/>
    <col min="10000" max="10240" width="9.140625" style="185"/>
    <col min="10241" max="10241" width="4.140625" style="185" customWidth="1"/>
    <col min="10242" max="10242" width="7" style="185" customWidth="1"/>
    <col min="10243" max="10243" width="0" style="185" hidden="1" customWidth="1"/>
    <col min="10244" max="10244" width="61.7109375" style="185" customWidth="1"/>
    <col min="10245" max="10245" width="14" style="185" customWidth="1"/>
    <col min="10246" max="10246" width="13.28515625" style="185" customWidth="1"/>
    <col min="10247" max="10247" width="14.140625" style="185" customWidth="1"/>
    <col min="10248" max="10248" width="13.140625" style="185" customWidth="1"/>
    <col min="10249" max="10249" width="13" style="185" customWidth="1"/>
    <col min="10250" max="10250" width="12.5703125" style="185" customWidth="1"/>
    <col min="10251" max="10251" width="14.5703125" style="185" customWidth="1"/>
    <col min="10252" max="10252" width="9.85546875" style="185" customWidth="1"/>
    <col min="10253" max="10253" width="13.7109375" style="185" customWidth="1"/>
    <col min="10254" max="10254" width="13.42578125" style="185" customWidth="1"/>
    <col min="10255" max="10255" width="15.140625" style="185" customWidth="1"/>
    <col min="10256" max="10496" width="9.140625" style="185"/>
    <col min="10497" max="10497" width="4.140625" style="185" customWidth="1"/>
    <col min="10498" max="10498" width="7" style="185" customWidth="1"/>
    <col min="10499" max="10499" width="0" style="185" hidden="1" customWidth="1"/>
    <col min="10500" max="10500" width="61.7109375" style="185" customWidth="1"/>
    <col min="10501" max="10501" width="14" style="185" customWidth="1"/>
    <col min="10502" max="10502" width="13.28515625" style="185" customWidth="1"/>
    <col min="10503" max="10503" width="14.140625" style="185" customWidth="1"/>
    <col min="10504" max="10504" width="13.140625" style="185" customWidth="1"/>
    <col min="10505" max="10505" width="13" style="185" customWidth="1"/>
    <col min="10506" max="10506" width="12.5703125" style="185" customWidth="1"/>
    <col min="10507" max="10507" width="14.5703125" style="185" customWidth="1"/>
    <col min="10508" max="10508" width="9.85546875" style="185" customWidth="1"/>
    <col min="10509" max="10509" width="13.7109375" style="185" customWidth="1"/>
    <col min="10510" max="10510" width="13.42578125" style="185" customWidth="1"/>
    <col min="10511" max="10511" width="15.140625" style="185" customWidth="1"/>
    <col min="10512" max="10752" width="9.140625" style="185"/>
    <col min="10753" max="10753" width="4.140625" style="185" customWidth="1"/>
    <col min="10754" max="10754" width="7" style="185" customWidth="1"/>
    <col min="10755" max="10755" width="0" style="185" hidden="1" customWidth="1"/>
    <col min="10756" max="10756" width="61.7109375" style="185" customWidth="1"/>
    <col min="10757" max="10757" width="14" style="185" customWidth="1"/>
    <col min="10758" max="10758" width="13.28515625" style="185" customWidth="1"/>
    <col min="10759" max="10759" width="14.140625" style="185" customWidth="1"/>
    <col min="10760" max="10760" width="13.140625" style="185" customWidth="1"/>
    <col min="10761" max="10761" width="13" style="185" customWidth="1"/>
    <col min="10762" max="10762" width="12.5703125" style="185" customWidth="1"/>
    <col min="10763" max="10763" width="14.5703125" style="185" customWidth="1"/>
    <col min="10764" max="10764" width="9.85546875" style="185" customWidth="1"/>
    <col min="10765" max="10765" width="13.7109375" style="185" customWidth="1"/>
    <col min="10766" max="10766" width="13.42578125" style="185" customWidth="1"/>
    <col min="10767" max="10767" width="15.140625" style="185" customWidth="1"/>
    <col min="10768" max="11008" width="9.140625" style="185"/>
    <col min="11009" max="11009" width="4.140625" style="185" customWidth="1"/>
    <col min="11010" max="11010" width="7" style="185" customWidth="1"/>
    <col min="11011" max="11011" width="0" style="185" hidden="1" customWidth="1"/>
    <col min="11012" max="11012" width="61.7109375" style="185" customWidth="1"/>
    <col min="11013" max="11013" width="14" style="185" customWidth="1"/>
    <col min="11014" max="11014" width="13.28515625" style="185" customWidth="1"/>
    <col min="11015" max="11015" width="14.140625" style="185" customWidth="1"/>
    <col min="11016" max="11016" width="13.140625" style="185" customWidth="1"/>
    <col min="11017" max="11017" width="13" style="185" customWidth="1"/>
    <col min="11018" max="11018" width="12.5703125" style="185" customWidth="1"/>
    <col min="11019" max="11019" width="14.5703125" style="185" customWidth="1"/>
    <col min="11020" max="11020" width="9.85546875" style="185" customWidth="1"/>
    <col min="11021" max="11021" width="13.7109375" style="185" customWidth="1"/>
    <col min="11022" max="11022" width="13.42578125" style="185" customWidth="1"/>
    <col min="11023" max="11023" width="15.140625" style="185" customWidth="1"/>
    <col min="11024" max="11264" width="9.140625" style="185"/>
    <col min="11265" max="11265" width="4.140625" style="185" customWidth="1"/>
    <col min="11266" max="11266" width="7" style="185" customWidth="1"/>
    <col min="11267" max="11267" width="0" style="185" hidden="1" customWidth="1"/>
    <col min="11268" max="11268" width="61.7109375" style="185" customWidth="1"/>
    <col min="11269" max="11269" width="14" style="185" customWidth="1"/>
    <col min="11270" max="11270" width="13.28515625" style="185" customWidth="1"/>
    <col min="11271" max="11271" width="14.140625" style="185" customWidth="1"/>
    <col min="11272" max="11272" width="13.140625" style="185" customWidth="1"/>
    <col min="11273" max="11273" width="13" style="185" customWidth="1"/>
    <col min="11274" max="11274" width="12.5703125" style="185" customWidth="1"/>
    <col min="11275" max="11275" width="14.5703125" style="185" customWidth="1"/>
    <col min="11276" max="11276" width="9.85546875" style="185" customWidth="1"/>
    <col min="11277" max="11277" width="13.7109375" style="185" customWidth="1"/>
    <col min="11278" max="11278" width="13.42578125" style="185" customWidth="1"/>
    <col min="11279" max="11279" width="15.140625" style="185" customWidth="1"/>
    <col min="11280" max="11520" width="9.140625" style="185"/>
    <col min="11521" max="11521" width="4.140625" style="185" customWidth="1"/>
    <col min="11522" max="11522" width="7" style="185" customWidth="1"/>
    <col min="11523" max="11523" width="0" style="185" hidden="1" customWidth="1"/>
    <col min="11524" max="11524" width="61.7109375" style="185" customWidth="1"/>
    <col min="11525" max="11525" width="14" style="185" customWidth="1"/>
    <col min="11526" max="11526" width="13.28515625" style="185" customWidth="1"/>
    <col min="11527" max="11527" width="14.140625" style="185" customWidth="1"/>
    <col min="11528" max="11528" width="13.140625" style="185" customWidth="1"/>
    <col min="11529" max="11529" width="13" style="185" customWidth="1"/>
    <col min="11530" max="11530" width="12.5703125" style="185" customWidth="1"/>
    <col min="11531" max="11531" width="14.5703125" style="185" customWidth="1"/>
    <col min="11532" max="11532" width="9.85546875" style="185" customWidth="1"/>
    <col min="11533" max="11533" width="13.7109375" style="185" customWidth="1"/>
    <col min="11534" max="11534" width="13.42578125" style="185" customWidth="1"/>
    <col min="11535" max="11535" width="15.140625" style="185" customWidth="1"/>
    <col min="11536" max="11776" width="9.140625" style="185"/>
    <col min="11777" max="11777" width="4.140625" style="185" customWidth="1"/>
    <col min="11778" max="11778" width="7" style="185" customWidth="1"/>
    <col min="11779" max="11779" width="0" style="185" hidden="1" customWidth="1"/>
    <col min="11780" max="11780" width="61.7109375" style="185" customWidth="1"/>
    <col min="11781" max="11781" width="14" style="185" customWidth="1"/>
    <col min="11782" max="11782" width="13.28515625" style="185" customWidth="1"/>
    <col min="11783" max="11783" width="14.140625" style="185" customWidth="1"/>
    <col min="11784" max="11784" width="13.140625" style="185" customWidth="1"/>
    <col min="11785" max="11785" width="13" style="185" customWidth="1"/>
    <col min="11786" max="11786" width="12.5703125" style="185" customWidth="1"/>
    <col min="11787" max="11787" width="14.5703125" style="185" customWidth="1"/>
    <col min="11788" max="11788" width="9.85546875" style="185" customWidth="1"/>
    <col min="11789" max="11789" width="13.7109375" style="185" customWidth="1"/>
    <col min="11790" max="11790" width="13.42578125" style="185" customWidth="1"/>
    <col min="11791" max="11791" width="15.140625" style="185" customWidth="1"/>
    <col min="11792" max="12032" width="9.140625" style="185"/>
    <col min="12033" max="12033" width="4.140625" style="185" customWidth="1"/>
    <col min="12034" max="12034" width="7" style="185" customWidth="1"/>
    <col min="12035" max="12035" width="0" style="185" hidden="1" customWidth="1"/>
    <col min="12036" max="12036" width="61.7109375" style="185" customWidth="1"/>
    <col min="12037" max="12037" width="14" style="185" customWidth="1"/>
    <col min="12038" max="12038" width="13.28515625" style="185" customWidth="1"/>
    <col min="12039" max="12039" width="14.140625" style="185" customWidth="1"/>
    <col min="12040" max="12040" width="13.140625" style="185" customWidth="1"/>
    <col min="12041" max="12041" width="13" style="185" customWidth="1"/>
    <col min="12042" max="12042" width="12.5703125" style="185" customWidth="1"/>
    <col min="12043" max="12043" width="14.5703125" style="185" customWidth="1"/>
    <col min="12044" max="12044" width="9.85546875" style="185" customWidth="1"/>
    <col min="12045" max="12045" width="13.7109375" style="185" customWidth="1"/>
    <col min="12046" max="12046" width="13.42578125" style="185" customWidth="1"/>
    <col min="12047" max="12047" width="15.140625" style="185" customWidth="1"/>
    <col min="12048" max="12288" width="9.140625" style="185"/>
    <col min="12289" max="12289" width="4.140625" style="185" customWidth="1"/>
    <col min="12290" max="12290" width="7" style="185" customWidth="1"/>
    <col min="12291" max="12291" width="0" style="185" hidden="1" customWidth="1"/>
    <col min="12292" max="12292" width="61.7109375" style="185" customWidth="1"/>
    <col min="12293" max="12293" width="14" style="185" customWidth="1"/>
    <col min="12294" max="12294" width="13.28515625" style="185" customWidth="1"/>
    <col min="12295" max="12295" width="14.140625" style="185" customWidth="1"/>
    <col min="12296" max="12296" width="13.140625" style="185" customWidth="1"/>
    <col min="12297" max="12297" width="13" style="185" customWidth="1"/>
    <col min="12298" max="12298" width="12.5703125" style="185" customWidth="1"/>
    <col min="12299" max="12299" width="14.5703125" style="185" customWidth="1"/>
    <col min="12300" max="12300" width="9.85546875" style="185" customWidth="1"/>
    <col min="12301" max="12301" width="13.7109375" style="185" customWidth="1"/>
    <col min="12302" max="12302" width="13.42578125" style="185" customWidth="1"/>
    <col min="12303" max="12303" width="15.140625" style="185" customWidth="1"/>
    <col min="12304" max="12544" width="9.140625" style="185"/>
    <col min="12545" max="12545" width="4.140625" style="185" customWidth="1"/>
    <col min="12546" max="12546" width="7" style="185" customWidth="1"/>
    <col min="12547" max="12547" width="0" style="185" hidden="1" customWidth="1"/>
    <col min="12548" max="12548" width="61.7109375" style="185" customWidth="1"/>
    <col min="12549" max="12549" width="14" style="185" customWidth="1"/>
    <col min="12550" max="12550" width="13.28515625" style="185" customWidth="1"/>
    <col min="12551" max="12551" width="14.140625" style="185" customWidth="1"/>
    <col min="12552" max="12552" width="13.140625" style="185" customWidth="1"/>
    <col min="12553" max="12553" width="13" style="185" customWidth="1"/>
    <col min="12554" max="12554" width="12.5703125" style="185" customWidth="1"/>
    <col min="12555" max="12555" width="14.5703125" style="185" customWidth="1"/>
    <col min="12556" max="12556" width="9.85546875" style="185" customWidth="1"/>
    <col min="12557" max="12557" width="13.7109375" style="185" customWidth="1"/>
    <col min="12558" max="12558" width="13.42578125" style="185" customWidth="1"/>
    <col min="12559" max="12559" width="15.140625" style="185" customWidth="1"/>
    <col min="12560" max="12800" width="9.140625" style="185"/>
    <col min="12801" max="12801" width="4.140625" style="185" customWidth="1"/>
    <col min="12802" max="12802" width="7" style="185" customWidth="1"/>
    <col min="12803" max="12803" width="0" style="185" hidden="1" customWidth="1"/>
    <col min="12804" max="12804" width="61.7109375" style="185" customWidth="1"/>
    <col min="12805" max="12805" width="14" style="185" customWidth="1"/>
    <col min="12806" max="12806" width="13.28515625" style="185" customWidth="1"/>
    <col min="12807" max="12807" width="14.140625" style="185" customWidth="1"/>
    <col min="12808" max="12808" width="13.140625" style="185" customWidth="1"/>
    <col min="12809" max="12809" width="13" style="185" customWidth="1"/>
    <col min="12810" max="12810" width="12.5703125" style="185" customWidth="1"/>
    <col min="12811" max="12811" width="14.5703125" style="185" customWidth="1"/>
    <col min="12812" max="12812" width="9.85546875" style="185" customWidth="1"/>
    <col min="12813" max="12813" width="13.7109375" style="185" customWidth="1"/>
    <col min="12814" max="12814" width="13.42578125" style="185" customWidth="1"/>
    <col min="12815" max="12815" width="15.140625" style="185" customWidth="1"/>
    <col min="12816" max="13056" width="9.140625" style="185"/>
    <col min="13057" max="13057" width="4.140625" style="185" customWidth="1"/>
    <col min="13058" max="13058" width="7" style="185" customWidth="1"/>
    <col min="13059" max="13059" width="0" style="185" hidden="1" customWidth="1"/>
    <col min="13060" max="13060" width="61.7109375" style="185" customWidth="1"/>
    <col min="13061" max="13061" width="14" style="185" customWidth="1"/>
    <col min="13062" max="13062" width="13.28515625" style="185" customWidth="1"/>
    <col min="13063" max="13063" width="14.140625" style="185" customWidth="1"/>
    <col min="13064" max="13064" width="13.140625" style="185" customWidth="1"/>
    <col min="13065" max="13065" width="13" style="185" customWidth="1"/>
    <col min="13066" max="13066" width="12.5703125" style="185" customWidth="1"/>
    <col min="13067" max="13067" width="14.5703125" style="185" customWidth="1"/>
    <col min="13068" max="13068" width="9.85546875" style="185" customWidth="1"/>
    <col min="13069" max="13069" width="13.7109375" style="185" customWidth="1"/>
    <col min="13070" max="13070" width="13.42578125" style="185" customWidth="1"/>
    <col min="13071" max="13071" width="15.140625" style="185" customWidth="1"/>
    <col min="13072" max="13312" width="9.140625" style="185"/>
    <col min="13313" max="13313" width="4.140625" style="185" customWidth="1"/>
    <col min="13314" max="13314" width="7" style="185" customWidth="1"/>
    <col min="13315" max="13315" width="0" style="185" hidden="1" customWidth="1"/>
    <col min="13316" max="13316" width="61.7109375" style="185" customWidth="1"/>
    <col min="13317" max="13317" width="14" style="185" customWidth="1"/>
    <col min="13318" max="13318" width="13.28515625" style="185" customWidth="1"/>
    <col min="13319" max="13319" width="14.140625" style="185" customWidth="1"/>
    <col min="13320" max="13320" width="13.140625" style="185" customWidth="1"/>
    <col min="13321" max="13321" width="13" style="185" customWidth="1"/>
    <col min="13322" max="13322" width="12.5703125" style="185" customWidth="1"/>
    <col min="13323" max="13323" width="14.5703125" style="185" customWidth="1"/>
    <col min="13324" max="13324" width="9.85546875" style="185" customWidth="1"/>
    <col min="13325" max="13325" width="13.7109375" style="185" customWidth="1"/>
    <col min="13326" max="13326" width="13.42578125" style="185" customWidth="1"/>
    <col min="13327" max="13327" width="15.140625" style="185" customWidth="1"/>
    <col min="13328" max="13568" width="9.140625" style="185"/>
    <col min="13569" max="13569" width="4.140625" style="185" customWidth="1"/>
    <col min="13570" max="13570" width="7" style="185" customWidth="1"/>
    <col min="13571" max="13571" width="0" style="185" hidden="1" customWidth="1"/>
    <col min="13572" max="13572" width="61.7109375" style="185" customWidth="1"/>
    <col min="13573" max="13573" width="14" style="185" customWidth="1"/>
    <col min="13574" max="13574" width="13.28515625" style="185" customWidth="1"/>
    <col min="13575" max="13575" width="14.140625" style="185" customWidth="1"/>
    <col min="13576" max="13576" width="13.140625" style="185" customWidth="1"/>
    <col min="13577" max="13577" width="13" style="185" customWidth="1"/>
    <col min="13578" max="13578" width="12.5703125" style="185" customWidth="1"/>
    <col min="13579" max="13579" width="14.5703125" style="185" customWidth="1"/>
    <col min="13580" max="13580" width="9.85546875" style="185" customWidth="1"/>
    <col min="13581" max="13581" width="13.7109375" style="185" customWidth="1"/>
    <col min="13582" max="13582" width="13.42578125" style="185" customWidth="1"/>
    <col min="13583" max="13583" width="15.140625" style="185" customWidth="1"/>
    <col min="13584" max="13824" width="9.140625" style="185"/>
    <col min="13825" max="13825" width="4.140625" style="185" customWidth="1"/>
    <col min="13826" max="13826" width="7" style="185" customWidth="1"/>
    <col min="13827" max="13827" width="0" style="185" hidden="1" customWidth="1"/>
    <col min="13828" max="13828" width="61.7109375" style="185" customWidth="1"/>
    <col min="13829" max="13829" width="14" style="185" customWidth="1"/>
    <col min="13830" max="13830" width="13.28515625" style="185" customWidth="1"/>
    <col min="13831" max="13831" width="14.140625" style="185" customWidth="1"/>
    <col min="13832" max="13832" width="13.140625" style="185" customWidth="1"/>
    <col min="13833" max="13833" width="13" style="185" customWidth="1"/>
    <col min="13834" max="13834" width="12.5703125" style="185" customWidth="1"/>
    <col min="13835" max="13835" width="14.5703125" style="185" customWidth="1"/>
    <col min="13836" max="13836" width="9.85546875" style="185" customWidth="1"/>
    <col min="13837" max="13837" width="13.7109375" style="185" customWidth="1"/>
    <col min="13838" max="13838" width="13.42578125" style="185" customWidth="1"/>
    <col min="13839" max="13839" width="15.140625" style="185" customWidth="1"/>
    <col min="13840" max="14080" width="9.140625" style="185"/>
    <col min="14081" max="14081" width="4.140625" style="185" customWidth="1"/>
    <col min="14082" max="14082" width="7" style="185" customWidth="1"/>
    <col min="14083" max="14083" width="0" style="185" hidden="1" customWidth="1"/>
    <col min="14084" max="14084" width="61.7109375" style="185" customWidth="1"/>
    <col min="14085" max="14085" width="14" style="185" customWidth="1"/>
    <col min="14086" max="14086" width="13.28515625" style="185" customWidth="1"/>
    <col min="14087" max="14087" width="14.140625" style="185" customWidth="1"/>
    <col min="14088" max="14088" width="13.140625" style="185" customWidth="1"/>
    <col min="14089" max="14089" width="13" style="185" customWidth="1"/>
    <col min="14090" max="14090" width="12.5703125" style="185" customWidth="1"/>
    <col min="14091" max="14091" width="14.5703125" style="185" customWidth="1"/>
    <col min="14092" max="14092" width="9.85546875" style="185" customWidth="1"/>
    <col min="14093" max="14093" width="13.7109375" style="185" customWidth="1"/>
    <col min="14094" max="14094" width="13.42578125" style="185" customWidth="1"/>
    <col min="14095" max="14095" width="15.140625" style="185" customWidth="1"/>
    <col min="14096" max="14336" width="9.140625" style="185"/>
    <col min="14337" max="14337" width="4.140625" style="185" customWidth="1"/>
    <col min="14338" max="14338" width="7" style="185" customWidth="1"/>
    <col min="14339" max="14339" width="0" style="185" hidden="1" customWidth="1"/>
    <col min="14340" max="14340" width="61.7109375" style="185" customWidth="1"/>
    <col min="14341" max="14341" width="14" style="185" customWidth="1"/>
    <col min="14342" max="14342" width="13.28515625" style="185" customWidth="1"/>
    <col min="14343" max="14343" width="14.140625" style="185" customWidth="1"/>
    <col min="14344" max="14344" width="13.140625" style="185" customWidth="1"/>
    <col min="14345" max="14345" width="13" style="185" customWidth="1"/>
    <col min="14346" max="14346" width="12.5703125" style="185" customWidth="1"/>
    <col min="14347" max="14347" width="14.5703125" style="185" customWidth="1"/>
    <col min="14348" max="14348" width="9.85546875" style="185" customWidth="1"/>
    <col min="14349" max="14349" width="13.7109375" style="185" customWidth="1"/>
    <col min="14350" max="14350" width="13.42578125" style="185" customWidth="1"/>
    <col min="14351" max="14351" width="15.140625" style="185" customWidth="1"/>
    <col min="14352" max="14592" width="9.140625" style="185"/>
    <col min="14593" max="14593" width="4.140625" style="185" customWidth="1"/>
    <col min="14594" max="14594" width="7" style="185" customWidth="1"/>
    <col min="14595" max="14595" width="0" style="185" hidden="1" customWidth="1"/>
    <col min="14596" max="14596" width="61.7109375" style="185" customWidth="1"/>
    <col min="14597" max="14597" width="14" style="185" customWidth="1"/>
    <col min="14598" max="14598" width="13.28515625" style="185" customWidth="1"/>
    <col min="14599" max="14599" width="14.140625" style="185" customWidth="1"/>
    <col min="14600" max="14600" width="13.140625" style="185" customWidth="1"/>
    <col min="14601" max="14601" width="13" style="185" customWidth="1"/>
    <col min="14602" max="14602" width="12.5703125" style="185" customWidth="1"/>
    <col min="14603" max="14603" width="14.5703125" style="185" customWidth="1"/>
    <col min="14604" max="14604" width="9.85546875" style="185" customWidth="1"/>
    <col min="14605" max="14605" width="13.7109375" style="185" customWidth="1"/>
    <col min="14606" max="14606" width="13.42578125" style="185" customWidth="1"/>
    <col min="14607" max="14607" width="15.140625" style="185" customWidth="1"/>
    <col min="14608" max="14848" width="9.140625" style="185"/>
    <col min="14849" max="14849" width="4.140625" style="185" customWidth="1"/>
    <col min="14850" max="14850" width="7" style="185" customWidth="1"/>
    <col min="14851" max="14851" width="0" style="185" hidden="1" customWidth="1"/>
    <col min="14852" max="14852" width="61.7109375" style="185" customWidth="1"/>
    <col min="14853" max="14853" width="14" style="185" customWidth="1"/>
    <col min="14854" max="14854" width="13.28515625" style="185" customWidth="1"/>
    <col min="14855" max="14855" width="14.140625" style="185" customWidth="1"/>
    <col min="14856" max="14856" width="13.140625" style="185" customWidth="1"/>
    <col min="14857" max="14857" width="13" style="185" customWidth="1"/>
    <col min="14858" max="14858" width="12.5703125" style="185" customWidth="1"/>
    <col min="14859" max="14859" width="14.5703125" style="185" customWidth="1"/>
    <col min="14860" max="14860" width="9.85546875" style="185" customWidth="1"/>
    <col min="14861" max="14861" width="13.7109375" style="185" customWidth="1"/>
    <col min="14862" max="14862" width="13.42578125" style="185" customWidth="1"/>
    <col min="14863" max="14863" width="15.140625" style="185" customWidth="1"/>
    <col min="14864" max="15104" width="9.140625" style="185"/>
    <col min="15105" max="15105" width="4.140625" style="185" customWidth="1"/>
    <col min="15106" max="15106" width="7" style="185" customWidth="1"/>
    <col min="15107" max="15107" width="0" style="185" hidden="1" customWidth="1"/>
    <col min="15108" max="15108" width="61.7109375" style="185" customWidth="1"/>
    <col min="15109" max="15109" width="14" style="185" customWidth="1"/>
    <col min="15110" max="15110" width="13.28515625" style="185" customWidth="1"/>
    <col min="15111" max="15111" width="14.140625" style="185" customWidth="1"/>
    <col min="15112" max="15112" width="13.140625" style="185" customWidth="1"/>
    <col min="15113" max="15113" width="13" style="185" customWidth="1"/>
    <col min="15114" max="15114" width="12.5703125" style="185" customWidth="1"/>
    <col min="15115" max="15115" width="14.5703125" style="185" customWidth="1"/>
    <col min="15116" max="15116" width="9.85546875" style="185" customWidth="1"/>
    <col min="15117" max="15117" width="13.7109375" style="185" customWidth="1"/>
    <col min="15118" max="15118" width="13.42578125" style="185" customWidth="1"/>
    <col min="15119" max="15119" width="15.140625" style="185" customWidth="1"/>
    <col min="15120" max="15360" width="9.140625" style="185"/>
    <col min="15361" max="15361" width="4.140625" style="185" customWidth="1"/>
    <col min="15362" max="15362" width="7" style="185" customWidth="1"/>
    <col min="15363" max="15363" width="0" style="185" hidden="1" customWidth="1"/>
    <col min="15364" max="15364" width="61.7109375" style="185" customWidth="1"/>
    <col min="15365" max="15365" width="14" style="185" customWidth="1"/>
    <col min="15366" max="15366" width="13.28515625" style="185" customWidth="1"/>
    <col min="15367" max="15367" width="14.140625" style="185" customWidth="1"/>
    <col min="15368" max="15368" width="13.140625" style="185" customWidth="1"/>
    <col min="15369" max="15369" width="13" style="185" customWidth="1"/>
    <col min="15370" max="15370" width="12.5703125" style="185" customWidth="1"/>
    <col min="15371" max="15371" width="14.5703125" style="185" customWidth="1"/>
    <col min="15372" max="15372" width="9.85546875" style="185" customWidth="1"/>
    <col min="15373" max="15373" width="13.7109375" style="185" customWidth="1"/>
    <col min="15374" max="15374" width="13.42578125" style="185" customWidth="1"/>
    <col min="15375" max="15375" width="15.140625" style="185" customWidth="1"/>
    <col min="15376" max="15616" width="9.140625" style="185"/>
    <col min="15617" max="15617" width="4.140625" style="185" customWidth="1"/>
    <col min="15618" max="15618" width="7" style="185" customWidth="1"/>
    <col min="15619" max="15619" width="0" style="185" hidden="1" customWidth="1"/>
    <col min="15620" max="15620" width="61.7109375" style="185" customWidth="1"/>
    <col min="15621" max="15621" width="14" style="185" customWidth="1"/>
    <col min="15622" max="15622" width="13.28515625" style="185" customWidth="1"/>
    <col min="15623" max="15623" width="14.140625" style="185" customWidth="1"/>
    <col min="15624" max="15624" width="13.140625" style="185" customWidth="1"/>
    <col min="15625" max="15625" width="13" style="185" customWidth="1"/>
    <col min="15626" max="15626" width="12.5703125" style="185" customWidth="1"/>
    <col min="15627" max="15627" width="14.5703125" style="185" customWidth="1"/>
    <col min="15628" max="15628" width="9.85546875" style="185" customWidth="1"/>
    <col min="15629" max="15629" width="13.7109375" style="185" customWidth="1"/>
    <col min="15630" max="15630" width="13.42578125" style="185" customWidth="1"/>
    <col min="15631" max="15631" width="15.140625" style="185" customWidth="1"/>
    <col min="15632" max="15872" width="9.140625" style="185"/>
    <col min="15873" max="15873" width="4.140625" style="185" customWidth="1"/>
    <col min="15874" max="15874" width="7" style="185" customWidth="1"/>
    <col min="15875" max="15875" width="0" style="185" hidden="1" customWidth="1"/>
    <col min="15876" max="15876" width="61.7109375" style="185" customWidth="1"/>
    <col min="15877" max="15877" width="14" style="185" customWidth="1"/>
    <col min="15878" max="15878" width="13.28515625" style="185" customWidth="1"/>
    <col min="15879" max="15879" width="14.140625" style="185" customWidth="1"/>
    <col min="15880" max="15880" width="13.140625" style="185" customWidth="1"/>
    <col min="15881" max="15881" width="13" style="185" customWidth="1"/>
    <col min="15882" max="15882" width="12.5703125" style="185" customWidth="1"/>
    <col min="15883" max="15883" width="14.5703125" style="185" customWidth="1"/>
    <col min="15884" max="15884" width="9.85546875" style="185" customWidth="1"/>
    <col min="15885" max="15885" width="13.7109375" style="185" customWidth="1"/>
    <col min="15886" max="15886" width="13.42578125" style="185" customWidth="1"/>
    <col min="15887" max="15887" width="15.140625" style="185" customWidth="1"/>
    <col min="15888" max="16128" width="9.140625" style="185"/>
    <col min="16129" max="16129" width="4.140625" style="185" customWidth="1"/>
    <col min="16130" max="16130" width="7" style="185" customWidth="1"/>
    <col min="16131" max="16131" width="0" style="185" hidden="1" customWidth="1"/>
    <col min="16132" max="16132" width="61.7109375" style="185" customWidth="1"/>
    <col min="16133" max="16133" width="14" style="185" customWidth="1"/>
    <col min="16134" max="16134" width="13.28515625" style="185" customWidth="1"/>
    <col min="16135" max="16135" width="14.140625" style="185" customWidth="1"/>
    <col min="16136" max="16136" width="13.140625" style="185" customWidth="1"/>
    <col min="16137" max="16137" width="13" style="185" customWidth="1"/>
    <col min="16138" max="16138" width="12.5703125" style="185" customWidth="1"/>
    <col min="16139" max="16139" width="14.5703125" style="185" customWidth="1"/>
    <col min="16140" max="16140" width="9.85546875" style="185" customWidth="1"/>
    <col min="16141" max="16141" width="13.7109375" style="185" customWidth="1"/>
    <col min="16142" max="16142" width="13.42578125" style="185" customWidth="1"/>
    <col min="16143" max="16143" width="15.140625" style="185" customWidth="1"/>
    <col min="16144" max="16384" width="9.140625" style="185"/>
  </cols>
  <sheetData>
    <row r="1" spans="1:15" ht="12" customHeight="1" x14ac:dyDescent="0.25">
      <c r="A1" s="179"/>
      <c r="B1" s="179"/>
      <c r="C1" s="180"/>
      <c r="D1" s="181"/>
      <c r="E1" s="181"/>
      <c r="F1" s="181"/>
      <c r="G1" s="182"/>
      <c r="H1" s="182"/>
      <c r="I1" s="182"/>
      <c r="J1" s="182"/>
      <c r="K1" s="182"/>
      <c r="L1" s="183" t="s">
        <v>291</v>
      </c>
      <c r="M1" s="184"/>
    </row>
    <row r="2" spans="1:15" ht="12" customHeight="1" x14ac:dyDescent="0.25">
      <c r="A2" s="179"/>
      <c r="B2" s="179"/>
      <c r="C2" s="180"/>
      <c r="D2" s="181"/>
      <c r="E2" s="181"/>
      <c r="F2" s="181"/>
      <c r="G2" s="182"/>
      <c r="H2" s="182"/>
      <c r="I2" s="182"/>
      <c r="J2" s="182"/>
      <c r="K2" s="182"/>
      <c r="L2" s="3" t="s">
        <v>289</v>
      </c>
      <c r="M2" s="184"/>
    </row>
    <row r="3" spans="1:15" ht="12" customHeight="1" x14ac:dyDescent="0.25">
      <c r="A3" s="179"/>
      <c r="B3" s="179"/>
      <c r="C3" s="180"/>
      <c r="D3" s="181"/>
      <c r="E3" s="181"/>
      <c r="F3" s="181"/>
      <c r="G3" s="182"/>
      <c r="H3" s="182"/>
      <c r="I3" s="182"/>
      <c r="J3" s="182"/>
      <c r="K3" s="182"/>
      <c r="L3" s="3" t="s">
        <v>0</v>
      </c>
      <c r="M3" s="184"/>
    </row>
    <row r="4" spans="1:15" ht="12" customHeight="1" x14ac:dyDescent="0.25">
      <c r="A4" s="179"/>
      <c r="B4" s="179"/>
      <c r="C4" s="180"/>
      <c r="D4" s="181"/>
      <c r="E4" s="181"/>
      <c r="F4" s="181"/>
      <c r="G4" s="182"/>
      <c r="H4" s="182"/>
      <c r="I4" s="182"/>
      <c r="J4" s="182"/>
      <c r="K4" s="182"/>
      <c r="L4" s="3" t="s">
        <v>290</v>
      </c>
      <c r="M4" s="184"/>
    </row>
    <row r="5" spans="1:15" ht="43.5" customHeight="1" x14ac:dyDescent="0.25">
      <c r="A5" s="186" t="s">
        <v>292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7"/>
      <c r="N5" s="188"/>
      <c r="O5" s="188"/>
    </row>
    <row r="6" spans="1:15" ht="40.5" customHeight="1" x14ac:dyDescent="0.25">
      <c r="A6" s="179"/>
      <c r="B6" s="179"/>
      <c r="C6" s="180"/>
      <c r="D6" s="184"/>
      <c r="E6" s="184"/>
      <c r="F6" s="184"/>
      <c r="G6" s="182"/>
      <c r="H6" s="182"/>
      <c r="I6" s="182"/>
      <c r="J6" s="182"/>
      <c r="K6" s="182"/>
      <c r="L6" s="182" t="s">
        <v>2</v>
      </c>
      <c r="M6" s="184"/>
    </row>
    <row r="7" spans="1:15" s="198" customFormat="1" ht="12" customHeight="1" x14ac:dyDescent="0.25">
      <c r="A7" s="189"/>
      <c r="B7" s="189"/>
      <c r="C7" s="190"/>
      <c r="D7" s="191"/>
      <c r="E7" s="191"/>
      <c r="F7" s="191"/>
      <c r="G7" s="189"/>
      <c r="H7" s="192" t="s">
        <v>293</v>
      </c>
      <c r="I7" s="193"/>
      <c r="J7" s="194"/>
      <c r="K7" s="195"/>
      <c r="L7" s="196" t="s">
        <v>294</v>
      </c>
      <c r="M7" s="197" t="s">
        <v>295</v>
      </c>
    </row>
    <row r="8" spans="1:15" s="198" customFormat="1" ht="12.75" customHeight="1" x14ac:dyDescent="0.25">
      <c r="A8" s="199"/>
      <c r="B8" s="200"/>
      <c r="C8" s="201"/>
      <c r="D8" s="202"/>
      <c r="E8" s="202"/>
      <c r="F8" s="202"/>
      <c r="G8" s="200" t="s">
        <v>296</v>
      </c>
      <c r="H8" s="203" t="s">
        <v>297</v>
      </c>
      <c r="I8" s="204"/>
      <c r="J8" s="204" t="s">
        <v>298</v>
      </c>
      <c r="K8" s="205"/>
      <c r="L8" s="206" t="s">
        <v>299</v>
      </c>
      <c r="M8" s="207" t="s">
        <v>300</v>
      </c>
    </row>
    <row r="9" spans="1:15" s="198" customFormat="1" x14ac:dyDescent="0.25">
      <c r="A9" s="199" t="s">
        <v>301</v>
      </c>
      <c r="B9" s="200" t="s">
        <v>5</v>
      </c>
      <c r="C9" s="200" t="s">
        <v>6</v>
      </c>
      <c r="D9" s="202" t="s">
        <v>302</v>
      </c>
      <c r="E9" s="202" t="s">
        <v>9</v>
      </c>
      <c r="F9" s="202" t="s">
        <v>10</v>
      </c>
      <c r="G9" s="200" t="s">
        <v>303</v>
      </c>
      <c r="H9" s="203" t="s">
        <v>304</v>
      </c>
      <c r="I9" s="199"/>
      <c r="J9" s="208" t="s">
        <v>305</v>
      </c>
      <c r="K9" s="200" t="s">
        <v>305</v>
      </c>
      <c r="L9" s="209" t="s">
        <v>306</v>
      </c>
      <c r="M9" s="207" t="s">
        <v>307</v>
      </c>
    </row>
    <row r="10" spans="1:15" s="198" customFormat="1" x14ac:dyDescent="0.25">
      <c r="A10" s="199"/>
      <c r="B10" s="200"/>
      <c r="C10" s="201"/>
      <c r="D10" s="202"/>
      <c r="E10" s="202"/>
      <c r="F10" s="202"/>
      <c r="G10" s="200" t="s">
        <v>308</v>
      </c>
      <c r="H10" s="203">
        <v>2023</v>
      </c>
      <c r="I10" s="199" t="s">
        <v>305</v>
      </c>
      <c r="J10" s="200" t="s">
        <v>309</v>
      </c>
      <c r="K10" s="200" t="s">
        <v>310</v>
      </c>
      <c r="L10" s="206" t="s">
        <v>311</v>
      </c>
      <c r="M10" s="207" t="s">
        <v>312</v>
      </c>
    </row>
    <row r="11" spans="1:15" s="198" customFormat="1" x14ac:dyDescent="0.25">
      <c r="A11" s="199"/>
      <c r="B11" s="200"/>
      <c r="C11" s="201"/>
      <c r="D11" s="202"/>
      <c r="E11" s="202"/>
      <c r="F11" s="202"/>
      <c r="G11" s="200"/>
      <c r="H11" s="203" t="s">
        <v>313</v>
      </c>
      <c r="I11" s="199" t="s">
        <v>314</v>
      </c>
      <c r="J11" s="200" t="s">
        <v>315</v>
      </c>
      <c r="K11" s="200" t="s">
        <v>316</v>
      </c>
      <c r="L11" s="206" t="s">
        <v>317</v>
      </c>
      <c r="M11" s="207" t="s">
        <v>318</v>
      </c>
    </row>
    <row r="12" spans="1:15" s="198" customFormat="1" ht="9.75" customHeight="1" x14ac:dyDescent="0.25">
      <c r="A12" s="199"/>
      <c r="B12" s="200"/>
      <c r="C12" s="201"/>
      <c r="D12" s="202"/>
      <c r="E12" s="202"/>
      <c r="F12" s="202"/>
      <c r="G12" s="200"/>
      <c r="H12" s="203"/>
      <c r="I12" s="199"/>
      <c r="J12" s="200" t="s">
        <v>319</v>
      </c>
      <c r="K12" s="199" t="s">
        <v>320</v>
      </c>
      <c r="L12" s="206" t="s">
        <v>321</v>
      </c>
      <c r="M12" s="207" t="s">
        <v>322</v>
      </c>
    </row>
    <row r="13" spans="1:15" s="198" customFormat="1" ht="9.75" customHeight="1" x14ac:dyDescent="0.25">
      <c r="A13" s="210"/>
      <c r="B13" s="211"/>
      <c r="C13" s="212"/>
      <c r="D13" s="213"/>
      <c r="E13" s="213"/>
      <c r="F13" s="213"/>
      <c r="G13" s="211"/>
      <c r="H13" s="203"/>
      <c r="I13" s="210"/>
      <c r="J13" s="211"/>
      <c r="K13" s="211"/>
      <c r="L13" s="206"/>
      <c r="M13" s="207" t="s">
        <v>323</v>
      </c>
    </row>
    <row r="14" spans="1:15" s="220" customFormat="1" ht="10.5" customHeight="1" x14ac:dyDescent="0.25">
      <c r="A14" s="249">
        <v>1</v>
      </c>
      <c r="B14" s="249">
        <v>2</v>
      </c>
      <c r="C14" s="214">
        <v>3</v>
      </c>
      <c r="D14" s="215">
        <v>3</v>
      </c>
      <c r="E14" s="215">
        <v>4</v>
      </c>
      <c r="F14" s="215">
        <v>5</v>
      </c>
      <c r="G14" s="214">
        <v>6</v>
      </c>
      <c r="H14" s="216">
        <v>7</v>
      </c>
      <c r="I14" s="214">
        <v>8</v>
      </c>
      <c r="J14" s="217">
        <v>9</v>
      </c>
      <c r="K14" s="218">
        <v>10</v>
      </c>
      <c r="L14" s="219">
        <v>11</v>
      </c>
      <c r="M14" s="214">
        <v>12</v>
      </c>
    </row>
    <row r="15" spans="1:15" s="675" customFormat="1" ht="27" customHeight="1" x14ac:dyDescent="0.25">
      <c r="A15" s="672"/>
      <c r="B15" s="672"/>
      <c r="C15" s="673"/>
      <c r="D15" s="672" t="s">
        <v>324</v>
      </c>
      <c r="E15" s="221">
        <v>52000</v>
      </c>
      <c r="F15" s="221">
        <v>0</v>
      </c>
      <c r="G15" s="221">
        <v>421112244.61999995</v>
      </c>
      <c r="H15" s="221">
        <v>232429684.57999998</v>
      </c>
      <c r="I15" s="221">
        <v>139815984.5</v>
      </c>
      <c r="J15" s="221">
        <v>48022950.450000003</v>
      </c>
      <c r="K15" s="221">
        <v>44590749.630000003</v>
      </c>
      <c r="L15" s="221">
        <v>29000</v>
      </c>
      <c r="M15" s="674" t="s">
        <v>325</v>
      </c>
      <c r="O15" s="676"/>
    </row>
    <row r="16" spans="1:15" ht="24" customHeight="1" x14ac:dyDescent="0.25">
      <c r="A16" s="222">
        <v>754</v>
      </c>
      <c r="B16" s="191"/>
      <c r="C16" s="223"/>
      <c r="D16" s="224" t="s">
        <v>326</v>
      </c>
      <c r="E16" s="225">
        <v>52000</v>
      </c>
      <c r="F16" s="226">
        <v>0</v>
      </c>
      <c r="G16" s="225">
        <v>225000</v>
      </c>
      <c r="H16" s="225">
        <v>225000</v>
      </c>
      <c r="I16" s="225">
        <v>94000</v>
      </c>
      <c r="J16" s="225">
        <v>131000</v>
      </c>
      <c r="K16" s="226">
        <v>0</v>
      </c>
      <c r="L16" s="226">
        <v>0</v>
      </c>
      <c r="M16" s="677" t="s">
        <v>325</v>
      </c>
    </row>
    <row r="17" spans="1:15" ht="24" customHeight="1" x14ac:dyDescent="0.25">
      <c r="A17" s="222"/>
      <c r="B17" s="191">
        <v>75411</v>
      </c>
      <c r="C17" s="223"/>
      <c r="D17" s="227" t="s">
        <v>28</v>
      </c>
      <c r="E17" s="228">
        <v>52000</v>
      </c>
      <c r="F17" s="229">
        <v>0</v>
      </c>
      <c r="G17" s="228">
        <v>131000</v>
      </c>
      <c r="H17" s="228">
        <v>131000</v>
      </c>
      <c r="I17" s="229">
        <v>0</v>
      </c>
      <c r="J17" s="228">
        <v>131000</v>
      </c>
      <c r="K17" s="229">
        <v>0</v>
      </c>
      <c r="L17" s="229">
        <v>0</v>
      </c>
      <c r="M17" s="678" t="s">
        <v>325</v>
      </c>
    </row>
    <row r="18" spans="1:15" ht="10.5" customHeight="1" x14ac:dyDescent="0.25">
      <c r="A18" s="230"/>
      <c r="B18" s="231"/>
      <c r="C18" s="231"/>
      <c r="D18" s="679" t="s">
        <v>327</v>
      </c>
      <c r="E18" s="232"/>
      <c r="F18" s="232"/>
      <c r="G18" s="232"/>
      <c r="H18" s="232"/>
      <c r="I18" s="233"/>
      <c r="J18" s="232"/>
      <c r="K18" s="233"/>
      <c r="L18" s="234"/>
      <c r="M18" s="680"/>
    </row>
    <row r="19" spans="1:15" ht="26.25" customHeight="1" x14ac:dyDescent="0.25">
      <c r="A19" s="235"/>
      <c r="B19" s="236" t="s">
        <v>328</v>
      </c>
      <c r="C19" s="237"/>
      <c r="D19" s="238" t="s">
        <v>329</v>
      </c>
      <c r="E19" s="239">
        <v>52000</v>
      </c>
      <c r="F19" s="239"/>
      <c r="G19" s="239">
        <v>52000</v>
      </c>
      <c r="H19" s="239">
        <v>52000</v>
      </c>
      <c r="I19" s="240" t="s">
        <v>330</v>
      </c>
      <c r="J19" s="239">
        <v>52000</v>
      </c>
      <c r="K19" s="240" t="s">
        <v>330</v>
      </c>
      <c r="L19" s="241">
        <v>0</v>
      </c>
      <c r="M19" s="681" t="s">
        <v>68</v>
      </c>
    </row>
    <row r="20" spans="1:15" ht="24" customHeight="1" x14ac:dyDescent="0.25">
      <c r="A20" s="242"/>
      <c r="B20" s="185"/>
      <c r="C20" s="185"/>
      <c r="D20" s="185" t="s">
        <v>331</v>
      </c>
      <c r="G20" s="185"/>
      <c r="H20" s="185"/>
      <c r="I20" s="185"/>
      <c r="J20" s="185"/>
      <c r="K20" s="185"/>
      <c r="L20" s="185"/>
      <c r="M20" s="185"/>
    </row>
    <row r="21" spans="1:15" ht="24" customHeight="1" x14ac:dyDescent="0.25">
      <c r="A21" s="180"/>
      <c r="B21" s="179"/>
      <c r="C21" s="180"/>
      <c r="D21" s="243"/>
      <c r="E21" s="243"/>
      <c r="F21" s="243"/>
      <c r="G21" s="244"/>
      <c r="H21" s="244"/>
      <c r="I21" s="244"/>
      <c r="J21" s="244"/>
      <c r="K21" s="244"/>
      <c r="L21" s="244"/>
      <c r="M21" s="682"/>
    </row>
    <row r="22" spans="1:15" s="247" customFormat="1" x14ac:dyDescent="0.25">
      <c r="A22" s="245"/>
      <c r="B22" s="245"/>
      <c r="C22" s="198"/>
      <c r="D22" s="185"/>
      <c r="E22" s="185"/>
      <c r="F22" s="185"/>
      <c r="G22" s="246"/>
      <c r="H22" s="246"/>
      <c r="I22" s="246"/>
      <c r="J22" s="246"/>
      <c r="K22" s="246"/>
      <c r="L22" s="246"/>
      <c r="N22" s="185"/>
      <c r="O22" s="185"/>
    </row>
    <row r="23" spans="1:15" s="247" customFormat="1" x14ac:dyDescent="0.25">
      <c r="A23" s="245"/>
      <c r="B23" s="245"/>
      <c r="C23" s="198"/>
      <c r="D23" s="185"/>
      <c r="E23" s="185"/>
      <c r="F23" s="185"/>
      <c r="G23" s="246"/>
      <c r="H23" s="246"/>
      <c r="I23" s="246"/>
      <c r="J23" s="246"/>
      <c r="K23" s="246"/>
      <c r="L23" s="246"/>
      <c r="N23" s="185"/>
      <c r="O23" s="185"/>
    </row>
    <row r="24" spans="1:15" s="247" customFormat="1" x14ac:dyDescent="0.25">
      <c r="A24" s="245"/>
      <c r="B24" s="245"/>
      <c r="C24" s="198"/>
      <c r="D24" s="185"/>
      <c r="E24" s="185"/>
      <c r="F24" s="185"/>
      <c r="G24" s="246"/>
      <c r="H24" s="246"/>
      <c r="I24" s="246"/>
      <c r="J24" s="246"/>
      <c r="K24" s="246"/>
      <c r="L24" s="246"/>
      <c r="N24" s="185"/>
      <c r="O24" s="185"/>
    </row>
    <row r="25" spans="1:15" s="247" customFormat="1" x14ac:dyDescent="0.25">
      <c r="A25" s="245"/>
      <c r="B25" s="245"/>
      <c r="C25" s="198"/>
      <c r="D25" s="185"/>
      <c r="E25" s="185"/>
      <c r="F25" s="185"/>
      <c r="G25" s="246"/>
      <c r="H25" s="246"/>
      <c r="I25" s="246"/>
      <c r="J25" s="246"/>
      <c r="K25" s="246"/>
      <c r="L25" s="246"/>
      <c r="N25" s="185"/>
      <c r="O25" s="185"/>
    </row>
    <row r="26" spans="1:15" s="247" customFormat="1" x14ac:dyDescent="0.25">
      <c r="A26" s="245"/>
      <c r="B26" s="245"/>
      <c r="C26" s="198"/>
      <c r="D26" s="185"/>
      <c r="E26" s="185"/>
      <c r="F26" s="185"/>
      <c r="G26" s="246"/>
      <c r="H26" s="246"/>
      <c r="I26" s="246"/>
      <c r="J26" s="246"/>
      <c r="K26" s="246"/>
      <c r="L26" s="246"/>
      <c r="N26" s="185"/>
      <c r="O26" s="185"/>
    </row>
    <row r="27" spans="1:15" s="247" customFormat="1" x14ac:dyDescent="0.25">
      <c r="A27" s="245"/>
      <c r="B27" s="245"/>
      <c r="C27" s="198"/>
      <c r="D27" s="185"/>
      <c r="E27" s="185"/>
      <c r="F27" s="185"/>
      <c r="G27" s="246"/>
      <c r="H27" s="246"/>
      <c r="I27" s="246"/>
      <c r="J27" s="246"/>
      <c r="K27" s="246"/>
      <c r="L27" s="246"/>
      <c r="N27" s="185"/>
      <c r="O27" s="185"/>
    </row>
    <row r="28" spans="1:15" s="247" customFormat="1" x14ac:dyDescent="0.25">
      <c r="A28" s="245"/>
      <c r="B28" s="245"/>
      <c r="C28" s="198"/>
      <c r="D28" s="185"/>
      <c r="E28" s="185"/>
      <c r="F28" s="185"/>
      <c r="G28" s="246"/>
      <c r="H28" s="246"/>
      <c r="I28" s="246"/>
      <c r="J28" s="246"/>
      <c r="K28" s="246"/>
      <c r="L28" s="246"/>
      <c r="N28" s="185"/>
      <c r="O28" s="185"/>
    </row>
    <row r="29" spans="1:15" s="247" customFormat="1" x14ac:dyDescent="0.25">
      <c r="A29" s="245"/>
      <c r="B29" s="245"/>
      <c r="C29" s="198"/>
      <c r="D29" s="185"/>
      <c r="E29" s="185"/>
      <c r="F29" s="185"/>
      <c r="G29" s="246"/>
      <c r="H29" s="246"/>
      <c r="I29" s="246"/>
      <c r="J29" s="246"/>
      <c r="K29" s="246"/>
      <c r="L29" s="246"/>
      <c r="N29" s="185"/>
      <c r="O29" s="185"/>
    </row>
    <row r="30" spans="1:15" s="247" customFormat="1" x14ac:dyDescent="0.25">
      <c r="A30" s="245"/>
      <c r="B30" s="245"/>
      <c r="C30" s="198"/>
      <c r="D30" s="185"/>
      <c r="E30" s="185"/>
      <c r="F30" s="185"/>
      <c r="G30" s="246"/>
      <c r="H30" s="246"/>
      <c r="I30" s="246"/>
      <c r="J30" s="246"/>
      <c r="K30" s="246"/>
      <c r="L30" s="246"/>
      <c r="N30" s="185"/>
      <c r="O30" s="185"/>
    </row>
    <row r="31" spans="1:15" s="247" customFormat="1" x14ac:dyDescent="0.25">
      <c r="A31" s="245"/>
      <c r="B31" s="245"/>
      <c r="C31" s="198"/>
      <c r="D31" s="185"/>
      <c r="E31" s="185"/>
      <c r="F31" s="185"/>
      <c r="G31" s="246"/>
      <c r="H31" s="246"/>
      <c r="I31" s="246"/>
      <c r="J31" s="246"/>
      <c r="K31" s="246"/>
      <c r="L31" s="246"/>
      <c r="N31" s="185"/>
      <c r="O31" s="185"/>
    </row>
    <row r="32" spans="1:15" s="247" customFormat="1" x14ac:dyDescent="0.25">
      <c r="A32" s="245"/>
      <c r="B32" s="245"/>
      <c r="C32" s="198"/>
      <c r="D32" s="185"/>
      <c r="E32" s="185"/>
      <c r="F32" s="185"/>
      <c r="G32" s="246"/>
      <c r="H32" s="246"/>
      <c r="I32" s="246"/>
      <c r="J32" s="246"/>
      <c r="K32" s="246"/>
      <c r="L32" s="246"/>
      <c r="N32" s="185"/>
      <c r="O32" s="185"/>
    </row>
    <row r="33" spans="1:15" s="247" customFormat="1" x14ac:dyDescent="0.25">
      <c r="A33" s="245"/>
      <c r="B33" s="245"/>
      <c r="C33" s="198"/>
      <c r="D33" s="185"/>
      <c r="E33" s="185"/>
      <c r="F33" s="185"/>
      <c r="G33" s="246"/>
      <c r="H33" s="246"/>
      <c r="I33" s="246"/>
      <c r="J33" s="246"/>
      <c r="K33" s="246"/>
      <c r="L33" s="246"/>
      <c r="N33" s="185"/>
      <c r="O33" s="185"/>
    </row>
    <row r="34" spans="1:15" s="247" customFormat="1" x14ac:dyDescent="0.25">
      <c r="A34" s="245"/>
      <c r="B34" s="245"/>
      <c r="C34" s="198"/>
      <c r="D34" s="185"/>
      <c r="E34" s="185"/>
      <c r="F34" s="185"/>
      <c r="G34" s="246"/>
      <c r="H34" s="246"/>
      <c r="I34" s="246"/>
      <c r="J34" s="246"/>
      <c r="K34" s="246"/>
      <c r="L34" s="246"/>
      <c r="N34" s="185"/>
      <c r="O34" s="185"/>
    </row>
    <row r="35" spans="1:15" s="247" customFormat="1" x14ac:dyDescent="0.25">
      <c r="A35" s="245"/>
      <c r="B35" s="245"/>
      <c r="C35" s="198"/>
      <c r="D35" s="185"/>
      <c r="E35" s="185"/>
      <c r="F35" s="185"/>
      <c r="G35" s="246"/>
      <c r="H35" s="246"/>
      <c r="I35" s="246"/>
      <c r="J35" s="246"/>
      <c r="K35" s="246"/>
      <c r="L35" s="246"/>
      <c r="N35" s="185"/>
      <c r="O35" s="185"/>
    </row>
    <row r="36" spans="1:15" s="247" customFormat="1" x14ac:dyDescent="0.25">
      <c r="A36" s="245"/>
      <c r="B36" s="245"/>
      <c r="C36" s="198"/>
      <c r="D36" s="185"/>
      <c r="E36" s="185"/>
      <c r="F36" s="185"/>
      <c r="G36" s="246"/>
      <c r="H36" s="246"/>
      <c r="I36" s="246"/>
      <c r="J36" s="246"/>
      <c r="K36" s="246"/>
      <c r="L36" s="246"/>
      <c r="N36" s="185"/>
      <c r="O36" s="185"/>
    </row>
    <row r="37" spans="1:15" s="247" customFormat="1" x14ac:dyDescent="0.25">
      <c r="A37" s="245"/>
      <c r="B37" s="245"/>
      <c r="C37" s="198"/>
      <c r="D37" s="185"/>
      <c r="E37" s="185"/>
      <c r="F37" s="185"/>
      <c r="G37" s="246"/>
      <c r="H37" s="246"/>
      <c r="I37" s="246"/>
      <c r="J37" s="246"/>
      <c r="K37" s="246"/>
      <c r="L37" s="246"/>
      <c r="N37" s="185"/>
      <c r="O37" s="185"/>
    </row>
    <row r="38" spans="1:15" s="247" customFormat="1" x14ac:dyDescent="0.25">
      <c r="A38" s="245"/>
      <c r="B38" s="245"/>
      <c r="C38" s="198"/>
      <c r="D38" s="185"/>
      <c r="E38" s="185"/>
      <c r="F38" s="185"/>
      <c r="G38" s="246"/>
      <c r="H38" s="246"/>
      <c r="I38" s="246"/>
      <c r="J38" s="246"/>
      <c r="K38" s="246"/>
      <c r="L38" s="246"/>
      <c r="N38" s="185"/>
      <c r="O38" s="185"/>
    </row>
    <row r="39" spans="1:15" s="247" customFormat="1" x14ac:dyDescent="0.25">
      <c r="A39" s="245"/>
      <c r="B39" s="245"/>
      <c r="C39" s="198"/>
      <c r="D39" s="185"/>
      <c r="E39" s="185"/>
      <c r="F39" s="185"/>
      <c r="G39" s="246"/>
      <c r="H39" s="246"/>
      <c r="I39" s="246"/>
      <c r="J39" s="246"/>
      <c r="K39" s="246"/>
      <c r="L39" s="246"/>
      <c r="N39" s="185"/>
      <c r="O39" s="185"/>
    </row>
    <row r="40" spans="1:15" s="247" customFormat="1" x14ac:dyDescent="0.25">
      <c r="A40" s="245"/>
      <c r="B40" s="245"/>
      <c r="C40" s="198"/>
      <c r="D40" s="185"/>
      <c r="E40" s="185"/>
      <c r="F40" s="185"/>
      <c r="G40" s="246"/>
      <c r="H40" s="246"/>
      <c r="I40" s="246"/>
      <c r="J40" s="246"/>
      <c r="K40" s="246"/>
      <c r="L40" s="246"/>
      <c r="N40" s="185"/>
      <c r="O40" s="185"/>
    </row>
    <row r="41" spans="1:15" s="247" customFormat="1" x14ac:dyDescent="0.25">
      <c r="A41" s="245"/>
      <c r="B41" s="245"/>
      <c r="C41" s="198"/>
      <c r="D41" s="185"/>
      <c r="E41" s="185"/>
      <c r="F41" s="185"/>
      <c r="G41" s="246"/>
      <c r="H41" s="246"/>
      <c r="I41" s="246"/>
      <c r="J41" s="246"/>
      <c r="K41" s="246"/>
      <c r="L41" s="246"/>
      <c r="N41" s="185"/>
      <c r="O41" s="185"/>
    </row>
  </sheetData>
  <autoFilter ref="M1:M41" xr:uid="{D287E567-7921-41C7-AEBE-6144EFAA560D}"/>
  <printOptions horizontalCentered="1"/>
  <pageMargins left="0.31496062992125984" right="0.31496062992125984" top="0.55118110236220474" bottom="0.55118110236220474" header="0.51181102362204722" footer="0.31496062992125984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BAD5C-A3F1-4392-A470-A5DBB64C6F44}">
  <sheetPr>
    <tabColor rgb="FFCCCC00"/>
  </sheetPr>
  <dimension ref="A1:BV21"/>
  <sheetViews>
    <sheetView zoomScale="130" zoomScaleNormal="130" workbookViewId="0"/>
  </sheetViews>
  <sheetFormatPr defaultRowHeight="12.75" x14ac:dyDescent="0.2"/>
  <cols>
    <col min="1" max="1" width="4.28515625" style="666" customWidth="1"/>
    <col min="2" max="2" width="8.7109375" style="666" customWidth="1"/>
    <col min="3" max="3" width="5.5703125" style="666" customWidth="1"/>
    <col min="4" max="4" width="11.85546875" style="666" customWidth="1"/>
    <col min="5" max="5" width="12" style="666" customWidth="1"/>
    <col min="6" max="6" width="11.5703125" style="666" customWidth="1"/>
    <col min="7" max="7" width="14" style="666" customWidth="1"/>
    <col min="8" max="8" width="12.85546875" style="667" customWidth="1"/>
    <col min="9" max="9" width="10.5703125" style="667" customWidth="1"/>
    <col min="10" max="74" width="9.140625" style="667"/>
    <col min="75" max="256" width="9.140625" style="666"/>
    <col min="257" max="257" width="4.28515625" style="666" customWidth="1"/>
    <col min="258" max="258" width="8.7109375" style="666" customWidth="1"/>
    <col min="259" max="259" width="5.5703125" style="666" customWidth="1"/>
    <col min="260" max="260" width="11.85546875" style="666" customWidth="1"/>
    <col min="261" max="261" width="12" style="666" customWidth="1"/>
    <col min="262" max="262" width="11.5703125" style="666" customWidth="1"/>
    <col min="263" max="263" width="14" style="666" customWidth="1"/>
    <col min="264" max="264" width="12.85546875" style="666" customWidth="1"/>
    <col min="265" max="265" width="10.5703125" style="666" customWidth="1"/>
    <col min="266" max="512" width="9.140625" style="666"/>
    <col min="513" max="513" width="4.28515625" style="666" customWidth="1"/>
    <col min="514" max="514" width="8.7109375" style="666" customWidth="1"/>
    <col min="515" max="515" width="5.5703125" style="666" customWidth="1"/>
    <col min="516" max="516" width="11.85546875" style="666" customWidth="1"/>
    <col min="517" max="517" width="12" style="666" customWidth="1"/>
    <col min="518" max="518" width="11.5703125" style="666" customWidth="1"/>
    <col min="519" max="519" width="14" style="666" customWidth="1"/>
    <col min="520" max="520" width="12.85546875" style="666" customWidth="1"/>
    <col min="521" max="521" width="10.5703125" style="666" customWidth="1"/>
    <col min="522" max="768" width="9.140625" style="666"/>
    <col min="769" max="769" width="4.28515625" style="666" customWidth="1"/>
    <col min="770" max="770" width="8.7109375" style="666" customWidth="1"/>
    <col min="771" max="771" width="5.5703125" style="666" customWidth="1"/>
    <col min="772" max="772" width="11.85546875" style="666" customWidth="1"/>
    <col min="773" max="773" width="12" style="666" customWidth="1"/>
    <col min="774" max="774" width="11.5703125" style="666" customWidth="1"/>
    <col min="775" max="775" width="14" style="666" customWidth="1"/>
    <col min="776" max="776" width="12.85546875" style="666" customWidth="1"/>
    <col min="777" max="777" width="10.5703125" style="666" customWidth="1"/>
    <col min="778" max="1024" width="9.140625" style="666"/>
    <col min="1025" max="1025" width="4.28515625" style="666" customWidth="1"/>
    <col min="1026" max="1026" width="8.7109375" style="666" customWidth="1"/>
    <col min="1027" max="1027" width="5.5703125" style="666" customWidth="1"/>
    <col min="1028" max="1028" width="11.85546875" style="666" customWidth="1"/>
    <col min="1029" max="1029" width="12" style="666" customWidth="1"/>
    <col min="1030" max="1030" width="11.5703125" style="666" customWidth="1"/>
    <col min="1031" max="1031" width="14" style="666" customWidth="1"/>
    <col min="1032" max="1032" width="12.85546875" style="666" customWidth="1"/>
    <col min="1033" max="1033" width="10.5703125" style="666" customWidth="1"/>
    <col min="1034" max="1280" width="9.140625" style="666"/>
    <col min="1281" max="1281" width="4.28515625" style="666" customWidth="1"/>
    <col min="1282" max="1282" width="8.7109375" style="666" customWidth="1"/>
    <col min="1283" max="1283" width="5.5703125" style="666" customWidth="1"/>
    <col min="1284" max="1284" width="11.85546875" style="666" customWidth="1"/>
    <col min="1285" max="1285" width="12" style="666" customWidth="1"/>
    <col min="1286" max="1286" width="11.5703125" style="666" customWidth="1"/>
    <col min="1287" max="1287" width="14" style="666" customWidth="1"/>
    <col min="1288" max="1288" width="12.85546875" style="666" customWidth="1"/>
    <col min="1289" max="1289" width="10.5703125" style="666" customWidth="1"/>
    <col min="1290" max="1536" width="9.140625" style="666"/>
    <col min="1537" max="1537" width="4.28515625" style="666" customWidth="1"/>
    <col min="1538" max="1538" width="8.7109375" style="666" customWidth="1"/>
    <col min="1539" max="1539" width="5.5703125" style="666" customWidth="1"/>
    <col min="1540" max="1540" width="11.85546875" style="666" customWidth="1"/>
    <col min="1541" max="1541" width="12" style="666" customWidth="1"/>
    <col min="1542" max="1542" width="11.5703125" style="666" customWidth="1"/>
    <col min="1543" max="1543" width="14" style="666" customWidth="1"/>
    <col min="1544" max="1544" width="12.85546875" style="666" customWidth="1"/>
    <col min="1545" max="1545" width="10.5703125" style="666" customWidth="1"/>
    <col min="1546" max="1792" width="9.140625" style="666"/>
    <col min="1793" max="1793" width="4.28515625" style="666" customWidth="1"/>
    <col min="1794" max="1794" width="8.7109375" style="666" customWidth="1"/>
    <col min="1795" max="1795" width="5.5703125" style="666" customWidth="1"/>
    <col min="1796" max="1796" width="11.85546875" style="666" customWidth="1"/>
    <col min="1797" max="1797" width="12" style="666" customWidth="1"/>
    <col min="1798" max="1798" width="11.5703125" style="666" customWidth="1"/>
    <col min="1799" max="1799" width="14" style="666" customWidth="1"/>
    <col min="1800" max="1800" width="12.85546875" style="666" customWidth="1"/>
    <col min="1801" max="1801" width="10.5703125" style="666" customWidth="1"/>
    <col min="1802" max="2048" width="9.140625" style="666"/>
    <col min="2049" max="2049" width="4.28515625" style="666" customWidth="1"/>
    <col min="2050" max="2050" width="8.7109375" style="666" customWidth="1"/>
    <col min="2051" max="2051" width="5.5703125" style="666" customWidth="1"/>
    <col min="2052" max="2052" width="11.85546875" style="666" customWidth="1"/>
    <col min="2053" max="2053" width="12" style="666" customWidth="1"/>
    <col min="2054" max="2054" width="11.5703125" style="666" customWidth="1"/>
    <col min="2055" max="2055" width="14" style="666" customWidth="1"/>
    <col min="2056" max="2056" width="12.85546875" style="666" customWidth="1"/>
    <col min="2057" max="2057" width="10.5703125" style="666" customWidth="1"/>
    <col min="2058" max="2304" width="9.140625" style="666"/>
    <col min="2305" max="2305" width="4.28515625" style="666" customWidth="1"/>
    <col min="2306" max="2306" width="8.7109375" style="666" customWidth="1"/>
    <col min="2307" max="2307" width="5.5703125" style="666" customWidth="1"/>
    <col min="2308" max="2308" width="11.85546875" style="666" customWidth="1"/>
    <col min="2309" max="2309" width="12" style="666" customWidth="1"/>
    <col min="2310" max="2310" width="11.5703125" style="666" customWidth="1"/>
    <col min="2311" max="2311" width="14" style="666" customWidth="1"/>
    <col min="2312" max="2312" width="12.85546875" style="666" customWidth="1"/>
    <col min="2313" max="2313" width="10.5703125" style="666" customWidth="1"/>
    <col min="2314" max="2560" width="9.140625" style="666"/>
    <col min="2561" max="2561" width="4.28515625" style="666" customWidth="1"/>
    <col min="2562" max="2562" width="8.7109375" style="666" customWidth="1"/>
    <col min="2563" max="2563" width="5.5703125" style="666" customWidth="1"/>
    <col min="2564" max="2564" width="11.85546875" style="666" customWidth="1"/>
    <col min="2565" max="2565" width="12" style="666" customWidth="1"/>
    <col min="2566" max="2566" width="11.5703125" style="666" customWidth="1"/>
    <col min="2567" max="2567" width="14" style="666" customWidth="1"/>
    <col min="2568" max="2568" width="12.85546875" style="666" customWidth="1"/>
    <col min="2569" max="2569" width="10.5703125" style="666" customWidth="1"/>
    <col min="2570" max="2816" width="9.140625" style="666"/>
    <col min="2817" max="2817" width="4.28515625" style="666" customWidth="1"/>
    <col min="2818" max="2818" width="8.7109375" style="666" customWidth="1"/>
    <col min="2819" max="2819" width="5.5703125" style="666" customWidth="1"/>
    <col min="2820" max="2820" width="11.85546875" style="666" customWidth="1"/>
    <col min="2821" max="2821" width="12" style="666" customWidth="1"/>
    <col min="2822" max="2822" width="11.5703125" style="666" customWidth="1"/>
    <col min="2823" max="2823" width="14" style="666" customWidth="1"/>
    <col min="2824" max="2824" width="12.85546875" style="666" customWidth="1"/>
    <col min="2825" max="2825" width="10.5703125" style="666" customWidth="1"/>
    <col min="2826" max="3072" width="9.140625" style="666"/>
    <col min="3073" max="3073" width="4.28515625" style="666" customWidth="1"/>
    <col min="3074" max="3074" width="8.7109375" style="666" customWidth="1"/>
    <col min="3075" max="3075" width="5.5703125" style="666" customWidth="1"/>
    <col min="3076" max="3076" width="11.85546875" style="666" customWidth="1"/>
    <col min="3077" max="3077" width="12" style="666" customWidth="1"/>
    <col min="3078" max="3078" width="11.5703125" style="666" customWidth="1"/>
    <col min="3079" max="3079" width="14" style="666" customWidth="1"/>
    <col min="3080" max="3080" width="12.85546875" style="666" customWidth="1"/>
    <col min="3081" max="3081" width="10.5703125" style="666" customWidth="1"/>
    <col min="3082" max="3328" width="9.140625" style="666"/>
    <col min="3329" max="3329" width="4.28515625" style="666" customWidth="1"/>
    <col min="3330" max="3330" width="8.7109375" style="666" customWidth="1"/>
    <col min="3331" max="3331" width="5.5703125" style="666" customWidth="1"/>
    <col min="3332" max="3332" width="11.85546875" style="666" customWidth="1"/>
    <col min="3333" max="3333" width="12" style="666" customWidth="1"/>
    <col min="3334" max="3334" width="11.5703125" style="666" customWidth="1"/>
    <col min="3335" max="3335" width="14" style="666" customWidth="1"/>
    <col min="3336" max="3336" width="12.85546875" style="666" customWidth="1"/>
    <col min="3337" max="3337" width="10.5703125" style="666" customWidth="1"/>
    <col min="3338" max="3584" width="9.140625" style="666"/>
    <col min="3585" max="3585" width="4.28515625" style="666" customWidth="1"/>
    <col min="3586" max="3586" width="8.7109375" style="666" customWidth="1"/>
    <col min="3587" max="3587" width="5.5703125" style="666" customWidth="1"/>
    <col min="3588" max="3588" width="11.85546875" style="666" customWidth="1"/>
    <col min="3589" max="3589" width="12" style="666" customWidth="1"/>
    <col min="3590" max="3590" width="11.5703125" style="666" customWidth="1"/>
    <col min="3591" max="3591" width="14" style="666" customWidth="1"/>
    <col min="3592" max="3592" width="12.85546875" style="666" customWidth="1"/>
    <col min="3593" max="3593" width="10.5703125" style="666" customWidth="1"/>
    <col min="3594" max="3840" width="9.140625" style="666"/>
    <col min="3841" max="3841" width="4.28515625" style="666" customWidth="1"/>
    <col min="3842" max="3842" width="8.7109375" style="666" customWidth="1"/>
    <col min="3843" max="3843" width="5.5703125" style="666" customWidth="1"/>
    <col min="3844" max="3844" width="11.85546875" style="666" customWidth="1"/>
    <col min="3845" max="3845" width="12" style="666" customWidth="1"/>
    <col min="3846" max="3846" width="11.5703125" style="666" customWidth="1"/>
    <col min="3847" max="3847" width="14" style="666" customWidth="1"/>
    <col min="3848" max="3848" width="12.85546875" style="666" customWidth="1"/>
    <col min="3849" max="3849" width="10.5703125" style="666" customWidth="1"/>
    <col min="3850" max="4096" width="9.140625" style="666"/>
    <col min="4097" max="4097" width="4.28515625" style="666" customWidth="1"/>
    <col min="4098" max="4098" width="8.7109375" style="666" customWidth="1"/>
    <col min="4099" max="4099" width="5.5703125" style="666" customWidth="1"/>
    <col min="4100" max="4100" width="11.85546875" style="666" customWidth="1"/>
    <col min="4101" max="4101" width="12" style="666" customWidth="1"/>
    <col min="4102" max="4102" width="11.5703125" style="666" customWidth="1"/>
    <col min="4103" max="4103" width="14" style="666" customWidth="1"/>
    <col min="4104" max="4104" width="12.85546875" style="666" customWidth="1"/>
    <col min="4105" max="4105" width="10.5703125" style="666" customWidth="1"/>
    <col min="4106" max="4352" width="9.140625" style="666"/>
    <col min="4353" max="4353" width="4.28515625" style="666" customWidth="1"/>
    <col min="4354" max="4354" width="8.7109375" style="666" customWidth="1"/>
    <col min="4355" max="4355" width="5.5703125" style="666" customWidth="1"/>
    <col min="4356" max="4356" width="11.85546875" style="666" customWidth="1"/>
    <col min="4357" max="4357" width="12" style="666" customWidth="1"/>
    <col min="4358" max="4358" width="11.5703125" style="666" customWidth="1"/>
    <col min="4359" max="4359" width="14" style="666" customWidth="1"/>
    <col min="4360" max="4360" width="12.85546875" style="666" customWidth="1"/>
    <col min="4361" max="4361" width="10.5703125" style="666" customWidth="1"/>
    <col min="4362" max="4608" width="9.140625" style="666"/>
    <col min="4609" max="4609" width="4.28515625" style="666" customWidth="1"/>
    <col min="4610" max="4610" width="8.7109375" style="666" customWidth="1"/>
    <col min="4611" max="4611" width="5.5703125" style="666" customWidth="1"/>
    <col min="4612" max="4612" width="11.85546875" style="666" customWidth="1"/>
    <col min="4613" max="4613" width="12" style="666" customWidth="1"/>
    <col min="4614" max="4614" width="11.5703125" style="666" customWidth="1"/>
    <col min="4615" max="4615" width="14" style="666" customWidth="1"/>
    <col min="4616" max="4616" width="12.85546875" style="666" customWidth="1"/>
    <col min="4617" max="4617" width="10.5703125" style="666" customWidth="1"/>
    <col min="4618" max="4864" width="9.140625" style="666"/>
    <col min="4865" max="4865" width="4.28515625" style="666" customWidth="1"/>
    <col min="4866" max="4866" width="8.7109375" style="666" customWidth="1"/>
    <col min="4867" max="4867" width="5.5703125" style="666" customWidth="1"/>
    <col min="4868" max="4868" width="11.85546875" style="666" customWidth="1"/>
    <col min="4869" max="4869" width="12" style="666" customWidth="1"/>
    <col min="4870" max="4870" width="11.5703125" style="666" customWidth="1"/>
    <col min="4871" max="4871" width="14" style="666" customWidth="1"/>
    <col min="4872" max="4872" width="12.85546875" style="666" customWidth="1"/>
    <col min="4873" max="4873" width="10.5703125" style="666" customWidth="1"/>
    <col min="4874" max="5120" width="9.140625" style="666"/>
    <col min="5121" max="5121" width="4.28515625" style="666" customWidth="1"/>
    <col min="5122" max="5122" width="8.7109375" style="666" customWidth="1"/>
    <col min="5123" max="5123" width="5.5703125" style="666" customWidth="1"/>
    <col min="5124" max="5124" width="11.85546875" style="666" customWidth="1"/>
    <col min="5125" max="5125" width="12" style="666" customWidth="1"/>
    <col min="5126" max="5126" width="11.5703125" style="666" customWidth="1"/>
    <col min="5127" max="5127" width="14" style="666" customWidth="1"/>
    <col min="5128" max="5128" width="12.85546875" style="666" customWidth="1"/>
    <col min="5129" max="5129" width="10.5703125" style="666" customWidth="1"/>
    <col min="5130" max="5376" width="9.140625" style="666"/>
    <col min="5377" max="5377" width="4.28515625" style="666" customWidth="1"/>
    <col min="5378" max="5378" width="8.7109375" style="666" customWidth="1"/>
    <col min="5379" max="5379" width="5.5703125" style="666" customWidth="1"/>
    <col min="5380" max="5380" width="11.85546875" style="666" customWidth="1"/>
    <col min="5381" max="5381" width="12" style="666" customWidth="1"/>
    <col min="5382" max="5382" width="11.5703125" style="666" customWidth="1"/>
    <col min="5383" max="5383" width="14" style="666" customWidth="1"/>
    <col min="5384" max="5384" width="12.85546875" style="666" customWidth="1"/>
    <col min="5385" max="5385" width="10.5703125" style="666" customWidth="1"/>
    <col min="5386" max="5632" width="9.140625" style="666"/>
    <col min="5633" max="5633" width="4.28515625" style="666" customWidth="1"/>
    <col min="5634" max="5634" width="8.7109375" style="666" customWidth="1"/>
    <col min="5635" max="5635" width="5.5703125" style="666" customWidth="1"/>
    <col min="5636" max="5636" width="11.85546875" style="666" customWidth="1"/>
    <col min="5637" max="5637" width="12" style="666" customWidth="1"/>
    <col min="5638" max="5638" width="11.5703125" style="666" customWidth="1"/>
    <col min="5639" max="5639" width="14" style="666" customWidth="1"/>
    <col min="5640" max="5640" width="12.85546875" style="666" customWidth="1"/>
    <col min="5641" max="5641" width="10.5703125" style="666" customWidth="1"/>
    <col min="5642" max="5888" width="9.140625" style="666"/>
    <col min="5889" max="5889" width="4.28515625" style="666" customWidth="1"/>
    <col min="5890" max="5890" width="8.7109375" style="666" customWidth="1"/>
    <col min="5891" max="5891" width="5.5703125" style="666" customWidth="1"/>
    <col min="5892" max="5892" width="11.85546875" style="666" customWidth="1"/>
    <col min="5893" max="5893" width="12" style="666" customWidth="1"/>
    <col min="5894" max="5894" width="11.5703125" style="666" customWidth="1"/>
    <col min="5895" max="5895" width="14" style="666" customWidth="1"/>
    <col min="5896" max="5896" width="12.85546875" style="666" customWidth="1"/>
    <col min="5897" max="5897" width="10.5703125" style="666" customWidth="1"/>
    <col min="5898" max="6144" width="9.140625" style="666"/>
    <col min="6145" max="6145" width="4.28515625" style="666" customWidth="1"/>
    <col min="6146" max="6146" width="8.7109375" style="666" customWidth="1"/>
    <col min="6147" max="6147" width="5.5703125" style="666" customWidth="1"/>
    <col min="6148" max="6148" width="11.85546875" style="666" customWidth="1"/>
    <col min="6149" max="6149" width="12" style="666" customWidth="1"/>
    <col min="6150" max="6150" width="11.5703125" style="666" customWidth="1"/>
    <col min="6151" max="6151" width="14" style="666" customWidth="1"/>
    <col min="6152" max="6152" width="12.85546875" style="666" customWidth="1"/>
    <col min="6153" max="6153" width="10.5703125" style="666" customWidth="1"/>
    <col min="6154" max="6400" width="9.140625" style="666"/>
    <col min="6401" max="6401" width="4.28515625" style="666" customWidth="1"/>
    <col min="6402" max="6402" width="8.7109375" style="666" customWidth="1"/>
    <col min="6403" max="6403" width="5.5703125" style="666" customWidth="1"/>
    <col min="6404" max="6404" width="11.85546875" style="666" customWidth="1"/>
    <col min="6405" max="6405" width="12" style="666" customWidth="1"/>
    <col min="6406" max="6406" width="11.5703125" style="666" customWidth="1"/>
    <col min="6407" max="6407" width="14" style="666" customWidth="1"/>
    <col min="6408" max="6408" width="12.85546875" style="666" customWidth="1"/>
    <col min="6409" max="6409" width="10.5703125" style="666" customWidth="1"/>
    <col min="6410" max="6656" width="9.140625" style="666"/>
    <col min="6657" max="6657" width="4.28515625" style="666" customWidth="1"/>
    <col min="6658" max="6658" width="8.7109375" style="666" customWidth="1"/>
    <col min="6659" max="6659" width="5.5703125" style="666" customWidth="1"/>
    <col min="6660" max="6660" width="11.85546875" style="666" customWidth="1"/>
    <col min="6661" max="6661" width="12" style="666" customWidth="1"/>
    <col min="6662" max="6662" width="11.5703125" style="666" customWidth="1"/>
    <col min="6663" max="6663" width="14" style="666" customWidth="1"/>
    <col min="6664" max="6664" width="12.85546875" style="666" customWidth="1"/>
    <col min="6665" max="6665" width="10.5703125" style="666" customWidth="1"/>
    <col min="6666" max="6912" width="9.140625" style="666"/>
    <col min="6913" max="6913" width="4.28515625" style="666" customWidth="1"/>
    <col min="6914" max="6914" width="8.7109375" style="666" customWidth="1"/>
    <col min="6915" max="6915" width="5.5703125" style="666" customWidth="1"/>
    <col min="6916" max="6916" width="11.85546875" style="666" customWidth="1"/>
    <col min="6917" max="6917" width="12" style="666" customWidth="1"/>
    <col min="6918" max="6918" width="11.5703125" style="666" customWidth="1"/>
    <col min="6919" max="6919" width="14" style="666" customWidth="1"/>
    <col min="6920" max="6920" width="12.85546875" style="666" customWidth="1"/>
    <col min="6921" max="6921" width="10.5703125" style="666" customWidth="1"/>
    <col min="6922" max="7168" width="9.140625" style="666"/>
    <col min="7169" max="7169" width="4.28515625" style="666" customWidth="1"/>
    <col min="7170" max="7170" width="8.7109375" style="666" customWidth="1"/>
    <col min="7171" max="7171" width="5.5703125" style="666" customWidth="1"/>
    <col min="7172" max="7172" width="11.85546875" style="666" customWidth="1"/>
    <col min="7173" max="7173" width="12" style="666" customWidth="1"/>
    <col min="7174" max="7174" width="11.5703125" style="666" customWidth="1"/>
    <col min="7175" max="7175" width="14" style="666" customWidth="1"/>
    <col min="7176" max="7176" width="12.85546875" style="666" customWidth="1"/>
    <col min="7177" max="7177" width="10.5703125" style="666" customWidth="1"/>
    <col min="7178" max="7424" width="9.140625" style="666"/>
    <col min="7425" max="7425" width="4.28515625" style="666" customWidth="1"/>
    <col min="7426" max="7426" width="8.7109375" style="666" customWidth="1"/>
    <col min="7427" max="7427" width="5.5703125" style="666" customWidth="1"/>
    <col min="7428" max="7428" width="11.85546875" style="666" customWidth="1"/>
    <col min="7429" max="7429" width="12" style="666" customWidth="1"/>
    <col min="7430" max="7430" width="11.5703125" style="666" customWidth="1"/>
    <col min="7431" max="7431" width="14" style="666" customWidth="1"/>
    <col min="7432" max="7432" width="12.85546875" style="666" customWidth="1"/>
    <col min="7433" max="7433" width="10.5703125" style="666" customWidth="1"/>
    <col min="7434" max="7680" width="9.140625" style="666"/>
    <col min="7681" max="7681" width="4.28515625" style="666" customWidth="1"/>
    <col min="7682" max="7682" width="8.7109375" style="666" customWidth="1"/>
    <col min="7683" max="7683" width="5.5703125" style="666" customWidth="1"/>
    <col min="7684" max="7684" width="11.85546875" style="666" customWidth="1"/>
    <col min="7685" max="7685" width="12" style="666" customWidth="1"/>
    <col min="7686" max="7686" width="11.5703125" style="666" customWidth="1"/>
    <col min="7687" max="7687" width="14" style="666" customWidth="1"/>
    <col min="7688" max="7688" width="12.85546875" style="666" customWidth="1"/>
    <col min="7689" max="7689" width="10.5703125" style="666" customWidth="1"/>
    <col min="7690" max="7936" width="9.140625" style="666"/>
    <col min="7937" max="7937" width="4.28515625" style="666" customWidth="1"/>
    <col min="7938" max="7938" width="8.7109375" style="666" customWidth="1"/>
    <col min="7939" max="7939" width="5.5703125" style="666" customWidth="1"/>
    <col min="7940" max="7940" width="11.85546875" style="666" customWidth="1"/>
    <col min="7941" max="7941" width="12" style="666" customWidth="1"/>
    <col min="7942" max="7942" width="11.5703125" style="666" customWidth="1"/>
    <col min="7943" max="7943" width="14" style="666" customWidth="1"/>
    <col min="7944" max="7944" width="12.85546875" style="666" customWidth="1"/>
    <col min="7945" max="7945" width="10.5703125" style="666" customWidth="1"/>
    <col min="7946" max="8192" width="9.140625" style="666"/>
    <col min="8193" max="8193" width="4.28515625" style="666" customWidth="1"/>
    <col min="8194" max="8194" width="8.7109375" style="666" customWidth="1"/>
    <col min="8195" max="8195" width="5.5703125" style="666" customWidth="1"/>
    <col min="8196" max="8196" width="11.85546875" style="666" customWidth="1"/>
    <col min="8197" max="8197" width="12" style="666" customWidth="1"/>
    <col min="8198" max="8198" width="11.5703125" style="666" customWidth="1"/>
    <col min="8199" max="8199" width="14" style="666" customWidth="1"/>
    <col min="8200" max="8200" width="12.85546875" style="666" customWidth="1"/>
    <col min="8201" max="8201" width="10.5703125" style="666" customWidth="1"/>
    <col min="8202" max="8448" width="9.140625" style="666"/>
    <col min="8449" max="8449" width="4.28515625" style="666" customWidth="1"/>
    <col min="8450" max="8450" width="8.7109375" style="666" customWidth="1"/>
    <col min="8451" max="8451" width="5.5703125" style="666" customWidth="1"/>
    <col min="8452" max="8452" width="11.85546875" style="666" customWidth="1"/>
    <col min="8453" max="8453" width="12" style="666" customWidth="1"/>
    <col min="8454" max="8454" width="11.5703125" style="666" customWidth="1"/>
    <col min="8455" max="8455" width="14" style="666" customWidth="1"/>
    <col min="8456" max="8456" width="12.85546875" style="666" customWidth="1"/>
    <col min="8457" max="8457" width="10.5703125" style="666" customWidth="1"/>
    <col min="8458" max="8704" width="9.140625" style="666"/>
    <col min="8705" max="8705" width="4.28515625" style="666" customWidth="1"/>
    <col min="8706" max="8706" width="8.7109375" style="666" customWidth="1"/>
    <col min="8707" max="8707" width="5.5703125" style="666" customWidth="1"/>
    <col min="8708" max="8708" width="11.85546875" style="666" customWidth="1"/>
    <col min="8709" max="8709" width="12" style="666" customWidth="1"/>
    <col min="8710" max="8710" width="11.5703125" style="666" customWidth="1"/>
    <col min="8711" max="8711" width="14" style="666" customWidth="1"/>
    <col min="8712" max="8712" width="12.85546875" style="666" customWidth="1"/>
    <col min="8713" max="8713" width="10.5703125" style="666" customWidth="1"/>
    <col min="8714" max="8960" width="9.140625" style="666"/>
    <col min="8961" max="8961" width="4.28515625" style="666" customWidth="1"/>
    <col min="8962" max="8962" width="8.7109375" style="666" customWidth="1"/>
    <col min="8963" max="8963" width="5.5703125" style="666" customWidth="1"/>
    <col min="8964" max="8964" width="11.85546875" style="666" customWidth="1"/>
    <col min="8965" max="8965" width="12" style="666" customWidth="1"/>
    <col min="8966" max="8966" width="11.5703125" style="666" customWidth="1"/>
    <col min="8967" max="8967" width="14" style="666" customWidth="1"/>
    <col min="8968" max="8968" width="12.85546875" style="666" customWidth="1"/>
    <col min="8969" max="8969" width="10.5703125" style="666" customWidth="1"/>
    <col min="8970" max="9216" width="9.140625" style="666"/>
    <col min="9217" max="9217" width="4.28515625" style="666" customWidth="1"/>
    <col min="9218" max="9218" width="8.7109375" style="666" customWidth="1"/>
    <col min="9219" max="9219" width="5.5703125" style="666" customWidth="1"/>
    <col min="9220" max="9220" width="11.85546875" style="666" customWidth="1"/>
    <col min="9221" max="9221" width="12" style="666" customWidth="1"/>
    <col min="9222" max="9222" width="11.5703125" style="666" customWidth="1"/>
    <col min="9223" max="9223" width="14" style="666" customWidth="1"/>
    <col min="9224" max="9224" width="12.85546875" style="666" customWidth="1"/>
    <col min="9225" max="9225" width="10.5703125" style="666" customWidth="1"/>
    <col min="9226" max="9472" width="9.140625" style="666"/>
    <col min="9473" max="9473" width="4.28515625" style="666" customWidth="1"/>
    <col min="9474" max="9474" width="8.7109375" style="666" customWidth="1"/>
    <col min="9475" max="9475" width="5.5703125" style="666" customWidth="1"/>
    <col min="9476" max="9476" width="11.85546875" style="666" customWidth="1"/>
    <col min="9477" max="9477" width="12" style="666" customWidth="1"/>
    <col min="9478" max="9478" width="11.5703125" style="666" customWidth="1"/>
    <col min="9479" max="9479" width="14" style="666" customWidth="1"/>
    <col min="9480" max="9480" width="12.85546875" style="666" customWidth="1"/>
    <col min="9481" max="9481" width="10.5703125" style="666" customWidth="1"/>
    <col min="9482" max="9728" width="9.140625" style="666"/>
    <col min="9729" max="9729" width="4.28515625" style="666" customWidth="1"/>
    <col min="9730" max="9730" width="8.7109375" style="666" customWidth="1"/>
    <col min="9731" max="9731" width="5.5703125" style="666" customWidth="1"/>
    <col min="9732" max="9732" width="11.85546875" style="666" customWidth="1"/>
    <col min="9733" max="9733" width="12" style="666" customWidth="1"/>
    <col min="9734" max="9734" width="11.5703125" style="666" customWidth="1"/>
    <col min="9735" max="9735" width="14" style="666" customWidth="1"/>
    <col min="9736" max="9736" width="12.85546875" style="666" customWidth="1"/>
    <col min="9737" max="9737" width="10.5703125" style="666" customWidth="1"/>
    <col min="9738" max="9984" width="9.140625" style="666"/>
    <col min="9985" max="9985" width="4.28515625" style="666" customWidth="1"/>
    <col min="9986" max="9986" width="8.7109375" style="666" customWidth="1"/>
    <col min="9987" max="9987" width="5.5703125" style="666" customWidth="1"/>
    <col min="9988" max="9988" width="11.85546875" style="666" customWidth="1"/>
    <col min="9989" max="9989" width="12" style="666" customWidth="1"/>
    <col min="9990" max="9990" width="11.5703125" style="666" customWidth="1"/>
    <col min="9991" max="9991" width="14" style="666" customWidth="1"/>
    <col min="9992" max="9992" width="12.85546875" style="666" customWidth="1"/>
    <col min="9993" max="9993" width="10.5703125" style="666" customWidth="1"/>
    <col min="9994" max="10240" width="9.140625" style="666"/>
    <col min="10241" max="10241" width="4.28515625" style="666" customWidth="1"/>
    <col min="10242" max="10242" width="8.7109375" style="666" customWidth="1"/>
    <col min="10243" max="10243" width="5.5703125" style="666" customWidth="1"/>
    <col min="10244" max="10244" width="11.85546875" style="666" customWidth="1"/>
    <col min="10245" max="10245" width="12" style="666" customWidth="1"/>
    <col min="10246" max="10246" width="11.5703125" style="666" customWidth="1"/>
    <col min="10247" max="10247" width="14" style="666" customWidth="1"/>
    <col min="10248" max="10248" width="12.85546875" style="666" customWidth="1"/>
    <col min="10249" max="10249" width="10.5703125" style="666" customWidth="1"/>
    <col min="10250" max="10496" width="9.140625" style="666"/>
    <col min="10497" max="10497" width="4.28515625" style="666" customWidth="1"/>
    <col min="10498" max="10498" width="8.7109375" style="666" customWidth="1"/>
    <col min="10499" max="10499" width="5.5703125" style="666" customWidth="1"/>
    <col min="10500" max="10500" width="11.85546875" style="666" customWidth="1"/>
    <col min="10501" max="10501" width="12" style="666" customWidth="1"/>
    <col min="10502" max="10502" width="11.5703125" style="666" customWidth="1"/>
    <col min="10503" max="10503" width="14" style="666" customWidth="1"/>
    <col min="10504" max="10504" width="12.85546875" style="666" customWidth="1"/>
    <col min="10505" max="10505" width="10.5703125" style="666" customWidth="1"/>
    <col min="10506" max="10752" width="9.140625" style="666"/>
    <col min="10753" max="10753" width="4.28515625" style="666" customWidth="1"/>
    <col min="10754" max="10754" width="8.7109375" style="666" customWidth="1"/>
    <col min="10755" max="10755" width="5.5703125" style="666" customWidth="1"/>
    <col min="10756" max="10756" width="11.85546875" style="666" customWidth="1"/>
    <col min="10757" max="10757" width="12" style="666" customWidth="1"/>
    <col min="10758" max="10758" width="11.5703125" style="666" customWidth="1"/>
    <col min="10759" max="10759" width="14" style="666" customWidth="1"/>
    <col min="10760" max="10760" width="12.85546875" style="666" customWidth="1"/>
    <col min="10761" max="10761" width="10.5703125" style="666" customWidth="1"/>
    <col min="10762" max="11008" width="9.140625" style="666"/>
    <col min="11009" max="11009" width="4.28515625" style="666" customWidth="1"/>
    <col min="11010" max="11010" width="8.7109375" style="666" customWidth="1"/>
    <col min="11011" max="11011" width="5.5703125" style="666" customWidth="1"/>
    <col min="11012" max="11012" width="11.85546875" style="666" customWidth="1"/>
    <col min="11013" max="11013" width="12" style="666" customWidth="1"/>
    <col min="11014" max="11014" width="11.5703125" style="666" customWidth="1"/>
    <col min="11015" max="11015" width="14" style="666" customWidth="1"/>
    <col min="11016" max="11016" width="12.85546875" style="666" customWidth="1"/>
    <col min="11017" max="11017" width="10.5703125" style="666" customWidth="1"/>
    <col min="11018" max="11264" width="9.140625" style="666"/>
    <col min="11265" max="11265" width="4.28515625" style="666" customWidth="1"/>
    <col min="11266" max="11266" width="8.7109375" style="666" customWidth="1"/>
    <col min="11267" max="11267" width="5.5703125" style="666" customWidth="1"/>
    <col min="11268" max="11268" width="11.85546875" style="666" customWidth="1"/>
    <col min="11269" max="11269" width="12" style="666" customWidth="1"/>
    <col min="11270" max="11270" width="11.5703125" style="666" customWidth="1"/>
    <col min="11271" max="11271" width="14" style="666" customWidth="1"/>
    <col min="11272" max="11272" width="12.85546875" style="666" customWidth="1"/>
    <col min="11273" max="11273" width="10.5703125" style="666" customWidth="1"/>
    <col min="11274" max="11520" width="9.140625" style="666"/>
    <col min="11521" max="11521" width="4.28515625" style="666" customWidth="1"/>
    <col min="11522" max="11522" width="8.7109375" style="666" customWidth="1"/>
    <col min="11523" max="11523" width="5.5703125" style="666" customWidth="1"/>
    <col min="11524" max="11524" width="11.85546875" style="666" customWidth="1"/>
    <col min="11525" max="11525" width="12" style="666" customWidth="1"/>
    <col min="11526" max="11526" width="11.5703125" style="666" customWidth="1"/>
    <col min="11527" max="11527" width="14" style="666" customWidth="1"/>
    <col min="11528" max="11528" width="12.85546875" style="666" customWidth="1"/>
    <col min="11529" max="11529" width="10.5703125" style="666" customWidth="1"/>
    <col min="11530" max="11776" width="9.140625" style="666"/>
    <col min="11777" max="11777" width="4.28515625" style="666" customWidth="1"/>
    <col min="11778" max="11778" width="8.7109375" style="666" customWidth="1"/>
    <col min="11779" max="11779" width="5.5703125" style="666" customWidth="1"/>
    <col min="11780" max="11780" width="11.85546875" style="666" customWidth="1"/>
    <col min="11781" max="11781" width="12" style="666" customWidth="1"/>
    <col min="11782" max="11782" width="11.5703125" style="666" customWidth="1"/>
    <col min="11783" max="11783" width="14" style="666" customWidth="1"/>
    <col min="11784" max="11784" width="12.85546875" style="666" customWidth="1"/>
    <col min="11785" max="11785" width="10.5703125" style="666" customWidth="1"/>
    <col min="11786" max="12032" width="9.140625" style="666"/>
    <col min="12033" max="12033" width="4.28515625" style="666" customWidth="1"/>
    <col min="12034" max="12034" width="8.7109375" style="666" customWidth="1"/>
    <col min="12035" max="12035" width="5.5703125" style="666" customWidth="1"/>
    <col min="12036" max="12036" width="11.85546875" style="666" customWidth="1"/>
    <col min="12037" max="12037" width="12" style="666" customWidth="1"/>
    <col min="12038" max="12038" width="11.5703125" style="666" customWidth="1"/>
    <col min="12039" max="12039" width="14" style="666" customWidth="1"/>
    <col min="12040" max="12040" width="12.85546875" style="666" customWidth="1"/>
    <col min="12041" max="12041" width="10.5703125" style="666" customWidth="1"/>
    <col min="12042" max="12288" width="9.140625" style="666"/>
    <col min="12289" max="12289" width="4.28515625" style="666" customWidth="1"/>
    <col min="12290" max="12290" width="8.7109375" style="666" customWidth="1"/>
    <col min="12291" max="12291" width="5.5703125" style="666" customWidth="1"/>
    <col min="12292" max="12292" width="11.85546875" style="666" customWidth="1"/>
    <col min="12293" max="12293" width="12" style="666" customWidth="1"/>
    <col min="12294" max="12294" width="11.5703125" style="666" customWidth="1"/>
    <col min="12295" max="12295" width="14" style="666" customWidth="1"/>
    <col min="12296" max="12296" width="12.85546875" style="666" customWidth="1"/>
    <col min="12297" max="12297" width="10.5703125" style="666" customWidth="1"/>
    <col min="12298" max="12544" width="9.140625" style="666"/>
    <col min="12545" max="12545" width="4.28515625" style="666" customWidth="1"/>
    <col min="12546" max="12546" width="8.7109375" style="666" customWidth="1"/>
    <col min="12547" max="12547" width="5.5703125" style="666" customWidth="1"/>
    <col min="12548" max="12548" width="11.85546875" style="666" customWidth="1"/>
    <col min="12549" max="12549" width="12" style="666" customWidth="1"/>
    <col min="12550" max="12550" width="11.5703125" style="666" customWidth="1"/>
    <col min="12551" max="12551" width="14" style="666" customWidth="1"/>
    <col min="12552" max="12552" width="12.85546875" style="666" customWidth="1"/>
    <col min="12553" max="12553" width="10.5703125" style="666" customWidth="1"/>
    <col min="12554" max="12800" width="9.140625" style="666"/>
    <col min="12801" max="12801" width="4.28515625" style="666" customWidth="1"/>
    <col min="12802" max="12802" width="8.7109375" style="666" customWidth="1"/>
    <col min="12803" max="12803" width="5.5703125" style="666" customWidth="1"/>
    <col min="12804" max="12804" width="11.85546875" style="666" customWidth="1"/>
    <col min="12805" max="12805" width="12" style="666" customWidth="1"/>
    <col min="12806" max="12806" width="11.5703125" style="666" customWidth="1"/>
    <col min="12807" max="12807" width="14" style="666" customWidth="1"/>
    <col min="12808" max="12808" width="12.85546875" style="666" customWidth="1"/>
    <col min="12809" max="12809" width="10.5703125" style="666" customWidth="1"/>
    <col min="12810" max="13056" width="9.140625" style="666"/>
    <col min="13057" max="13057" width="4.28515625" style="666" customWidth="1"/>
    <col min="13058" max="13058" width="8.7109375" style="666" customWidth="1"/>
    <col min="13059" max="13059" width="5.5703125" style="666" customWidth="1"/>
    <col min="13060" max="13060" width="11.85546875" style="666" customWidth="1"/>
    <col min="13061" max="13061" width="12" style="666" customWidth="1"/>
    <col min="13062" max="13062" width="11.5703125" style="666" customWidth="1"/>
    <col min="13063" max="13063" width="14" style="666" customWidth="1"/>
    <col min="13064" max="13064" width="12.85546875" style="666" customWidth="1"/>
    <col min="13065" max="13065" width="10.5703125" style="666" customWidth="1"/>
    <col min="13066" max="13312" width="9.140625" style="666"/>
    <col min="13313" max="13313" width="4.28515625" style="666" customWidth="1"/>
    <col min="13314" max="13314" width="8.7109375" style="666" customWidth="1"/>
    <col min="13315" max="13315" width="5.5703125" style="666" customWidth="1"/>
    <col min="13316" max="13316" width="11.85546875" style="666" customWidth="1"/>
    <col min="13317" max="13317" width="12" style="666" customWidth="1"/>
    <col min="13318" max="13318" width="11.5703125" style="666" customWidth="1"/>
    <col min="13319" max="13319" width="14" style="666" customWidth="1"/>
    <col min="13320" max="13320" width="12.85546875" style="666" customWidth="1"/>
    <col min="13321" max="13321" width="10.5703125" style="666" customWidth="1"/>
    <col min="13322" max="13568" width="9.140625" style="666"/>
    <col min="13569" max="13569" width="4.28515625" style="666" customWidth="1"/>
    <col min="13570" max="13570" width="8.7109375" style="666" customWidth="1"/>
    <col min="13571" max="13571" width="5.5703125" style="666" customWidth="1"/>
    <col min="13572" max="13572" width="11.85546875" style="666" customWidth="1"/>
    <col min="13573" max="13573" width="12" style="666" customWidth="1"/>
    <col min="13574" max="13574" width="11.5703125" style="666" customWidth="1"/>
    <col min="13575" max="13575" width="14" style="666" customWidth="1"/>
    <col min="13576" max="13576" width="12.85546875" style="666" customWidth="1"/>
    <col min="13577" max="13577" width="10.5703125" style="666" customWidth="1"/>
    <col min="13578" max="13824" width="9.140625" style="666"/>
    <col min="13825" max="13825" width="4.28515625" style="666" customWidth="1"/>
    <col min="13826" max="13826" width="8.7109375" style="666" customWidth="1"/>
    <col min="13827" max="13827" width="5.5703125" style="666" customWidth="1"/>
    <col min="13828" max="13828" width="11.85546875" style="666" customWidth="1"/>
    <col min="13829" max="13829" width="12" style="666" customWidth="1"/>
    <col min="13830" max="13830" width="11.5703125" style="666" customWidth="1"/>
    <col min="13831" max="13831" width="14" style="666" customWidth="1"/>
    <col min="13832" max="13832" width="12.85546875" style="666" customWidth="1"/>
    <col min="13833" max="13833" width="10.5703125" style="666" customWidth="1"/>
    <col min="13834" max="14080" width="9.140625" style="666"/>
    <col min="14081" max="14081" width="4.28515625" style="666" customWidth="1"/>
    <col min="14082" max="14082" width="8.7109375" style="666" customWidth="1"/>
    <col min="14083" max="14083" width="5.5703125" style="666" customWidth="1"/>
    <col min="14084" max="14084" width="11.85546875" style="666" customWidth="1"/>
    <col min="14085" max="14085" width="12" style="666" customWidth="1"/>
    <col min="14086" max="14086" width="11.5703125" style="666" customWidth="1"/>
    <col min="14087" max="14087" width="14" style="666" customWidth="1"/>
    <col min="14088" max="14088" width="12.85546875" style="666" customWidth="1"/>
    <col min="14089" max="14089" width="10.5703125" style="666" customWidth="1"/>
    <col min="14090" max="14336" width="9.140625" style="666"/>
    <col min="14337" max="14337" width="4.28515625" style="666" customWidth="1"/>
    <col min="14338" max="14338" width="8.7109375" style="666" customWidth="1"/>
    <col min="14339" max="14339" width="5.5703125" style="666" customWidth="1"/>
    <col min="14340" max="14340" width="11.85546875" style="666" customWidth="1"/>
    <col min="14341" max="14341" width="12" style="666" customWidth="1"/>
    <col min="14342" max="14342" width="11.5703125" style="666" customWidth="1"/>
    <col min="14343" max="14343" width="14" style="666" customWidth="1"/>
    <col min="14344" max="14344" width="12.85546875" style="666" customWidth="1"/>
    <col min="14345" max="14345" width="10.5703125" style="666" customWidth="1"/>
    <col min="14346" max="14592" width="9.140625" style="666"/>
    <col min="14593" max="14593" width="4.28515625" style="666" customWidth="1"/>
    <col min="14594" max="14594" width="8.7109375" style="666" customWidth="1"/>
    <col min="14595" max="14595" width="5.5703125" style="666" customWidth="1"/>
    <col min="14596" max="14596" width="11.85546875" style="666" customWidth="1"/>
    <col min="14597" max="14597" width="12" style="666" customWidth="1"/>
    <col min="14598" max="14598" width="11.5703125" style="666" customWidth="1"/>
    <col min="14599" max="14599" width="14" style="666" customWidth="1"/>
    <col min="14600" max="14600" width="12.85546875" style="666" customWidth="1"/>
    <col min="14601" max="14601" width="10.5703125" style="666" customWidth="1"/>
    <col min="14602" max="14848" width="9.140625" style="666"/>
    <col min="14849" max="14849" width="4.28515625" style="666" customWidth="1"/>
    <col min="14850" max="14850" width="8.7109375" style="666" customWidth="1"/>
    <col min="14851" max="14851" width="5.5703125" style="666" customWidth="1"/>
    <col min="14852" max="14852" width="11.85546875" style="666" customWidth="1"/>
    <col min="14853" max="14853" width="12" style="666" customWidth="1"/>
    <col min="14854" max="14854" width="11.5703125" style="666" customWidth="1"/>
    <col min="14855" max="14855" width="14" style="666" customWidth="1"/>
    <col min="14856" max="14856" width="12.85546875" style="666" customWidth="1"/>
    <col min="14857" max="14857" width="10.5703125" style="666" customWidth="1"/>
    <col min="14858" max="15104" width="9.140625" style="666"/>
    <col min="15105" max="15105" width="4.28515625" style="666" customWidth="1"/>
    <col min="15106" max="15106" width="8.7109375" style="666" customWidth="1"/>
    <col min="15107" max="15107" width="5.5703125" style="666" customWidth="1"/>
    <col min="15108" max="15108" width="11.85546875" style="666" customWidth="1"/>
    <col min="15109" max="15109" width="12" style="666" customWidth="1"/>
    <col min="15110" max="15110" width="11.5703125" style="666" customWidth="1"/>
    <col min="15111" max="15111" width="14" style="666" customWidth="1"/>
    <col min="15112" max="15112" width="12.85546875" style="666" customWidth="1"/>
    <col min="15113" max="15113" width="10.5703125" style="666" customWidth="1"/>
    <col min="15114" max="15360" width="9.140625" style="666"/>
    <col min="15361" max="15361" width="4.28515625" style="666" customWidth="1"/>
    <col min="15362" max="15362" width="8.7109375" style="666" customWidth="1"/>
    <col min="15363" max="15363" width="5.5703125" style="666" customWidth="1"/>
    <col min="15364" max="15364" width="11.85546875" style="666" customWidth="1"/>
    <col min="15365" max="15365" width="12" style="666" customWidth="1"/>
    <col min="15366" max="15366" width="11.5703125" style="666" customWidth="1"/>
    <col min="15367" max="15367" width="14" style="666" customWidth="1"/>
    <col min="15368" max="15368" width="12.85546875" style="666" customWidth="1"/>
    <col min="15369" max="15369" width="10.5703125" style="666" customWidth="1"/>
    <col min="15370" max="15616" width="9.140625" style="666"/>
    <col min="15617" max="15617" width="4.28515625" style="666" customWidth="1"/>
    <col min="15618" max="15618" width="8.7109375" style="666" customWidth="1"/>
    <col min="15619" max="15619" width="5.5703125" style="666" customWidth="1"/>
    <col min="15620" max="15620" width="11.85546875" style="666" customWidth="1"/>
    <col min="15621" max="15621" width="12" style="666" customWidth="1"/>
    <col min="15622" max="15622" width="11.5703125" style="666" customWidth="1"/>
    <col min="15623" max="15623" width="14" style="666" customWidth="1"/>
    <col min="15624" max="15624" width="12.85546875" style="666" customWidth="1"/>
    <col min="15625" max="15625" width="10.5703125" style="666" customWidth="1"/>
    <col min="15626" max="15872" width="9.140625" style="666"/>
    <col min="15873" max="15873" width="4.28515625" style="666" customWidth="1"/>
    <col min="15874" max="15874" width="8.7109375" style="666" customWidth="1"/>
    <col min="15875" max="15875" width="5.5703125" style="666" customWidth="1"/>
    <col min="15876" max="15876" width="11.85546875" style="666" customWidth="1"/>
    <col min="15877" max="15877" width="12" style="666" customWidth="1"/>
    <col min="15878" max="15878" width="11.5703125" style="666" customWidth="1"/>
    <col min="15879" max="15879" width="14" style="666" customWidth="1"/>
    <col min="15880" max="15880" width="12.85546875" style="666" customWidth="1"/>
    <col min="15881" max="15881" width="10.5703125" style="666" customWidth="1"/>
    <col min="15882" max="16128" width="9.140625" style="666"/>
    <col min="16129" max="16129" width="4.28515625" style="666" customWidth="1"/>
    <col min="16130" max="16130" width="8.7109375" style="666" customWidth="1"/>
    <col min="16131" max="16131" width="5.5703125" style="666" customWidth="1"/>
    <col min="16132" max="16132" width="11.85546875" style="666" customWidth="1"/>
    <col min="16133" max="16133" width="12" style="666" customWidth="1"/>
    <col min="16134" max="16134" width="11.5703125" style="666" customWidth="1"/>
    <col min="16135" max="16135" width="14" style="666" customWidth="1"/>
    <col min="16136" max="16136" width="12.85546875" style="666" customWidth="1"/>
    <col min="16137" max="16137" width="10.5703125" style="666" customWidth="1"/>
    <col min="16138" max="16384" width="9.140625" style="666"/>
  </cols>
  <sheetData>
    <row r="1" spans="1:74" x14ac:dyDescent="0.2">
      <c r="G1" s="250"/>
      <c r="H1" s="251" t="s">
        <v>332</v>
      </c>
    </row>
    <row r="2" spans="1:74" x14ac:dyDescent="0.2">
      <c r="G2" s="250"/>
      <c r="H2" s="3" t="s">
        <v>289</v>
      </c>
    </row>
    <row r="3" spans="1:74" x14ac:dyDescent="0.2">
      <c r="G3" s="250"/>
      <c r="H3" s="3" t="s">
        <v>0</v>
      </c>
    </row>
    <row r="4" spans="1:74" x14ac:dyDescent="0.2">
      <c r="G4" s="250"/>
      <c r="H4" s="3" t="s">
        <v>290</v>
      </c>
    </row>
    <row r="5" spans="1:74" x14ac:dyDescent="0.2">
      <c r="H5" s="252"/>
    </row>
    <row r="7" spans="1:74" ht="35.25" customHeight="1" x14ac:dyDescent="0.2">
      <c r="A7" s="253" t="s">
        <v>333</v>
      </c>
      <c r="B7" s="253"/>
      <c r="C7" s="253"/>
      <c r="D7" s="253"/>
      <c r="E7" s="253"/>
      <c r="F7" s="253"/>
      <c r="G7" s="253"/>
      <c r="H7" s="253"/>
      <c r="I7" s="253"/>
    </row>
    <row r="8" spans="1:74" ht="18" customHeight="1" x14ac:dyDescent="0.2">
      <c r="A8" s="254"/>
      <c r="B8" s="254"/>
      <c r="C8" s="254"/>
      <c r="D8" s="254"/>
      <c r="E8" s="254"/>
      <c r="F8" s="254"/>
      <c r="G8" s="254"/>
      <c r="H8" s="254"/>
      <c r="I8" s="254"/>
    </row>
    <row r="9" spans="1:74" ht="13.5" customHeight="1" x14ac:dyDescent="0.2">
      <c r="I9" s="255" t="s">
        <v>2</v>
      </c>
    </row>
    <row r="10" spans="1:74" ht="13.5" customHeight="1" x14ac:dyDescent="0.2">
      <c r="A10" s="256"/>
      <c r="B10" s="256"/>
      <c r="C10" s="256"/>
      <c r="D10" s="257"/>
      <c r="E10" s="257"/>
      <c r="F10" s="258" t="s">
        <v>334</v>
      </c>
      <c r="G10" s="259"/>
      <c r="H10" s="259"/>
      <c r="I10" s="260"/>
    </row>
    <row r="11" spans="1:74" ht="33.75" customHeight="1" x14ac:dyDescent="0.2">
      <c r="A11" s="261" t="s">
        <v>301</v>
      </c>
      <c r="B11" s="261" t="s">
        <v>335</v>
      </c>
      <c r="C11" s="261" t="s">
        <v>6</v>
      </c>
      <c r="D11" s="262" t="s">
        <v>336</v>
      </c>
      <c r="E11" s="262" t="s">
        <v>337</v>
      </c>
      <c r="F11" s="257"/>
      <c r="G11" s="258" t="s">
        <v>338</v>
      </c>
      <c r="H11" s="260"/>
      <c r="I11" s="257"/>
    </row>
    <row r="12" spans="1:74" ht="39.75" customHeight="1" x14ac:dyDescent="0.2">
      <c r="A12" s="263"/>
      <c r="B12" s="263"/>
      <c r="C12" s="263"/>
      <c r="D12" s="263"/>
      <c r="E12" s="264"/>
      <c r="F12" s="265" t="s">
        <v>339</v>
      </c>
      <c r="G12" s="266" t="s">
        <v>340</v>
      </c>
      <c r="H12" s="266" t="s">
        <v>341</v>
      </c>
      <c r="I12" s="265" t="s">
        <v>342</v>
      </c>
    </row>
    <row r="13" spans="1:74" ht="10.5" customHeight="1" x14ac:dyDescent="0.2">
      <c r="A13" s="267">
        <v>1</v>
      </c>
      <c r="B13" s="267">
        <v>2</v>
      </c>
      <c r="C13" s="267">
        <v>3</v>
      </c>
      <c r="D13" s="267">
        <v>4</v>
      </c>
      <c r="E13" s="267">
        <v>5</v>
      </c>
      <c r="F13" s="267">
        <v>6</v>
      </c>
      <c r="G13" s="267">
        <v>7</v>
      </c>
      <c r="H13" s="267">
        <v>8</v>
      </c>
      <c r="I13" s="267">
        <v>9</v>
      </c>
    </row>
    <row r="14" spans="1:74" s="271" customFormat="1" ht="20.25" customHeight="1" x14ac:dyDescent="0.2">
      <c r="A14" s="268">
        <v>710</v>
      </c>
      <c r="B14" s="268">
        <v>71035</v>
      </c>
      <c r="C14" s="268">
        <v>2020</v>
      </c>
      <c r="D14" s="269">
        <f>20000+45000+20000</f>
        <v>85000</v>
      </c>
      <c r="E14" s="269">
        <f t="shared" ref="E14:E19" si="0">SUM(F14,I14)</f>
        <v>85000</v>
      </c>
      <c r="F14" s="269">
        <f>20000+45000+20000</f>
        <v>85000</v>
      </c>
      <c r="G14" s="269">
        <v>0</v>
      </c>
      <c r="H14" s="269">
        <v>0</v>
      </c>
      <c r="I14" s="269">
        <v>0</v>
      </c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</row>
    <row r="15" spans="1:74" s="271" customFormat="1" ht="20.25" customHeight="1" x14ac:dyDescent="0.2">
      <c r="A15" s="268">
        <v>750</v>
      </c>
      <c r="B15" s="268">
        <v>75023</v>
      </c>
      <c r="C15" s="272">
        <v>2020</v>
      </c>
      <c r="D15" s="273">
        <f>657370-3.09</f>
        <v>657366.91</v>
      </c>
      <c r="E15" s="269">
        <f t="shared" si="0"/>
        <v>657366.91</v>
      </c>
      <c r="F15" s="269">
        <f>657370-3.09</f>
        <v>657366.91</v>
      </c>
      <c r="G15" s="269">
        <f>42370-126.09+123</f>
        <v>42366.91</v>
      </c>
      <c r="H15" s="269">
        <v>0</v>
      </c>
      <c r="I15" s="269">
        <v>0</v>
      </c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</row>
    <row r="16" spans="1:74" s="271" customFormat="1" ht="20.25" customHeight="1" x14ac:dyDescent="0.2">
      <c r="A16" s="268">
        <v>752</v>
      </c>
      <c r="B16" s="268">
        <v>75224</v>
      </c>
      <c r="C16" s="272">
        <v>2120</v>
      </c>
      <c r="D16" s="273">
        <f>42500+2500</f>
        <v>45000</v>
      </c>
      <c r="E16" s="269">
        <f t="shared" si="0"/>
        <v>45000</v>
      </c>
      <c r="F16" s="269">
        <f>42500+2500</f>
        <v>45000</v>
      </c>
      <c r="G16" s="269">
        <f>42500+2500-6800</f>
        <v>38200</v>
      </c>
      <c r="H16" s="269">
        <v>0</v>
      </c>
      <c r="I16" s="269">
        <v>0</v>
      </c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</row>
    <row r="17" spans="1:74" s="271" customFormat="1" ht="20.25" customHeight="1" x14ac:dyDescent="0.2">
      <c r="A17" s="268">
        <v>801</v>
      </c>
      <c r="B17" s="268">
        <v>80146</v>
      </c>
      <c r="C17" s="272">
        <v>2120</v>
      </c>
      <c r="D17" s="273">
        <f>328000+65007+15200</f>
        <v>408207</v>
      </c>
      <c r="E17" s="269">
        <f t="shared" si="0"/>
        <v>408207</v>
      </c>
      <c r="F17" s="269">
        <f>328000+65007+15200</f>
        <v>408207</v>
      </c>
      <c r="G17" s="269">
        <f>313530+12000+307+50000+120+880+5200</f>
        <v>382037</v>
      </c>
      <c r="H17" s="269">
        <v>0</v>
      </c>
      <c r="I17" s="269">
        <v>0</v>
      </c>
      <c r="J17" s="270"/>
      <c r="K17" s="274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</row>
    <row r="18" spans="1:74" s="271" customFormat="1" ht="20.25" customHeight="1" x14ac:dyDescent="0.2">
      <c r="A18" s="268">
        <v>801</v>
      </c>
      <c r="B18" s="268">
        <v>80195</v>
      </c>
      <c r="C18" s="272">
        <v>2020</v>
      </c>
      <c r="D18" s="273">
        <v>15000</v>
      </c>
      <c r="E18" s="269">
        <f t="shared" si="0"/>
        <v>15000</v>
      </c>
      <c r="F18" s="269">
        <v>15000</v>
      </c>
      <c r="G18" s="269">
        <v>0</v>
      </c>
      <c r="H18" s="269">
        <v>0</v>
      </c>
      <c r="I18" s="269">
        <v>0</v>
      </c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</row>
    <row r="19" spans="1:74" s="271" customFormat="1" ht="20.25" customHeight="1" x14ac:dyDescent="0.2">
      <c r="A19" s="268">
        <v>801</v>
      </c>
      <c r="B19" s="268">
        <v>80195</v>
      </c>
      <c r="C19" s="272">
        <v>2120</v>
      </c>
      <c r="D19" s="273">
        <f>349074+27630.4</f>
        <v>376704.4</v>
      </c>
      <c r="E19" s="269">
        <f t="shared" si="0"/>
        <v>376704.4</v>
      </c>
      <c r="F19" s="269">
        <f>349074+27630.4</f>
        <v>376704.4</v>
      </c>
      <c r="G19" s="269">
        <v>317340</v>
      </c>
      <c r="H19" s="269">
        <v>0</v>
      </c>
      <c r="I19" s="269">
        <v>0</v>
      </c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</row>
    <row r="20" spans="1:74" s="271" customFormat="1" ht="23.25" customHeight="1" x14ac:dyDescent="0.2">
      <c r="A20" s="716" t="s">
        <v>343</v>
      </c>
      <c r="B20" s="717"/>
      <c r="C20" s="718"/>
      <c r="D20" s="671">
        <f t="shared" ref="D20:I20" si="1">SUM(D14:D19)</f>
        <v>1587278.31</v>
      </c>
      <c r="E20" s="671">
        <f t="shared" si="1"/>
        <v>1587278.31</v>
      </c>
      <c r="F20" s="671">
        <f t="shared" si="1"/>
        <v>1587278.31</v>
      </c>
      <c r="G20" s="671">
        <f t="shared" si="1"/>
        <v>779943.91</v>
      </c>
      <c r="H20" s="671">
        <f t="shared" si="1"/>
        <v>0</v>
      </c>
      <c r="I20" s="671">
        <f t="shared" si="1"/>
        <v>0</v>
      </c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</row>
    <row r="21" spans="1:74" ht="12" customHeight="1" x14ac:dyDescent="0.2"/>
  </sheetData>
  <mergeCells count="1">
    <mergeCell ref="A20:C20"/>
  </mergeCells>
  <pageMargins left="0.59055118110236227" right="0.59055118110236227" top="0.74803149606299213" bottom="0.74803149606299213" header="0.31496062992125984" footer="0.31496062992125984"/>
  <pageSetup paperSize="9" firstPageNumber="4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F64A6-00D7-438D-ADB2-1161256B79A4}">
  <sheetPr>
    <tabColor rgb="FFFF66CC"/>
  </sheetPr>
  <dimension ref="A1:CA27"/>
  <sheetViews>
    <sheetView zoomScale="130" zoomScaleNormal="130" workbookViewId="0"/>
  </sheetViews>
  <sheetFormatPr defaultRowHeight="12.75" x14ac:dyDescent="0.2"/>
  <cols>
    <col min="1" max="1" width="4.85546875" style="666" customWidth="1"/>
    <col min="2" max="2" width="6.7109375" style="666" customWidth="1"/>
    <col min="3" max="3" width="6.140625" style="666" customWidth="1"/>
    <col min="4" max="4" width="10" style="666" customWidth="1"/>
    <col min="5" max="5" width="11.28515625" style="666" customWidth="1"/>
    <col min="6" max="6" width="11.5703125" style="666" customWidth="1"/>
    <col min="7" max="7" width="13.85546875" style="666" customWidth="1"/>
    <col min="8" max="9" width="11.28515625" style="667" customWidth="1"/>
    <col min="10" max="10" width="10.140625" style="667" customWidth="1"/>
    <col min="11" max="79" width="9.140625" style="667"/>
    <col min="80" max="256" width="9.140625" style="666"/>
    <col min="257" max="257" width="4.85546875" style="666" customWidth="1"/>
    <col min="258" max="258" width="6.7109375" style="666" customWidth="1"/>
    <col min="259" max="259" width="6.140625" style="666" customWidth="1"/>
    <col min="260" max="260" width="10" style="666" customWidth="1"/>
    <col min="261" max="261" width="11.28515625" style="666" customWidth="1"/>
    <col min="262" max="262" width="11.5703125" style="666" customWidth="1"/>
    <col min="263" max="263" width="13.85546875" style="666" customWidth="1"/>
    <col min="264" max="265" width="11.28515625" style="666" customWidth="1"/>
    <col min="266" max="266" width="10.140625" style="666" customWidth="1"/>
    <col min="267" max="512" width="9.140625" style="666"/>
    <col min="513" max="513" width="4.85546875" style="666" customWidth="1"/>
    <col min="514" max="514" width="6.7109375" style="666" customWidth="1"/>
    <col min="515" max="515" width="6.140625" style="666" customWidth="1"/>
    <col min="516" max="516" width="10" style="666" customWidth="1"/>
    <col min="517" max="517" width="11.28515625" style="666" customWidth="1"/>
    <col min="518" max="518" width="11.5703125" style="666" customWidth="1"/>
    <col min="519" max="519" width="13.85546875" style="666" customWidth="1"/>
    <col min="520" max="521" width="11.28515625" style="666" customWidth="1"/>
    <col min="522" max="522" width="10.140625" style="666" customWidth="1"/>
    <col min="523" max="768" width="9.140625" style="666"/>
    <col min="769" max="769" width="4.85546875" style="666" customWidth="1"/>
    <col min="770" max="770" width="6.7109375" style="666" customWidth="1"/>
    <col min="771" max="771" width="6.140625" style="666" customWidth="1"/>
    <col min="772" max="772" width="10" style="666" customWidth="1"/>
    <col min="773" max="773" width="11.28515625" style="666" customWidth="1"/>
    <col min="774" max="774" width="11.5703125" style="666" customWidth="1"/>
    <col min="775" max="775" width="13.85546875" style="666" customWidth="1"/>
    <col min="776" max="777" width="11.28515625" style="666" customWidth="1"/>
    <col min="778" max="778" width="10.140625" style="666" customWidth="1"/>
    <col min="779" max="1024" width="9.140625" style="666"/>
    <col min="1025" max="1025" width="4.85546875" style="666" customWidth="1"/>
    <col min="1026" max="1026" width="6.7109375" style="666" customWidth="1"/>
    <col min="1027" max="1027" width="6.140625" style="666" customWidth="1"/>
    <col min="1028" max="1028" width="10" style="666" customWidth="1"/>
    <col min="1029" max="1029" width="11.28515625" style="666" customWidth="1"/>
    <col min="1030" max="1030" width="11.5703125" style="666" customWidth="1"/>
    <col min="1031" max="1031" width="13.85546875" style="666" customWidth="1"/>
    <col min="1032" max="1033" width="11.28515625" style="666" customWidth="1"/>
    <col min="1034" max="1034" width="10.140625" style="666" customWidth="1"/>
    <col min="1035" max="1280" width="9.140625" style="666"/>
    <col min="1281" max="1281" width="4.85546875" style="666" customWidth="1"/>
    <col min="1282" max="1282" width="6.7109375" style="666" customWidth="1"/>
    <col min="1283" max="1283" width="6.140625" style="666" customWidth="1"/>
    <col min="1284" max="1284" width="10" style="666" customWidth="1"/>
    <col min="1285" max="1285" width="11.28515625" style="666" customWidth="1"/>
    <col min="1286" max="1286" width="11.5703125" style="666" customWidth="1"/>
    <col min="1287" max="1287" width="13.85546875" style="666" customWidth="1"/>
    <col min="1288" max="1289" width="11.28515625" style="666" customWidth="1"/>
    <col min="1290" max="1290" width="10.140625" style="666" customWidth="1"/>
    <col min="1291" max="1536" width="9.140625" style="666"/>
    <col min="1537" max="1537" width="4.85546875" style="666" customWidth="1"/>
    <col min="1538" max="1538" width="6.7109375" style="666" customWidth="1"/>
    <col min="1539" max="1539" width="6.140625" style="666" customWidth="1"/>
    <col min="1540" max="1540" width="10" style="666" customWidth="1"/>
    <col min="1541" max="1541" width="11.28515625" style="666" customWidth="1"/>
    <col min="1542" max="1542" width="11.5703125" style="666" customWidth="1"/>
    <col min="1543" max="1543" width="13.85546875" style="666" customWidth="1"/>
    <col min="1544" max="1545" width="11.28515625" style="666" customWidth="1"/>
    <col min="1546" max="1546" width="10.140625" style="666" customWidth="1"/>
    <col min="1547" max="1792" width="9.140625" style="666"/>
    <col min="1793" max="1793" width="4.85546875" style="666" customWidth="1"/>
    <col min="1794" max="1794" width="6.7109375" style="666" customWidth="1"/>
    <col min="1795" max="1795" width="6.140625" style="666" customWidth="1"/>
    <col min="1796" max="1796" width="10" style="666" customWidth="1"/>
    <col min="1797" max="1797" width="11.28515625" style="666" customWidth="1"/>
    <col min="1798" max="1798" width="11.5703125" style="666" customWidth="1"/>
    <col min="1799" max="1799" width="13.85546875" style="666" customWidth="1"/>
    <col min="1800" max="1801" width="11.28515625" style="666" customWidth="1"/>
    <col min="1802" max="1802" width="10.140625" style="666" customWidth="1"/>
    <col min="1803" max="2048" width="9.140625" style="666"/>
    <col min="2049" max="2049" width="4.85546875" style="666" customWidth="1"/>
    <col min="2050" max="2050" width="6.7109375" style="666" customWidth="1"/>
    <col min="2051" max="2051" width="6.140625" style="666" customWidth="1"/>
    <col min="2052" max="2052" width="10" style="666" customWidth="1"/>
    <col min="2053" max="2053" width="11.28515625" style="666" customWidth="1"/>
    <col min="2054" max="2054" width="11.5703125" style="666" customWidth="1"/>
    <col min="2055" max="2055" width="13.85546875" style="666" customWidth="1"/>
    <col min="2056" max="2057" width="11.28515625" style="666" customWidth="1"/>
    <col min="2058" max="2058" width="10.140625" style="666" customWidth="1"/>
    <col min="2059" max="2304" width="9.140625" style="666"/>
    <col min="2305" max="2305" width="4.85546875" style="666" customWidth="1"/>
    <col min="2306" max="2306" width="6.7109375" style="666" customWidth="1"/>
    <col min="2307" max="2307" width="6.140625" style="666" customWidth="1"/>
    <col min="2308" max="2308" width="10" style="666" customWidth="1"/>
    <col min="2309" max="2309" width="11.28515625" style="666" customWidth="1"/>
    <col min="2310" max="2310" width="11.5703125" style="666" customWidth="1"/>
    <col min="2311" max="2311" width="13.85546875" style="666" customWidth="1"/>
    <col min="2312" max="2313" width="11.28515625" style="666" customWidth="1"/>
    <col min="2314" max="2314" width="10.140625" style="666" customWidth="1"/>
    <col min="2315" max="2560" width="9.140625" style="666"/>
    <col min="2561" max="2561" width="4.85546875" style="666" customWidth="1"/>
    <col min="2562" max="2562" width="6.7109375" style="666" customWidth="1"/>
    <col min="2563" max="2563" width="6.140625" style="666" customWidth="1"/>
    <col min="2564" max="2564" width="10" style="666" customWidth="1"/>
    <col min="2565" max="2565" width="11.28515625" style="666" customWidth="1"/>
    <col min="2566" max="2566" width="11.5703125" style="666" customWidth="1"/>
    <col min="2567" max="2567" width="13.85546875" style="666" customWidth="1"/>
    <col min="2568" max="2569" width="11.28515625" style="666" customWidth="1"/>
    <col min="2570" max="2570" width="10.140625" style="666" customWidth="1"/>
    <col min="2571" max="2816" width="9.140625" style="666"/>
    <col min="2817" max="2817" width="4.85546875" style="666" customWidth="1"/>
    <col min="2818" max="2818" width="6.7109375" style="666" customWidth="1"/>
    <col min="2819" max="2819" width="6.140625" style="666" customWidth="1"/>
    <col min="2820" max="2820" width="10" style="666" customWidth="1"/>
    <col min="2821" max="2821" width="11.28515625" style="666" customWidth="1"/>
    <col min="2822" max="2822" width="11.5703125" style="666" customWidth="1"/>
    <col min="2823" max="2823" width="13.85546875" style="666" customWidth="1"/>
    <col min="2824" max="2825" width="11.28515625" style="666" customWidth="1"/>
    <col min="2826" max="2826" width="10.140625" style="666" customWidth="1"/>
    <col min="2827" max="3072" width="9.140625" style="666"/>
    <col min="3073" max="3073" width="4.85546875" style="666" customWidth="1"/>
    <col min="3074" max="3074" width="6.7109375" style="666" customWidth="1"/>
    <col min="3075" max="3075" width="6.140625" style="666" customWidth="1"/>
    <col min="3076" max="3076" width="10" style="666" customWidth="1"/>
    <col min="3077" max="3077" width="11.28515625" style="666" customWidth="1"/>
    <col min="3078" max="3078" width="11.5703125" style="666" customWidth="1"/>
    <col min="3079" max="3079" width="13.85546875" style="666" customWidth="1"/>
    <col min="3080" max="3081" width="11.28515625" style="666" customWidth="1"/>
    <col min="3082" max="3082" width="10.140625" style="666" customWidth="1"/>
    <col min="3083" max="3328" width="9.140625" style="666"/>
    <col min="3329" max="3329" width="4.85546875" style="666" customWidth="1"/>
    <col min="3330" max="3330" width="6.7109375" style="666" customWidth="1"/>
    <col min="3331" max="3331" width="6.140625" style="666" customWidth="1"/>
    <col min="3332" max="3332" width="10" style="666" customWidth="1"/>
    <col min="3333" max="3333" width="11.28515625" style="666" customWidth="1"/>
    <col min="3334" max="3334" width="11.5703125" style="666" customWidth="1"/>
    <col min="3335" max="3335" width="13.85546875" style="666" customWidth="1"/>
    <col min="3336" max="3337" width="11.28515625" style="666" customWidth="1"/>
    <col min="3338" max="3338" width="10.140625" style="666" customWidth="1"/>
    <col min="3339" max="3584" width="9.140625" style="666"/>
    <col min="3585" max="3585" width="4.85546875" style="666" customWidth="1"/>
    <col min="3586" max="3586" width="6.7109375" style="666" customWidth="1"/>
    <col min="3587" max="3587" width="6.140625" style="666" customWidth="1"/>
    <col min="3588" max="3588" width="10" style="666" customWidth="1"/>
    <col min="3589" max="3589" width="11.28515625" style="666" customWidth="1"/>
    <col min="3590" max="3590" width="11.5703125" style="666" customWidth="1"/>
    <col min="3591" max="3591" width="13.85546875" style="666" customWidth="1"/>
    <col min="3592" max="3593" width="11.28515625" style="666" customWidth="1"/>
    <col min="3594" max="3594" width="10.140625" style="666" customWidth="1"/>
    <col min="3595" max="3840" width="9.140625" style="666"/>
    <col min="3841" max="3841" width="4.85546875" style="666" customWidth="1"/>
    <col min="3842" max="3842" width="6.7109375" style="666" customWidth="1"/>
    <col min="3843" max="3843" width="6.140625" style="666" customWidth="1"/>
    <col min="3844" max="3844" width="10" style="666" customWidth="1"/>
    <col min="3845" max="3845" width="11.28515625" style="666" customWidth="1"/>
    <col min="3846" max="3846" width="11.5703125" style="666" customWidth="1"/>
    <col min="3847" max="3847" width="13.85546875" style="666" customWidth="1"/>
    <col min="3848" max="3849" width="11.28515625" style="666" customWidth="1"/>
    <col min="3850" max="3850" width="10.140625" style="666" customWidth="1"/>
    <col min="3851" max="4096" width="9.140625" style="666"/>
    <col min="4097" max="4097" width="4.85546875" style="666" customWidth="1"/>
    <col min="4098" max="4098" width="6.7109375" style="666" customWidth="1"/>
    <col min="4099" max="4099" width="6.140625" style="666" customWidth="1"/>
    <col min="4100" max="4100" width="10" style="666" customWidth="1"/>
    <col min="4101" max="4101" width="11.28515625" style="666" customWidth="1"/>
    <col min="4102" max="4102" width="11.5703125" style="666" customWidth="1"/>
    <col min="4103" max="4103" width="13.85546875" style="666" customWidth="1"/>
    <col min="4104" max="4105" width="11.28515625" style="666" customWidth="1"/>
    <col min="4106" max="4106" width="10.140625" style="666" customWidth="1"/>
    <col min="4107" max="4352" width="9.140625" style="666"/>
    <col min="4353" max="4353" width="4.85546875" style="666" customWidth="1"/>
    <col min="4354" max="4354" width="6.7109375" style="666" customWidth="1"/>
    <col min="4355" max="4355" width="6.140625" style="666" customWidth="1"/>
    <col min="4356" max="4356" width="10" style="666" customWidth="1"/>
    <col min="4357" max="4357" width="11.28515625" style="666" customWidth="1"/>
    <col min="4358" max="4358" width="11.5703125" style="666" customWidth="1"/>
    <col min="4359" max="4359" width="13.85546875" style="666" customWidth="1"/>
    <col min="4360" max="4361" width="11.28515625" style="666" customWidth="1"/>
    <col min="4362" max="4362" width="10.140625" style="666" customWidth="1"/>
    <col min="4363" max="4608" width="9.140625" style="666"/>
    <col min="4609" max="4609" width="4.85546875" style="666" customWidth="1"/>
    <col min="4610" max="4610" width="6.7109375" style="666" customWidth="1"/>
    <col min="4611" max="4611" width="6.140625" style="666" customWidth="1"/>
    <col min="4612" max="4612" width="10" style="666" customWidth="1"/>
    <col min="4613" max="4613" width="11.28515625" style="666" customWidth="1"/>
    <col min="4614" max="4614" width="11.5703125" style="666" customWidth="1"/>
    <col min="4615" max="4615" width="13.85546875" style="666" customWidth="1"/>
    <col min="4616" max="4617" width="11.28515625" style="666" customWidth="1"/>
    <col min="4618" max="4618" width="10.140625" style="666" customWidth="1"/>
    <col min="4619" max="4864" width="9.140625" style="666"/>
    <col min="4865" max="4865" width="4.85546875" style="666" customWidth="1"/>
    <col min="4866" max="4866" width="6.7109375" style="666" customWidth="1"/>
    <col min="4867" max="4867" width="6.140625" style="666" customWidth="1"/>
    <col min="4868" max="4868" width="10" style="666" customWidth="1"/>
    <col min="4869" max="4869" width="11.28515625" style="666" customWidth="1"/>
    <col min="4870" max="4870" width="11.5703125" style="666" customWidth="1"/>
    <col min="4871" max="4871" width="13.85546875" style="666" customWidth="1"/>
    <col min="4872" max="4873" width="11.28515625" style="666" customWidth="1"/>
    <col min="4874" max="4874" width="10.140625" style="666" customWidth="1"/>
    <col min="4875" max="5120" width="9.140625" style="666"/>
    <col min="5121" max="5121" width="4.85546875" style="666" customWidth="1"/>
    <col min="5122" max="5122" width="6.7109375" style="666" customWidth="1"/>
    <col min="5123" max="5123" width="6.140625" style="666" customWidth="1"/>
    <col min="5124" max="5124" width="10" style="666" customWidth="1"/>
    <col min="5125" max="5125" width="11.28515625" style="666" customWidth="1"/>
    <col min="5126" max="5126" width="11.5703125" style="666" customWidth="1"/>
    <col min="5127" max="5127" width="13.85546875" style="666" customWidth="1"/>
    <col min="5128" max="5129" width="11.28515625" style="666" customWidth="1"/>
    <col min="5130" max="5130" width="10.140625" style="666" customWidth="1"/>
    <col min="5131" max="5376" width="9.140625" style="666"/>
    <col min="5377" max="5377" width="4.85546875" style="666" customWidth="1"/>
    <col min="5378" max="5378" width="6.7109375" style="666" customWidth="1"/>
    <col min="5379" max="5379" width="6.140625" style="666" customWidth="1"/>
    <col min="5380" max="5380" width="10" style="666" customWidth="1"/>
    <col min="5381" max="5381" width="11.28515625" style="666" customWidth="1"/>
    <col min="5382" max="5382" width="11.5703125" style="666" customWidth="1"/>
    <col min="5383" max="5383" width="13.85546875" style="666" customWidth="1"/>
    <col min="5384" max="5385" width="11.28515625" style="666" customWidth="1"/>
    <col min="5386" max="5386" width="10.140625" style="666" customWidth="1"/>
    <col min="5387" max="5632" width="9.140625" style="666"/>
    <col min="5633" max="5633" width="4.85546875" style="666" customWidth="1"/>
    <col min="5634" max="5634" width="6.7109375" style="666" customWidth="1"/>
    <col min="5635" max="5635" width="6.140625" style="666" customWidth="1"/>
    <col min="5636" max="5636" width="10" style="666" customWidth="1"/>
    <col min="5637" max="5637" width="11.28515625" style="666" customWidth="1"/>
    <col min="5638" max="5638" width="11.5703125" style="666" customWidth="1"/>
    <col min="5639" max="5639" width="13.85546875" style="666" customWidth="1"/>
    <col min="5640" max="5641" width="11.28515625" style="666" customWidth="1"/>
    <col min="5642" max="5642" width="10.140625" style="666" customWidth="1"/>
    <col min="5643" max="5888" width="9.140625" style="666"/>
    <col min="5889" max="5889" width="4.85546875" style="666" customWidth="1"/>
    <col min="5890" max="5890" width="6.7109375" style="666" customWidth="1"/>
    <col min="5891" max="5891" width="6.140625" style="666" customWidth="1"/>
    <col min="5892" max="5892" width="10" style="666" customWidth="1"/>
    <col min="5893" max="5893" width="11.28515625" style="666" customWidth="1"/>
    <col min="5894" max="5894" width="11.5703125" style="666" customWidth="1"/>
    <col min="5895" max="5895" width="13.85546875" style="666" customWidth="1"/>
    <col min="5896" max="5897" width="11.28515625" style="666" customWidth="1"/>
    <col min="5898" max="5898" width="10.140625" style="666" customWidth="1"/>
    <col min="5899" max="6144" width="9.140625" style="666"/>
    <col min="6145" max="6145" width="4.85546875" style="666" customWidth="1"/>
    <col min="6146" max="6146" width="6.7109375" style="666" customWidth="1"/>
    <col min="6147" max="6147" width="6.140625" style="666" customWidth="1"/>
    <col min="6148" max="6148" width="10" style="666" customWidth="1"/>
    <col min="6149" max="6149" width="11.28515625" style="666" customWidth="1"/>
    <col min="6150" max="6150" width="11.5703125" style="666" customWidth="1"/>
    <col min="6151" max="6151" width="13.85546875" style="666" customWidth="1"/>
    <col min="6152" max="6153" width="11.28515625" style="666" customWidth="1"/>
    <col min="6154" max="6154" width="10.140625" style="666" customWidth="1"/>
    <col min="6155" max="6400" width="9.140625" style="666"/>
    <col min="6401" max="6401" width="4.85546875" style="666" customWidth="1"/>
    <col min="6402" max="6402" width="6.7109375" style="666" customWidth="1"/>
    <col min="6403" max="6403" width="6.140625" style="666" customWidth="1"/>
    <col min="6404" max="6404" width="10" style="666" customWidth="1"/>
    <col min="6405" max="6405" width="11.28515625" style="666" customWidth="1"/>
    <col min="6406" max="6406" width="11.5703125" style="666" customWidth="1"/>
    <col min="6407" max="6407" width="13.85546875" style="666" customWidth="1"/>
    <col min="6408" max="6409" width="11.28515625" style="666" customWidth="1"/>
    <col min="6410" max="6410" width="10.140625" style="666" customWidth="1"/>
    <col min="6411" max="6656" width="9.140625" style="666"/>
    <col min="6657" max="6657" width="4.85546875" style="666" customWidth="1"/>
    <col min="6658" max="6658" width="6.7109375" style="666" customWidth="1"/>
    <col min="6659" max="6659" width="6.140625" style="666" customWidth="1"/>
    <col min="6660" max="6660" width="10" style="666" customWidth="1"/>
    <col min="6661" max="6661" width="11.28515625" style="666" customWidth="1"/>
    <col min="6662" max="6662" width="11.5703125" style="666" customWidth="1"/>
    <col min="6663" max="6663" width="13.85546875" style="666" customWidth="1"/>
    <col min="6664" max="6665" width="11.28515625" style="666" customWidth="1"/>
    <col min="6666" max="6666" width="10.140625" style="666" customWidth="1"/>
    <col min="6667" max="6912" width="9.140625" style="666"/>
    <col min="6913" max="6913" width="4.85546875" style="666" customWidth="1"/>
    <col min="6914" max="6914" width="6.7109375" style="666" customWidth="1"/>
    <col min="6915" max="6915" width="6.140625" style="666" customWidth="1"/>
    <col min="6916" max="6916" width="10" style="666" customWidth="1"/>
    <col min="6917" max="6917" width="11.28515625" style="666" customWidth="1"/>
    <col min="6918" max="6918" width="11.5703125" style="666" customWidth="1"/>
    <col min="6919" max="6919" width="13.85546875" style="666" customWidth="1"/>
    <col min="6920" max="6921" width="11.28515625" style="666" customWidth="1"/>
    <col min="6922" max="6922" width="10.140625" style="666" customWidth="1"/>
    <col min="6923" max="7168" width="9.140625" style="666"/>
    <col min="7169" max="7169" width="4.85546875" style="666" customWidth="1"/>
    <col min="7170" max="7170" width="6.7109375" style="666" customWidth="1"/>
    <col min="7171" max="7171" width="6.140625" style="666" customWidth="1"/>
    <col min="7172" max="7172" width="10" style="666" customWidth="1"/>
    <col min="7173" max="7173" width="11.28515625" style="666" customWidth="1"/>
    <col min="7174" max="7174" width="11.5703125" style="666" customWidth="1"/>
    <col min="7175" max="7175" width="13.85546875" style="666" customWidth="1"/>
    <col min="7176" max="7177" width="11.28515625" style="666" customWidth="1"/>
    <col min="7178" max="7178" width="10.140625" style="666" customWidth="1"/>
    <col min="7179" max="7424" width="9.140625" style="666"/>
    <col min="7425" max="7425" width="4.85546875" style="666" customWidth="1"/>
    <col min="7426" max="7426" width="6.7109375" style="666" customWidth="1"/>
    <col min="7427" max="7427" width="6.140625" style="666" customWidth="1"/>
    <col min="7428" max="7428" width="10" style="666" customWidth="1"/>
    <col min="7429" max="7429" width="11.28515625" style="666" customWidth="1"/>
    <col min="7430" max="7430" width="11.5703125" style="666" customWidth="1"/>
    <col min="7431" max="7431" width="13.85546875" style="666" customWidth="1"/>
    <col min="7432" max="7433" width="11.28515625" style="666" customWidth="1"/>
    <col min="7434" max="7434" width="10.140625" style="666" customWidth="1"/>
    <col min="7435" max="7680" width="9.140625" style="666"/>
    <col min="7681" max="7681" width="4.85546875" style="666" customWidth="1"/>
    <col min="7682" max="7682" width="6.7109375" style="666" customWidth="1"/>
    <col min="7683" max="7683" width="6.140625" style="666" customWidth="1"/>
    <col min="7684" max="7684" width="10" style="666" customWidth="1"/>
    <col min="7685" max="7685" width="11.28515625" style="666" customWidth="1"/>
    <col min="7686" max="7686" width="11.5703125" style="666" customWidth="1"/>
    <col min="7687" max="7687" width="13.85546875" style="666" customWidth="1"/>
    <col min="7688" max="7689" width="11.28515625" style="666" customWidth="1"/>
    <col min="7690" max="7690" width="10.140625" style="666" customWidth="1"/>
    <col min="7691" max="7936" width="9.140625" style="666"/>
    <col min="7937" max="7937" width="4.85546875" style="666" customWidth="1"/>
    <col min="7938" max="7938" width="6.7109375" style="666" customWidth="1"/>
    <col min="7939" max="7939" width="6.140625" style="666" customWidth="1"/>
    <col min="7940" max="7940" width="10" style="666" customWidth="1"/>
    <col min="7941" max="7941" width="11.28515625" style="666" customWidth="1"/>
    <col min="7942" max="7942" width="11.5703125" style="666" customWidth="1"/>
    <col min="7943" max="7943" width="13.85546875" style="666" customWidth="1"/>
    <col min="7944" max="7945" width="11.28515625" style="666" customWidth="1"/>
    <col min="7946" max="7946" width="10.140625" style="666" customWidth="1"/>
    <col min="7947" max="8192" width="9.140625" style="666"/>
    <col min="8193" max="8193" width="4.85546875" style="666" customWidth="1"/>
    <col min="8194" max="8194" width="6.7109375" style="666" customWidth="1"/>
    <col min="8195" max="8195" width="6.140625" style="666" customWidth="1"/>
    <col min="8196" max="8196" width="10" style="666" customWidth="1"/>
    <col min="8197" max="8197" width="11.28515625" style="666" customWidth="1"/>
    <col min="8198" max="8198" width="11.5703125" style="666" customWidth="1"/>
    <col min="8199" max="8199" width="13.85546875" style="666" customWidth="1"/>
    <col min="8200" max="8201" width="11.28515625" style="666" customWidth="1"/>
    <col min="8202" max="8202" width="10.140625" style="666" customWidth="1"/>
    <col min="8203" max="8448" width="9.140625" style="666"/>
    <col min="8449" max="8449" width="4.85546875" style="666" customWidth="1"/>
    <col min="8450" max="8450" width="6.7109375" style="666" customWidth="1"/>
    <col min="8451" max="8451" width="6.140625" style="666" customWidth="1"/>
    <col min="8452" max="8452" width="10" style="666" customWidth="1"/>
    <col min="8453" max="8453" width="11.28515625" style="666" customWidth="1"/>
    <col min="8454" max="8454" width="11.5703125" style="666" customWidth="1"/>
    <col min="8455" max="8455" width="13.85546875" style="666" customWidth="1"/>
    <col min="8456" max="8457" width="11.28515625" style="666" customWidth="1"/>
    <col min="8458" max="8458" width="10.140625" style="666" customWidth="1"/>
    <col min="8459" max="8704" width="9.140625" style="666"/>
    <col min="8705" max="8705" width="4.85546875" style="666" customWidth="1"/>
    <col min="8706" max="8706" width="6.7109375" style="666" customWidth="1"/>
    <col min="8707" max="8707" width="6.140625" style="666" customWidth="1"/>
    <col min="8708" max="8708" width="10" style="666" customWidth="1"/>
    <col min="8709" max="8709" width="11.28515625" style="666" customWidth="1"/>
    <col min="8710" max="8710" width="11.5703125" style="666" customWidth="1"/>
    <col min="8711" max="8711" width="13.85546875" style="666" customWidth="1"/>
    <col min="8712" max="8713" width="11.28515625" style="666" customWidth="1"/>
    <col min="8714" max="8714" width="10.140625" style="666" customWidth="1"/>
    <col min="8715" max="8960" width="9.140625" style="666"/>
    <col min="8961" max="8961" width="4.85546875" style="666" customWidth="1"/>
    <col min="8962" max="8962" width="6.7109375" style="666" customWidth="1"/>
    <col min="8963" max="8963" width="6.140625" style="666" customWidth="1"/>
    <col min="8964" max="8964" width="10" style="666" customWidth="1"/>
    <col min="8965" max="8965" width="11.28515625" style="666" customWidth="1"/>
    <col min="8966" max="8966" width="11.5703125" style="666" customWidth="1"/>
    <col min="8967" max="8967" width="13.85546875" style="666" customWidth="1"/>
    <col min="8968" max="8969" width="11.28515625" style="666" customWidth="1"/>
    <col min="8970" max="8970" width="10.140625" style="666" customWidth="1"/>
    <col min="8971" max="9216" width="9.140625" style="666"/>
    <col min="9217" max="9217" width="4.85546875" style="666" customWidth="1"/>
    <col min="9218" max="9218" width="6.7109375" style="666" customWidth="1"/>
    <col min="9219" max="9219" width="6.140625" style="666" customWidth="1"/>
    <col min="9220" max="9220" width="10" style="666" customWidth="1"/>
    <col min="9221" max="9221" width="11.28515625" style="666" customWidth="1"/>
    <col min="9222" max="9222" width="11.5703125" style="666" customWidth="1"/>
    <col min="9223" max="9223" width="13.85546875" style="666" customWidth="1"/>
    <col min="9224" max="9225" width="11.28515625" style="666" customWidth="1"/>
    <col min="9226" max="9226" width="10.140625" style="666" customWidth="1"/>
    <col min="9227" max="9472" width="9.140625" style="666"/>
    <col min="9473" max="9473" width="4.85546875" style="666" customWidth="1"/>
    <col min="9474" max="9474" width="6.7109375" style="666" customWidth="1"/>
    <col min="9475" max="9475" width="6.140625" style="666" customWidth="1"/>
    <col min="9476" max="9476" width="10" style="666" customWidth="1"/>
    <col min="9477" max="9477" width="11.28515625" style="666" customWidth="1"/>
    <col min="9478" max="9478" width="11.5703125" style="666" customWidth="1"/>
    <col min="9479" max="9479" width="13.85546875" style="666" customWidth="1"/>
    <col min="9480" max="9481" width="11.28515625" style="666" customWidth="1"/>
    <col min="9482" max="9482" width="10.140625" style="666" customWidth="1"/>
    <col min="9483" max="9728" width="9.140625" style="666"/>
    <col min="9729" max="9729" width="4.85546875" style="666" customWidth="1"/>
    <col min="9730" max="9730" width="6.7109375" style="666" customWidth="1"/>
    <col min="9731" max="9731" width="6.140625" style="666" customWidth="1"/>
    <col min="9732" max="9732" width="10" style="666" customWidth="1"/>
    <col min="9733" max="9733" width="11.28515625" style="666" customWidth="1"/>
    <col min="9734" max="9734" width="11.5703125" style="666" customWidth="1"/>
    <col min="9735" max="9735" width="13.85546875" style="666" customWidth="1"/>
    <col min="9736" max="9737" width="11.28515625" style="666" customWidth="1"/>
    <col min="9738" max="9738" width="10.140625" style="666" customWidth="1"/>
    <col min="9739" max="9984" width="9.140625" style="666"/>
    <col min="9985" max="9985" width="4.85546875" style="666" customWidth="1"/>
    <col min="9986" max="9986" width="6.7109375" style="666" customWidth="1"/>
    <col min="9987" max="9987" width="6.140625" style="666" customWidth="1"/>
    <col min="9988" max="9988" width="10" style="666" customWidth="1"/>
    <col min="9989" max="9989" width="11.28515625" style="666" customWidth="1"/>
    <col min="9990" max="9990" width="11.5703125" style="666" customWidth="1"/>
    <col min="9991" max="9991" width="13.85546875" style="666" customWidth="1"/>
    <col min="9992" max="9993" width="11.28515625" style="666" customWidth="1"/>
    <col min="9994" max="9994" width="10.140625" style="666" customWidth="1"/>
    <col min="9995" max="10240" width="9.140625" style="666"/>
    <col min="10241" max="10241" width="4.85546875" style="666" customWidth="1"/>
    <col min="10242" max="10242" width="6.7109375" style="666" customWidth="1"/>
    <col min="10243" max="10243" width="6.140625" style="666" customWidth="1"/>
    <col min="10244" max="10244" width="10" style="666" customWidth="1"/>
    <col min="10245" max="10245" width="11.28515625" style="666" customWidth="1"/>
    <col min="10246" max="10246" width="11.5703125" style="666" customWidth="1"/>
    <col min="10247" max="10247" width="13.85546875" style="666" customWidth="1"/>
    <col min="10248" max="10249" width="11.28515625" style="666" customWidth="1"/>
    <col min="10250" max="10250" width="10.140625" style="666" customWidth="1"/>
    <col min="10251" max="10496" width="9.140625" style="666"/>
    <col min="10497" max="10497" width="4.85546875" style="666" customWidth="1"/>
    <col min="10498" max="10498" width="6.7109375" style="666" customWidth="1"/>
    <col min="10499" max="10499" width="6.140625" style="666" customWidth="1"/>
    <col min="10500" max="10500" width="10" style="666" customWidth="1"/>
    <col min="10501" max="10501" width="11.28515625" style="666" customWidth="1"/>
    <col min="10502" max="10502" width="11.5703125" style="666" customWidth="1"/>
    <col min="10503" max="10503" width="13.85546875" style="666" customWidth="1"/>
    <col min="10504" max="10505" width="11.28515625" style="666" customWidth="1"/>
    <col min="10506" max="10506" width="10.140625" style="666" customWidth="1"/>
    <col min="10507" max="10752" width="9.140625" style="666"/>
    <col min="10753" max="10753" width="4.85546875" style="666" customWidth="1"/>
    <col min="10754" max="10754" width="6.7109375" style="666" customWidth="1"/>
    <col min="10755" max="10755" width="6.140625" style="666" customWidth="1"/>
    <col min="10756" max="10756" width="10" style="666" customWidth="1"/>
    <col min="10757" max="10757" width="11.28515625" style="666" customWidth="1"/>
    <col min="10758" max="10758" width="11.5703125" style="666" customWidth="1"/>
    <col min="10759" max="10759" width="13.85546875" style="666" customWidth="1"/>
    <col min="10760" max="10761" width="11.28515625" style="666" customWidth="1"/>
    <col min="10762" max="10762" width="10.140625" style="666" customWidth="1"/>
    <col min="10763" max="11008" width="9.140625" style="666"/>
    <col min="11009" max="11009" width="4.85546875" style="666" customWidth="1"/>
    <col min="11010" max="11010" width="6.7109375" style="666" customWidth="1"/>
    <col min="11011" max="11011" width="6.140625" style="666" customWidth="1"/>
    <col min="11012" max="11012" width="10" style="666" customWidth="1"/>
    <col min="11013" max="11013" width="11.28515625" style="666" customWidth="1"/>
    <col min="11014" max="11014" width="11.5703125" style="666" customWidth="1"/>
    <col min="11015" max="11015" width="13.85546875" style="666" customWidth="1"/>
    <col min="11016" max="11017" width="11.28515625" style="666" customWidth="1"/>
    <col min="11018" max="11018" width="10.140625" style="666" customWidth="1"/>
    <col min="11019" max="11264" width="9.140625" style="666"/>
    <col min="11265" max="11265" width="4.85546875" style="666" customWidth="1"/>
    <col min="11266" max="11266" width="6.7109375" style="666" customWidth="1"/>
    <col min="11267" max="11267" width="6.140625" style="666" customWidth="1"/>
    <col min="11268" max="11268" width="10" style="666" customWidth="1"/>
    <col min="11269" max="11269" width="11.28515625" style="666" customWidth="1"/>
    <col min="11270" max="11270" width="11.5703125" style="666" customWidth="1"/>
    <col min="11271" max="11271" width="13.85546875" style="666" customWidth="1"/>
    <col min="11272" max="11273" width="11.28515625" style="666" customWidth="1"/>
    <col min="11274" max="11274" width="10.140625" style="666" customWidth="1"/>
    <col min="11275" max="11520" width="9.140625" style="666"/>
    <col min="11521" max="11521" width="4.85546875" style="666" customWidth="1"/>
    <col min="11522" max="11522" width="6.7109375" style="666" customWidth="1"/>
    <col min="11523" max="11523" width="6.140625" style="666" customWidth="1"/>
    <col min="11524" max="11524" width="10" style="666" customWidth="1"/>
    <col min="11525" max="11525" width="11.28515625" style="666" customWidth="1"/>
    <col min="11526" max="11526" width="11.5703125" style="666" customWidth="1"/>
    <col min="11527" max="11527" width="13.85546875" style="666" customWidth="1"/>
    <col min="11528" max="11529" width="11.28515625" style="666" customWidth="1"/>
    <col min="11530" max="11530" width="10.140625" style="666" customWidth="1"/>
    <col min="11531" max="11776" width="9.140625" style="666"/>
    <col min="11777" max="11777" width="4.85546875" style="666" customWidth="1"/>
    <col min="11778" max="11778" width="6.7109375" style="666" customWidth="1"/>
    <col min="11779" max="11779" width="6.140625" style="666" customWidth="1"/>
    <col min="11780" max="11780" width="10" style="666" customWidth="1"/>
    <col min="11781" max="11781" width="11.28515625" style="666" customWidth="1"/>
    <col min="11782" max="11782" width="11.5703125" style="666" customWidth="1"/>
    <col min="11783" max="11783" width="13.85546875" style="666" customWidth="1"/>
    <col min="11784" max="11785" width="11.28515625" style="666" customWidth="1"/>
    <col min="11786" max="11786" width="10.140625" style="666" customWidth="1"/>
    <col min="11787" max="12032" width="9.140625" style="666"/>
    <col min="12033" max="12033" width="4.85546875" style="666" customWidth="1"/>
    <col min="12034" max="12034" width="6.7109375" style="666" customWidth="1"/>
    <col min="12035" max="12035" width="6.140625" style="666" customWidth="1"/>
    <col min="12036" max="12036" width="10" style="666" customWidth="1"/>
    <col min="12037" max="12037" width="11.28515625" style="666" customWidth="1"/>
    <col min="12038" max="12038" width="11.5703125" style="666" customWidth="1"/>
    <col min="12039" max="12039" width="13.85546875" style="666" customWidth="1"/>
    <col min="12040" max="12041" width="11.28515625" style="666" customWidth="1"/>
    <col min="12042" max="12042" width="10.140625" style="666" customWidth="1"/>
    <col min="12043" max="12288" width="9.140625" style="666"/>
    <col min="12289" max="12289" width="4.85546875" style="666" customWidth="1"/>
    <col min="12290" max="12290" width="6.7109375" style="666" customWidth="1"/>
    <col min="12291" max="12291" width="6.140625" style="666" customWidth="1"/>
    <col min="12292" max="12292" width="10" style="666" customWidth="1"/>
    <col min="12293" max="12293" width="11.28515625" style="666" customWidth="1"/>
    <col min="12294" max="12294" width="11.5703125" style="666" customWidth="1"/>
    <col min="12295" max="12295" width="13.85546875" style="666" customWidth="1"/>
    <col min="12296" max="12297" width="11.28515625" style="666" customWidth="1"/>
    <col min="12298" max="12298" width="10.140625" style="666" customWidth="1"/>
    <col min="12299" max="12544" width="9.140625" style="666"/>
    <col min="12545" max="12545" width="4.85546875" style="666" customWidth="1"/>
    <col min="12546" max="12546" width="6.7109375" style="666" customWidth="1"/>
    <col min="12547" max="12547" width="6.140625" style="666" customWidth="1"/>
    <col min="12548" max="12548" width="10" style="666" customWidth="1"/>
    <col min="12549" max="12549" width="11.28515625" style="666" customWidth="1"/>
    <col min="12550" max="12550" width="11.5703125" style="666" customWidth="1"/>
    <col min="12551" max="12551" width="13.85546875" style="666" customWidth="1"/>
    <col min="12552" max="12553" width="11.28515625" style="666" customWidth="1"/>
    <col min="12554" max="12554" width="10.140625" style="666" customWidth="1"/>
    <col min="12555" max="12800" width="9.140625" style="666"/>
    <col min="12801" max="12801" width="4.85546875" style="666" customWidth="1"/>
    <col min="12802" max="12802" width="6.7109375" style="666" customWidth="1"/>
    <col min="12803" max="12803" width="6.140625" style="666" customWidth="1"/>
    <col min="12804" max="12804" width="10" style="666" customWidth="1"/>
    <col min="12805" max="12805" width="11.28515625" style="666" customWidth="1"/>
    <col min="12806" max="12806" width="11.5703125" style="666" customWidth="1"/>
    <col min="12807" max="12807" width="13.85546875" style="666" customWidth="1"/>
    <col min="12808" max="12809" width="11.28515625" style="666" customWidth="1"/>
    <col min="12810" max="12810" width="10.140625" style="666" customWidth="1"/>
    <col min="12811" max="13056" width="9.140625" style="666"/>
    <col min="13057" max="13057" width="4.85546875" style="666" customWidth="1"/>
    <col min="13058" max="13058" width="6.7109375" style="666" customWidth="1"/>
    <col min="13059" max="13059" width="6.140625" style="666" customWidth="1"/>
    <col min="13060" max="13060" width="10" style="666" customWidth="1"/>
    <col min="13061" max="13061" width="11.28515625" style="666" customWidth="1"/>
    <col min="13062" max="13062" width="11.5703125" style="666" customWidth="1"/>
    <col min="13063" max="13063" width="13.85546875" style="666" customWidth="1"/>
    <col min="13064" max="13065" width="11.28515625" style="666" customWidth="1"/>
    <col min="13066" max="13066" width="10.140625" style="666" customWidth="1"/>
    <col min="13067" max="13312" width="9.140625" style="666"/>
    <col min="13313" max="13313" width="4.85546875" style="666" customWidth="1"/>
    <col min="13314" max="13314" width="6.7109375" style="666" customWidth="1"/>
    <col min="13315" max="13315" width="6.140625" style="666" customWidth="1"/>
    <col min="13316" max="13316" width="10" style="666" customWidth="1"/>
    <col min="13317" max="13317" width="11.28515625" style="666" customWidth="1"/>
    <col min="13318" max="13318" width="11.5703125" style="666" customWidth="1"/>
    <col min="13319" max="13319" width="13.85546875" style="666" customWidth="1"/>
    <col min="13320" max="13321" width="11.28515625" style="666" customWidth="1"/>
    <col min="13322" max="13322" width="10.140625" style="666" customWidth="1"/>
    <col min="13323" max="13568" width="9.140625" style="666"/>
    <col min="13569" max="13569" width="4.85546875" style="666" customWidth="1"/>
    <col min="13570" max="13570" width="6.7109375" style="666" customWidth="1"/>
    <col min="13571" max="13571" width="6.140625" style="666" customWidth="1"/>
    <col min="13572" max="13572" width="10" style="666" customWidth="1"/>
    <col min="13573" max="13573" width="11.28515625" style="666" customWidth="1"/>
    <col min="13574" max="13574" width="11.5703125" style="666" customWidth="1"/>
    <col min="13575" max="13575" width="13.85546875" style="666" customWidth="1"/>
    <col min="13576" max="13577" width="11.28515625" style="666" customWidth="1"/>
    <col min="13578" max="13578" width="10.140625" style="666" customWidth="1"/>
    <col min="13579" max="13824" width="9.140625" style="666"/>
    <col min="13825" max="13825" width="4.85546875" style="666" customWidth="1"/>
    <col min="13826" max="13826" width="6.7109375" style="666" customWidth="1"/>
    <col min="13827" max="13827" width="6.140625" style="666" customWidth="1"/>
    <col min="13828" max="13828" width="10" style="666" customWidth="1"/>
    <col min="13829" max="13829" width="11.28515625" style="666" customWidth="1"/>
    <col min="13830" max="13830" width="11.5703125" style="666" customWidth="1"/>
    <col min="13831" max="13831" width="13.85546875" style="666" customWidth="1"/>
    <col min="13832" max="13833" width="11.28515625" style="666" customWidth="1"/>
    <col min="13834" max="13834" width="10.140625" style="666" customWidth="1"/>
    <col min="13835" max="14080" width="9.140625" style="666"/>
    <col min="14081" max="14081" width="4.85546875" style="666" customWidth="1"/>
    <col min="14082" max="14082" width="6.7109375" style="666" customWidth="1"/>
    <col min="14083" max="14083" width="6.140625" style="666" customWidth="1"/>
    <col min="14084" max="14084" width="10" style="666" customWidth="1"/>
    <col min="14085" max="14085" width="11.28515625" style="666" customWidth="1"/>
    <col min="14086" max="14086" width="11.5703125" style="666" customWidth="1"/>
    <col min="14087" max="14087" width="13.85546875" style="666" customWidth="1"/>
    <col min="14088" max="14089" width="11.28515625" style="666" customWidth="1"/>
    <col min="14090" max="14090" width="10.140625" style="666" customWidth="1"/>
    <col min="14091" max="14336" width="9.140625" style="666"/>
    <col min="14337" max="14337" width="4.85546875" style="666" customWidth="1"/>
    <col min="14338" max="14338" width="6.7109375" style="666" customWidth="1"/>
    <col min="14339" max="14339" width="6.140625" style="666" customWidth="1"/>
    <col min="14340" max="14340" width="10" style="666" customWidth="1"/>
    <col min="14341" max="14341" width="11.28515625" style="666" customWidth="1"/>
    <col min="14342" max="14342" width="11.5703125" style="666" customWidth="1"/>
    <col min="14343" max="14343" width="13.85546875" style="666" customWidth="1"/>
    <col min="14344" max="14345" width="11.28515625" style="666" customWidth="1"/>
    <col min="14346" max="14346" width="10.140625" style="666" customWidth="1"/>
    <col min="14347" max="14592" width="9.140625" style="666"/>
    <col min="14593" max="14593" width="4.85546875" style="666" customWidth="1"/>
    <col min="14594" max="14594" width="6.7109375" style="666" customWidth="1"/>
    <col min="14595" max="14595" width="6.140625" style="666" customWidth="1"/>
    <col min="14596" max="14596" width="10" style="666" customWidth="1"/>
    <col min="14597" max="14597" width="11.28515625" style="666" customWidth="1"/>
    <col min="14598" max="14598" width="11.5703125" style="666" customWidth="1"/>
    <col min="14599" max="14599" width="13.85546875" style="666" customWidth="1"/>
    <col min="14600" max="14601" width="11.28515625" style="666" customWidth="1"/>
    <col min="14602" max="14602" width="10.140625" style="666" customWidth="1"/>
    <col min="14603" max="14848" width="9.140625" style="666"/>
    <col min="14849" max="14849" width="4.85546875" style="666" customWidth="1"/>
    <col min="14850" max="14850" width="6.7109375" style="666" customWidth="1"/>
    <col min="14851" max="14851" width="6.140625" style="666" customWidth="1"/>
    <col min="14852" max="14852" width="10" style="666" customWidth="1"/>
    <col min="14853" max="14853" width="11.28515625" style="666" customWidth="1"/>
    <col min="14854" max="14854" width="11.5703125" style="666" customWidth="1"/>
    <col min="14855" max="14855" width="13.85546875" style="666" customWidth="1"/>
    <col min="14856" max="14857" width="11.28515625" style="666" customWidth="1"/>
    <col min="14858" max="14858" width="10.140625" style="666" customWidth="1"/>
    <col min="14859" max="15104" width="9.140625" style="666"/>
    <col min="15105" max="15105" width="4.85546875" style="666" customWidth="1"/>
    <col min="15106" max="15106" width="6.7109375" style="666" customWidth="1"/>
    <col min="15107" max="15107" width="6.140625" style="666" customWidth="1"/>
    <col min="15108" max="15108" width="10" style="666" customWidth="1"/>
    <col min="15109" max="15109" width="11.28515625" style="666" customWidth="1"/>
    <col min="15110" max="15110" width="11.5703125" style="666" customWidth="1"/>
    <col min="15111" max="15111" width="13.85546875" style="666" customWidth="1"/>
    <col min="15112" max="15113" width="11.28515625" style="666" customWidth="1"/>
    <col min="15114" max="15114" width="10.140625" style="666" customWidth="1"/>
    <col min="15115" max="15360" width="9.140625" style="666"/>
    <col min="15361" max="15361" width="4.85546875" style="666" customWidth="1"/>
    <col min="15362" max="15362" width="6.7109375" style="666" customWidth="1"/>
    <col min="15363" max="15363" width="6.140625" style="666" customWidth="1"/>
    <col min="15364" max="15364" width="10" style="666" customWidth="1"/>
    <col min="15365" max="15365" width="11.28515625" style="666" customWidth="1"/>
    <col min="15366" max="15366" width="11.5703125" style="666" customWidth="1"/>
    <col min="15367" max="15367" width="13.85546875" style="666" customWidth="1"/>
    <col min="15368" max="15369" width="11.28515625" style="666" customWidth="1"/>
    <col min="15370" max="15370" width="10.140625" style="666" customWidth="1"/>
    <col min="15371" max="15616" width="9.140625" style="666"/>
    <col min="15617" max="15617" width="4.85546875" style="666" customWidth="1"/>
    <col min="15618" max="15618" width="6.7109375" style="666" customWidth="1"/>
    <col min="15619" max="15619" width="6.140625" style="666" customWidth="1"/>
    <col min="15620" max="15620" width="10" style="666" customWidth="1"/>
    <col min="15621" max="15621" width="11.28515625" style="666" customWidth="1"/>
    <col min="15622" max="15622" width="11.5703125" style="666" customWidth="1"/>
    <col min="15623" max="15623" width="13.85546875" style="666" customWidth="1"/>
    <col min="15624" max="15625" width="11.28515625" style="666" customWidth="1"/>
    <col min="15626" max="15626" width="10.140625" style="666" customWidth="1"/>
    <col min="15627" max="15872" width="9.140625" style="666"/>
    <col min="15873" max="15873" width="4.85546875" style="666" customWidth="1"/>
    <col min="15874" max="15874" width="6.7109375" style="666" customWidth="1"/>
    <col min="15875" max="15875" width="6.140625" style="666" customWidth="1"/>
    <col min="15876" max="15876" width="10" style="666" customWidth="1"/>
    <col min="15877" max="15877" width="11.28515625" style="666" customWidth="1"/>
    <col min="15878" max="15878" width="11.5703125" style="666" customWidth="1"/>
    <col min="15879" max="15879" width="13.85546875" style="666" customWidth="1"/>
    <col min="15880" max="15881" width="11.28515625" style="666" customWidth="1"/>
    <col min="15882" max="15882" width="10.140625" style="666" customWidth="1"/>
    <col min="15883" max="16128" width="9.140625" style="666"/>
    <col min="16129" max="16129" width="4.85546875" style="666" customWidth="1"/>
    <col min="16130" max="16130" width="6.7109375" style="666" customWidth="1"/>
    <col min="16131" max="16131" width="6.140625" style="666" customWidth="1"/>
    <col min="16132" max="16132" width="10" style="666" customWidth="1"/>
    <col min="16133" max="16133" width="11.28515625" style="666" customWidth="1"/>
    <col min="16134" max="16134" width="11.5703125" style="666" customWidth="1"/>
    <col min="16135" max="16135" width="13.85546875" style="666" customWidth="1"/>
    <col min="16136" max="16137" width="11.28515625" style="666" customWidth="1"/>
    <col min="16138" max="16138" width="10.140625" style="666" customWidth="1"/>
    <col min="16139" max="16384" width="9.140625" style="666"/>
  </cols>
  <sheetData>
    <row r="1" spans="1:75" x14ac:dyDescent="0.2">
      <c r="F1" s="251"/>
      <c r="H1" s="251" t="s">
        <v>344</v>
      </c>
      <c r="I1" s="250"/>
    </row>
    <row r="2" spans="1:75" x14ac:dyDescent="0.2">
      <c r="F2" s="251"/>
      <c r="H2" s="3" t="s">
        <v>289</v>
      </c>
      <c r="I2" s="250"/>
    </row>
    <row r="3" spans="1:75" x14ac:dyDescent="0.2">
      <c r="F3" s="251"/>
      <c r="H3" s="3" t="s">
        <v>0</v>
      </c>
      <c r="I3" s="250"/>
    </row>
    <row r="4" spans="1:75" x14ac:dyDescent="0.2">
      <c r="F4" s="251"/>
      <c r="H4" s="3" t="s">
        <v>290</v>
      </c>
      <c r="I4" s="250"/>
    </row>
    <row r="6" spans="1:75" x14ac:dyDescent="0.2">
      <c r="F6" s="251"/>
      <c r="G6" s="251"/>
      <c r="H6" s="250"/>
    </row>
    <row r="7" spans="1:75" ht="16.5" customHeight="1" x14ac:dyDescent="0.2">
      <c r="A7" s="275" t="s">
        <v>345</v>
      </c>
      <c r="B7" s="275"/>
      <c r="C7" s="275"/>
      <c r="D7" s="275"/>
      <c r="E7" s="275"/>
      <c r="F7" s="275"/>
      <c r="G7" s="275"/>
      <c r="H7" s="275"/>
      <c r="I7" s="275"/>
      <c r="J7" s="275"/>
      <c r="M7" s="250"/>
    </row>
    <row r="8" spans="1:75" ht="14.25" customHeight="1" x14ac:dyDescent="0.2">
      <c r="A8" s="275" t="s">
        <v>346</v>
      </c>
      <c r="B8" s="276"/>
      <c r="C8" s="276"/>
      <c r="D8" s="276"/>
      <c r="E8" s="276"/>
      <c r="F8" s="276"/>
      <c r="G8" s="276"/>
      <c r="H8" s="276"/>
      <c r="I8" s="276"/>
      <c r="J8" s="276"/>
      <c r="M8" s="250"/>
    </row>
    <row r="9" spans="1:75" ht="14.25" customHeight="1" x14ac:dyDescent="0.2">
      <c r="A9" s="275"/>
      <c r="B9" s="276"/>
      <c r="C9" s="276"/>
      <c r="D9" s="276"/>
      <c r="E9" s="276"/>
      <c r="F9" s="276"/>
      <c r="G9" s="276"/>
      <c r="H9" s="276"/>
      <c r="I9" s="276"/>
      <c r="J9" s="276"/>
      <c r="M9" s="250"/>
    </row>
    <row r="10" spans="1:75" ht="15" customHeight="1" x14ac:dyDescent="0.2">
      <c r="A10" s="277"/>
      <c r="B10" s="278"/>
      <c r="C10" s="278"/>
      <c r="D10" s="278"/>
      <c r="E10" s="278"/>
      <c r="F10" s="278"/>
      <c r="G10" s="278"/>
      <c r="H10" s="278"/>
      <c r="I10" s="278"/>
      <c r="J10" s="278"/>
      <c r="M10" s="250"/>
    </row>
    <row r="11" spans="1:75" x14ac:dyDescent="0.2">
      <c r="J11" s="255" t="s">
        <v>2</v>
      </c>
    </row>
    <row r="12" spans="1:75" s="271" customFormat="1" ht="16.5" customHeight="1" x14ac:dyDescent="0.2">
      <c r="A12" s="256"/>
      <c r="B12" s="256"/>
      <c r="C12" s="256"/>
      <c r="D12" s="257"/>
      <c r="E12" s="279" t="s">
        <v>347</v>
      </c>
      <c r="F12" s="280"/>
      <c r="G12" s="281"/>
      <c r="H12" s="282" t="s">
        <v>334</v>
      </c>
      <c r="I12" s="283"/>
      <c r="J12" s="266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</row>
    <row r="13" spans="1:75" s="271" customFormat="1" ht="15.75" customHeight="1" x14ac:dyDescent="0.2">
      <c r="A13" s="261"/>
      <c r="B13" s="261"/>
      <c r="C13" s="261"/>
      <c r="D13" s="261" t="s">
        <v>348</v>
      </c>
      <c r="E13" s="262" t="s">
        <v>349</v>
      </c>
      <c r="F13" s="257" t="s">
        <v>350</v>
      </c>
      <c r="G13" s="281"/>
      <c r="H13" s="281" t="s">
        <v>338</v>
      </c>
      <c r="I13" s="283"/>
      <c r="J13" s="279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</row>
    <row r="14" spans="1:75" s="271" customFormat="1" ht="53.25" customHeight="1" x14ac:dyDescent="0.2">
      <c r="A14" s="284" t="s">
        <v>301</v>
      </c>
      <c r="B14" s="284" t="s">
        <v>5</v>
      </c>
      <c r="C14" s="284" t="s">
        <v>6</v>
      </c>
      <c r="D14" s="284" t="s">
        <v>349</v>
      </c>
      <c r="E14" s="265" t="s">
        <v>351</v>
      </c>
      <c r="F14" s="265" t="s">
        <v>352</v>
      </c>
      <c r="G14" s="266" t="s">
        <v>340</v>
      </c>
      <c r="H14" s="266" t="s">
        <v>341</v>
      </c>
      <c r="I14" s="266" t="s">
        <v>353</v>
      </c>
      <c r="J14" s="265" t="s">
        <v>354</v>
      </c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</row>
    <row r="15" spans="1:75" s="287" customFormat="1" ht="12" customHeight="1" x14ac:dyDescent="0.2">
      <c r="A15" s="285">
        <v>1</v>
      </c>
      <c r="B15" s="285">
        <v>2</v>
      </c>
      <c r="C15" s="285">
        <v>3</v>
      </c>
      <c r="D15" s="285">
        <v>4</v>
      </c>
      <c r="E15" s="285">
        <v>5</v>
      </c>
      <c r="F15" s="285">
        <v>6</v>
      </c>
      <c r="G15" s="285">
        <v>7</v>
      </c>
      <c r="H15" s="285">
        <v>8</v>
      </c>
      <c r="I15" s="285">
        <v>9</v>
      </c>
      <c r="J15" s="285">
        <v>10</v>
      </c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</row>
    <row r="16" spans="1:75" s="292" customFormat="1" ht="16.5" customHeight="1" x14ac:dyDescent="0.2">
      <c r="A16" s="288">
        <v>750</v>
      </c>
      <c r="B16" s="288">
        <v>75058</v>
      </c>
      <c r="C16" s="288">
        <v>2338</v>
      </c>
      <c r="D16" s="289">
        <v>14528</v>
      </c>
      <c r="E16" s="289">
        <f>SUM(F16,J16)</f>
        <v>0</v>
      </c>
      <c r="F16" s="289">
        <f t="shared" ref="F16:F22" si="0">SUM(G16:I16)</f>
        <v>0</v>
      </c>
      <c r="G16" s="289">
        <v>0</v>
      </c>
      <c r="H16" s="289">
        <v>0</v>
      </c>
      <c r="I16" s="289">
        <v>0</v>
      </c>
      <c r="J16" s="289">
        <v>0</v>
      </c>
      <c r="K16" s="290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</row>
    <row r="17" spans="1:75" s="271" customFormat="1" ht="17.100000000000001" customHeight="1" x14ac:dyDescent="0.2">
      <c r="A17" s="288">
        <v>750</v>
      </c>
      <c r="B17" s="288">
        <v>75058</v>
      </c>
      <c r="C17" s="288">
        <v>2339</v>
      </c>
      <c r="D17" s="289">
        <v>0</v>
      </c>
      <c r="E17" s="289">
        <f t="shared" ref="E17:E24" si="1">SUM(F17,J17)</f>
        <v>80000</v>
      </c>
      <c r="F17" s="289">
        <f>40000+40000</f>
        <v>80000</v>
      </c>
      <c r="G17" s="289">
        <v>0</v>
      </c>
      <c r="H17" s="289">
        <v>0</v>
      </c>
      <c r="I17" s="289">
        <f>40000+40000</f>
        <v>80000</v>
      </c>
      <c r="J17" s="289">
        <v>0</v>
      </c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</row>
    <row r="18" spans="1:75" s="271" customFormat="1" ht="17.100000000000001" customHeight="1" x14ac:dyDescent="0.2">
      <c r="A18" s="288">
        <v>801</v>
      </c>
      <c r="B18" s="288">
        <v>80104</v>
      </c>
      <c r="C18" s="288">
        <v>2310</v>
      </c>
      <c r="D18" s="289">
        <v>0</v>
      </c>
      <c r="E18" s="289">
        <f t="shared" si="1"/>
        <v>280000</v>
      </c>
      <c r="F18" s="289">
        <f>250000+30000</f>
        <v>280000</v>
      </c>
      <c r="G18" s="289">
        <v>0</v>
      </c>
      <c r="H18" s="289">
        <v>0</v>
      </c>
      <c r="I18" s="289">
        <f>250000+30000</f>
        <v>280000</v>
      </c>
      <c r="J18" s="289">
        <v>0</v>
      </c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</row>
    <row r="19" spans="1:75" s="271" customFormat="1" ht="17.100000000000001" customHeight="1" x14ac:dyDescent="0.2">
      <c r="A19" s="288">
        <v>801</v>
      </c>
      <c r="B19" s="288">
        <v>80140</v>
      </c>
      <c r="C19" s="288">
        <v>2310</v>
      </c>
      <c r="D19" s="293">
        <v>40000</v>
      </c>
      <c r="E19" s="293">
        <f>SUM(F19,J19)</f>
        <v>0</v>
      </c>
      <c r="F19" s="289">
        <f>SUM(G19:I19)</f>
        <v>0</v>
      </c>
      <c r="G19" s="293">
        <v>0</v>
      </c>
      <c r="H19" s="293">
        <v>0</v>
      </c>
      <c r="I19" s="293">
        <v>0</v>
      </c>
      <c r="J19" s="293">
        <v>0</v>
      </c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</row>
    <row r="20" spans="1:75" s="271" customFormat="1" ht="17.100000000000001" customHeight="1" x14ac:dyDescent="0.2">
      <c r="A20" s="288">
        <v>801</v>
      </c>
      <c r="B20" s="288">
        <v>80140</v>
      </c>
      <c r="C20" s="288">
        <v>2320</v>
      </c>
      <c r="D20" s="293">
        <v>220000</v>
      </c>
      <c r="E20" s="293">
        <f t="shared" si="1"/>
        <v>0</v>
      </c>
      <c r="F20" s="289">
        <f t="shared" si="0"/>
        <v>0</v>
      </c>
      <c r="G20" s="293">
        <v>0</v>
      </c>
      <c r="H20" s="293">
        <v>0</v>
      </c>
      <c r="I20" s="293">
        <v>0</v>
      </c>
      <c r="J20" s="293">
        <v>0</v>
      </c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</row>
    <row r="21" spans="1:75" s="271" customFormat="1" ht="17.100000000000001" customHeight="1" x14ac:dyDescent="0.2">
      <c r="A21" s="294">
        <v>851</v>
      </c>
      <c r="B21" s="294">
        <v>85154</v>
      </c>
      <c r="C21" s="294">
        <v>2330</v>
      </c>
      <c r="D21" s="289">
        <v>0</v>
      </c>
      <c r="E21" s="289">
        <f t="shared" si="1"/>
        <v>6000</v>
      </c>
      <c r="F21" s="289">
        <v>6000</v>
      </c>
      <c r="G21" s="289">
        <v>0</v>
      </c>
      <c r="H21" s="289">
        <v>0</v>
      </c>
      <c r="I21" s="289">
        <v>6000</v>
      </c>
      <c r="J21" s="289">
        <v>0</v>
      </c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</row>
    <row r="22" spans="1:75" s="271" customFormat="1" ht="17.100000000000001" customHeight="1" x14ac:dyDescent="0.2">
      <c r="A22" s="288">
        <v>853</v>
      </c>
      <c r="B22" s="288">
        <v>85311</v>
      </c>
      <c r="C22" s="288">
        <v>2320</v>
      </c>
      <c r="D22" s="293">
        <v>36929</v>
      </c>
      <c r="E22" s="293">
        <f t="shared" si="1"/>
        <v>0</v>
      </c>
      <c r="F22" s="289">
        <f t="shared" si="0"/>
        <v>0</v>
      </c>
      <c r="G22" s="293">
        <v>0</v>
      </c>
      <c r="H22" s="293">
        <v>0</v>
      </c>
      <c r="I22" s="293">
        <v>0</v>
      </c>
      <c r="J22" s="293">
        <v>0</v>
      </c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</row>
    <row r="23" spans="1:75" s="271" customFormat="1" ht="17.100000000000001" customHeight="1" x14ac:dyDescent="0.2">
      <c r="A23" s="288">
        <v>853</v>
      </c>
      <c r="B23" s="288">
        <v>85333</v>
      </c>
      <c r="C23" s="288">
        <v>2320</v>
      </c>
      <c r="D23" s="293">
        <v>0</v>
      </c>
      <c r="E23" s="293">
        <f t="shared" si="1"/>
        <v>3890076</v>
      </c>
      <c r="F23" s="293">
        <v>3890076</v>
      </c>
      <c r="G23" s="293">
        <v>0</v>
      </c>
      <c r="H23" s="293">
        <v>0</v>
      </c>
      <c r="I23" s="293">
        <v>3890076</v>
      </c>
      <c r="J23" s="293">
        <v>0</v>
      </c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</row>
    <row r="24" spans="1:75" s="271" customFormat="1" ht="17.100000000000001" customHeight="1" x14ac:dyDescent="0.2">
      <c r="A24" s="288">
        <v>854</v>
      </c>
      <c r="B24" s="288">
        <v>85415</v>
      </c>
      <c r="C24" s="288">
        <v>2330</v>
      </c>
      <c r="D24" s="293">
        <v>5400</v>
      </c>
      <c r="E24" s="293">
        <f t="shared" si="1"/>
        <v>0</v>
      </c>
      <c r="F24" s="293">
        <v>0</v>
      </c>
      <c r="G24" s="293">
        <v>0</v>
      </c>
      <c r="H24" s="293">
        <v>0</v>
      </c>
      <c r="I24" s="293">
        <v>0</v>
      </c>
      <c r="J24" s="293">
        <v>0</v>
      </c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</row>
    <row r="25" spans="1:75" s="271" customFormat="1" ht="21" customHeight="1" x14ac:dyDescent="0.2">
      <c r="A25" s="295" t="s">
        <v>343</v>
      </c>
      <c r="B25" s="668"/>
      <c r="C25" s="669"/>
      <c r="D25" s="296">
        <f t="shared" ref="D25:J25" si="2">SUM(D16:D24)</f>
        <v>316857</v>
      </c>
      <c r="E25" s="296">
        <f t="shared" si="2"/>
        <v>4256076</v>
      </c>
      <c r="F25" s="296">
        <f t="shared" si="2"/>
        <v>4256076</v>
      </c>
      <c r="G25" s="296">
        <f t="shared" si="2"/>
        <v>0</v>
      </c>
      <c r="H25" s="296">
        <f t="shared" si="2"/>
        <v>0</v>
      </c>
      <c r="I25" s="296">
        <f t="shared" si="2"/>
        <v>4256076</v>
      </c>
      <c r="J25" s="296">
        <f t="shared" si="2"/>
        <v>0</v>
      </c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</row>
    <row r="27" spans="1:75" s="667" customFormat="1" x14ac:dyDescent="0.2">
      <c r="A27" s="670"/>
      <c r="B27" s="666"/>
      <c r="C27" s="666"/>
      <c r="D27" s="666"/>
      <c r="E27" s="666"/>
      <c r="F27" s="666"/>
    </row>
  </sheetData>
  <pageMargins left="0.31496062992125984" right="0.31496062992125984" top="0.74803149606299213" bottom="0.74803149606299213" header="0.31496062992125984" footer="0.31496062992125984"/>
  <pageSetup paperSize="9" firstPageNumber="42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AC0F8-42F6-460A-870E-AD3CC9418743}">
  <sheetPr>
    <tabColor rgb="FF003399"/>
  </sheetPr>
  <dimension ref="A1:H49"/>
  <sheetViews>
    <sheetView zoomScale="130" zoomScaleNormal="130" workbookViewId="0"/>
  </sheetViews>
  <sheetFormatPr defaultRowHeight="12" x14ac:dyDescent="0.2"/>
  <cols>
    <col min="1" max="1" width="4" style="297" customWidth="1"/>
    <col min="2" max="2" width="5.28515625" style="297" customWidth="1"/>
    <col min="3" max="3" width="8.42578125" style="297" customWidth="1"/>
    <col min="4" max="4" width="8" style="298" customWidth="1"/>
    <col min="5" max="5" width="51.28515625" style="297" customWidth="1"/>
    <col min="6" max="6" width="21" style="297" customWidth="1"/>
    <col min="7" max="7" width="13" style="297" customWidth="1"/>
    <col min="8" max="8" width="10.7109375" style="297" customWidth="1"/>
    <col min="9" max="256" width="9.140625" style="297"/>
    <col min="257" max="257" width="4" style="297" customWidth="1"/>
    <col min="258" max="258" width="5.28515625" style="297" customWidth="1"/>
    <col min="259" max="259" width="8.42578125" style="297" customWidth="1"/>
    <col min="260" max="260" width="8" style="297" customWidth="1"/>
    <col min="261" max="261" width="51.28515625" style="297" customWidth="1"/>
    <col min="262" max="262" width="21" style="297" customWidth="1"/>
    <col min="263" max="263" width="13" style="297" customWidth="1"/>
    <col min="264" max="264" width="10.7109375" style="297" customWidth="1"/>
    <col min="265" max="512" width="9.140625" style="297"/>
    <col min="513" max="513" width="4" style="297" customWidth="1"/>
    <col min="514" max="514" width="5.28515625" style="297" customWidth="1"/>
    <col min="515" max="515" width="8.42578125" style="297" customWidth="1"/>
    <col min="516" max="516" width="8" style="297" customWidth="1"/>
    <col min="517" max="517" width="51.28515625" style="297" customWidth="1"/>
    <col min="518" max="518" width="21" style="297" customWidth="1"/>
    <col min="519" max="519" width="13" style="297" customWidth="1"/>
    <col min="520" max="520" width="10.7109375" style="297" customWidth="1"/>
    <col min="521" max="768" width="9.140625" style="297"/>
    <col min="769" max="769" width="4" style="297" customWidth="1"/>
    <col min="770" max="770" width="5.28515625" style="297" customWidth="1"/>
    <col min="771" max="771" width="8.42578125" style="297" customWidth="1"/>
    <col min="772" max="772" width="8" style="297" customWidth="1"/>
    <col min="773" max="773" width="51.28515625" style="297" customWidth="1"/>
    <col min="774" max="774" width="21" style="297" customWidth="1"/>
    <col min="775" max="775" width="13" style="297" customWidth="1"/>
    <col min="776" max="776" width="10.7109375" style="297" customWidth="1"/>
    <col min="777" max="1024" width="9.140625" style="297"/>
    <col min="1025" max="1025" width="4" style="297" customWidth="1"/>
    <col min="1026" max="1026" width="5.28515625" style="297" customWidth="1"/>
    <col min="1027" max="1027" width="8.42578125" style="297" customWidth="1"/>
    <col min="1028" max="1028" width="8" style="297" customWidth="1"/>
    <col min="1029" max="1029" width="51.28515625" style="297" customWidth="1"/>
    <col min="1030" max="1030" width="21" style="297" customWidth="1"/>
    <col min="1031" max="1031" width="13" style="297" customWidth="1"/>
    <col min="1032" max="1032" width="10.7109375" style="297" customWidth="1"/>
    <col min="1033" max="1280" width="9.140625" style="297"/>
    <col min="1281" max="1281" width="4" style="297" customWidth="1"/>
    <col min="1282" max="1282" width="5.28515625" style="297" customWidth="1"/>
    <col min="1283" max="1283" width="8.42578125" style="297" customWidth="1"/>
    <col min="1284" max="1284" width="8" style="297" customWidth="1"/>
    <col min="1285" max="1285" width="51.28515625" style="297" customWidth="1"/>
    <col min="1286" max="1286" width="21" style="297" customWidth="1"/>
    <col min="1287" max="1287" width="13" style="297" customWidth="1"/>
    <col min="1288" max="1288" width="10.7109375" style="297" customWidth="1"/>
    <col min="1289" max="1536" width="9.140625" style="297"/>
    <col min="1537" max="1537" width="4" style="297" customWidth="1"/>
    <col min="1538" max="1538" width="5.28515625" style="297" customWidth="1"/>
    <col min="1539" max="1539" width="8.42578125" style="297" customWidth="1"/>
    <col min="1540" max="1540" width="8" style="297" customWidth="1"/>
    <col min="1541" max="1541" width="51.28515625" style="297" customWidth="1"/>
    <col min="1542" max="1542" width="21" style="297" customWidth="1"/>
    <col min="1543" max="1543" width="13" style="297" customWidth="1"/>
    <col min="1544" max="1544" width="10.7109375" style="297" customWidth="1"/>
    <col min="1545" max="1792" width="9.140625" style="297"/>
    <col min="1793" max="1793" width="4" style="297" customWidth="1"/>
    <col min="1794" max="1794" width="5.28515625" style="297" customWidth="1"/>
    <col min="1795" max="1795" width="8.42578125" style="297" customWidth="1"/>
    <col min="1796" max="1796" width="8" style="297" customWidth="1"/>
    <col min="1797" max="1797" width="51.28515625" style="297" customWidth="1"/>
    <col min="1798" max="1798" width="21" style="297" customWidth="1"/>
    <col min="1799" max="1799" width="13" style="297" customWidth="1"/>
    <col min="1800" max="1800" width="10.7109375" style="297" customWidth="1"/>
    <col min="1801" max="2048" width="9.140625" style="297"/>
    <col min="2049" max="2049" width="4" style="297" customWidth="1"/>
    <col min="2050" max="2050" width="5.28515625" style="297" customWidth="1"/>
    <col min="2051" max="2051" width="8.42578125" style="297" customWidth="1"/>
    <col min="2052" max="2052" width="8" style="297" customWidth="1"/>
    <col min="2053" max="2053" width="51.28515625" style="297" customWidth="1"/>
    <col min="2054" max="2054" width="21" style="297" customWidth="1"/>
    <col min="2055" max="2055" width="13" style="297" customWidth="1"/>
    <col min="2056" max="2056" width="10.7109375" style="297" customWidth="1"/>
    <col min="2057" max="2304" width="9.140625" style="297"/>
    <col min="2305" max="2305" width="4" style="297" customWidth="1"/>
    <col min="2306" max="2306" width="5.28515625" style="297" customWidth="1"/>
    <col min="2307" max="2307" width="8.42578125" style="297" customWidth="1"/>
    <col min="2308" max="2308" width="8" style="297" customWidth="1"/>
    <col min="2309" max="2309" width="51.28515625" style="297" customWidth="1"/>
    <col min="2310" max="2310" width="21" style="297" customWidth="1"/>
    <col min="2311" max="2311" width="13" style="297" customWidth="1"/>
    <col min="2312" max="2312" width="10.7109375" style="297" customWidth="1"/>
    <col min="2313" max="2560" width="9.140625" style="297"/>
    <col min="2561" max="2561" width="4" style="297" customWidth="1"/>
    <col min="2562" max="2562" width="5.28515625" style="297" customWidth="1"/>
    <col min="2563" max="2563" width="8.42578125" style="297" customWidth="1"/>
    <col min="2564" max="2564" width="8" style="297" customWidth="1"/>
    <col min="2565" max="2565" width="51.28515625" style="297" customWidth="1"/>
    <col min="2566" max="2566" width="21" style="297" customWidth="1"/>
    <col min="2567" max="2567" width="13" style="297" customWidth="1"/>
    <col min="2568" max="2568" width="10.7109375" style="297" customWidth="1"/>
    <col min="2569" max="2816" width="9.140625" style="297"/>
    <col min="2817" max="2817" width="4" style="297" customWidth="1"/>
    <col min="2818" max="2818" width="5.28515625" style="297" customWidth="1"/>
    <col min="2819" max="2819" width="8.42578125" style="297" customWidth="1"/>
    <col min="2820" max="2820" width="8" style="297" customWidth="1"/>
    <col min="2821" max="2821" width="51.28515625" style="297" customWidth="1"/>
    <col min="2822" max="2822" width="21" style="297" customWidth="1"/>
    <col min="2823" max="2823" width="13" style="297" customWidth="1"/>
    <col min="2824" max="2824" width="10.7109375" style="297" customWidth="1"/>
    <col min="2825" max="3072" width="9.140625" style="297"/>
    <col min="3073" max="3073" width="4" style="297" customWidth="1"/>
    <col min="3074" max="3074" width="5.28515625" style="297" customWidth="1"/>
    <col min="3075" max="3075" width="8.42578125" style="297" customWidth="1"/>
    <col min="3076" max="3076" width="8" style="297" customWidth="1"/>
    <col min="3077" max="3077" width="51.28515625" style="297" customWidth="1"/>
    <col min="3078" max="3078" width="21" style="297" customWidth="1"/>
    <col min="3079" max="3079" width="13" style="297" customWidth="1"/>
    <col min="3080" max="3080" width="10.7109375" style="297" customWidth="1"/>
    <col min="3081" max="3328" width="9.140625" style="297"/>
    <col min="3329" max="3329" width="4" style="297" customWidth="1"/>
    <col min="3330" max="3330" width="5.28515625" style="297" customWidth="1"/>
    <col min="3331" max="3331" width="8.42578125" style="297" customWidth="1"/>
    <col min="3332" max="3332" width="8" style="297" customWidth="1"/>
    <col min="3333" max="3333" width="51.28515625" style="297" customWidth="1"/>
    <col min="3334" max="3334" width="21" style="297" customWidth="1"/>
    <col min="3335" max="3335" width="13" style="297" customWidth="1"/>
    <col min="3336" max="3336" width="10.7109375" style="297" customWidth="1"/>
    <col min="3337" max="3584" width="9.140625" style="297"/>
    <col min="3585" max="3585" width="4" style="297" customWidth="1"/>
    <col min="3586" max="3586" width="5.28515625" style="297" customWidth="1"/>
    <col min="3587" max="3587" width="8.42578125" style="297" customWidth="1"/>
    <col min="3588" max="3588" width="8" style="297" customWidth="1"/>
    <col min="3589" max="3589" width="51.28515625" style="297" customWidth="1"/>
    <col min="3590" max="3590" width="21" style="297" customWidth="1"/>
    <col min="3591" max="3591" width="13" style="297" customWidth="1"/>
    <col min="3592" max="3592" width="10.7109375" style="297" customWidth="1"/>
    <col min="3593" max="3840" width="9.140625" style="297"/>
    <col min="3841" max="3841" width="4" style="297" customWidth="1"/>
    <col min="3842" max="3842" width="5.28515625" style="297" customWidth="1"/>
    <col min="3843" max="3843" width="8.42578125" style="297" customWidth="1"/>
    <col min="3844" max="3844" width="8" style="297" customWidth="1"/>
    <col min="3845" max="3845" width="51.28515625" style="297" customWidth="1"/>
    <col min="3846" max="3846" width="21" style="297" customWidth="1"/>
    <col min="3847" max="3847" width="13" style="297" customWidth="1"/>
    <col min="3848" max="3848" width="10.7109375" style="297" customWidth="1"/>
    <col min="3849" max="4096" width="9.140625" style="297"/>
    <col min="4097" max="4097" width="4" style="297" customWidth="1"/>
    <col min="4098" max="4098" width="5.28515625" style="297" customWidth="1"/>
    <col min="4099" max="4099" width="8.42578125" style="297" customWidth="1"/>
    <col min="4100" max="4100" width="8" style="297" customWidth="1"/>
    <col min="4101" max="4101" width="51.28515625" style="297" customWidth="1"/>
    <col min="4102" max="4102" width="21" style="297" customWidth="1"/>
    <col min="4103" max="4103" width="13" style="297" customWidth="1"/>
    <col min="4104" max="4104" width="10.7109375" style="297" customWidth="1"/>
    <col min="4105" max="4352" width="9.140625" style="297"/>
    <col min="4353" max="4353" width="4" style="297" customWidth="1"/>
    <col min="4354" max="4354" width="5.28515625" style="297" customWidth="1"/>
    <col min="4355" max="4355" width="8.42578125" style="297" customWidth="1"/>
    <col min="4356" max="4356" width="8" style="297" customWidth="1"/>
    <col min="4357" max="4357" width="51.28515625" style="297" customWidth="1"/>
    <col min="4358" max="4358" width="21" style="297" customWidth="1"/>
    <col min="4359" max="4359" width="13" style="297" customWidth="1"/>
    <col min="4360" max="4360" width="10.7109375" style="297" customWidth="1"/>
    <col min="4361" max="4608" width="9.140625" style="297"/>
    <col min="4609" max="4609" width="4" style="297" customWidth="1"/>
    <col min="4610" max="4610" width="5.28515625" style="297" customWidth="1"/>
    <col min="4611" max="4611" width="8.42578125" style="297" customWidth="1"/>
    <col min="4612" max="4612" width="8" style="297" customWidth="1"/>
    <col min="4613" max="4613" width="51.28515625" style="297" customWidth="1"/>
    <col min="4614" max="4614" width="21" style="297" customWidth="1"/>
    <col min="4615" max="4615" width="13" style="297" customWidth="1"/>
    <col min="4616" max="4616" width="10.7109375" style="297" customWidth="1"/>
    <col min="4617" max="4864" width="9.140625" style="297"/>
    <col min="4865" max="4865" width="4" style="297" customWidth="1"/>
    <col min="4866" max="4866" width="5.28515625" style="297" customWidth="1"/>
    <col min="4867" max="4867" width="8.42578125" style="297" customWidth="1"/>
    <col min="4868" max="4868" width="8" style="297" customWidth="1"/>
    <col min="4869" max="4869" width="51.28515625" style="297" customWidth="1"/>
    <col min="4870" max="4870" width="21" style="297" customWidth="1"/>
    <col min="4871" max="4871" width="13" style="297" customWidth="1"/>
    <col min="4872" max="4872" width="10.7109375" style="297" customWidth="1"/>
    <col min="4873" max="5120" width="9.140625" style="297"/>
    <col min="5121" max="5121" width="4" style="297" customWidth="1"/>
    <col min="5122" max="5122" width="5.28515625" style="297" customWidth="1"/>
    <col min="5123" max="5123" width="8.42578125" style="297" customWidth="1"/>
    <col min="5124" max="5124" width="8" style="297" customWidth="1"/>
    <col min="5125" max="5125" width="51.28515625" style="297" customWidth="1"/>
    <col min="5126" max="5126" width="21" style="297" customWidth="1"/>
    <col min="5127" max="5127" width="13" style="297" customWidth="1"/>
    <col min="5128" max="5128" width="10.7109375" style="297" customWidth="1"/>
    <col min="5129" max="5376" width="9.140625" style="297"/>
    <col min="5377" max="5377" width="4" style="297" customWidth="1"/>
    <col min="5378" max="5378" width="5.28515625" style="297" customWidth="1"/>
    <col min="5379" max="5379" width="8.42578125" style="297" customWidth="1"/>
    <col min="5380" max="5380" width="8" style="297" customWidth="1"/>
    <col min="5381" max="5381" width="51.28515625" style="297" customWidth="1"/>
    <col min="5382" max="5382" width="21" style="297" customWidth="1"/>
    <col min="5383" max="5383" width="13" style="297" customWidth="1"/>
    <col min="5384" max="5384" width="10.7109375" style="297" customWidth="1"/>
    <col min="5385" max="5632" width="9.140625" style="297"/>
    <col min="5633" max="5633" width="4" style="297" customWidth="1"/>
    <col min="5634" max="5634" width="5.28515625" style="297" customWidth="1"/>
    <col min="5635" max="5635" width="8.42578125" style="297" customWidth="1"/>
    <col min="5636" max="5636" width="8" style="297" customWidth="1"/>
    <col min="5637" max="5637" width="51.28515625" style="297" customWidth="1"/>
    <col min="5638" max="5638" width="21" style="297" customWidth="1"/>
    <col min="5639" max="5639" width="13" style="297" customWidth="1"/>
    <col min="5640" max="5640" width="10.7109375" style="297" customWidth="1"/>
    <col min="5641" max="5888" width="9.140625" style="297"/>
    <col min="5889" max="5889" width="4" style="297" customWidth="1"/>
    <col min="5890" max="5890" width="5.28515625" style="297" customWidth="1"/>
    <col min="5891" max="5891" width="8.42578125" style="297" customWidth="1"/>
    <col min="5892" max="5892" width="8" style="297" customWidth="1"/>
    <col min="5893" max="5893" width="51.28515625" style="297" customWidth="1"/>
    <col min="5894" max="5894" width="21" style="297" customWidth="1"/>
    <col min="5895" max="5895" width="13" style="297" customWidth="1"/>
    <col min="5896" max="5896" width="10.7109375" style="297" customWidth="1"/>
    <col min="5897" max="6144" width="9.140625" style="297"/>
    <col min="6145" max="6145" width="4" style="297" customWidth="1"/>
    <col min="6146" max="6146" width="5.28515625" style="297" customWidth="1"/>
    <col min="6147" max="6147" width="8.42578125" style="297" customWidth="1"/>
    <col min="6148" max="6148" width="8" style="297" customWidth="1"/>
    <col min="6149" max="6149" width="51.28515625" style="297" customWidth="1"/>
    <col min="6150" max="6150" width="21" style="297" customWidth="1"/>
    <col min="6151" max="6151" width="13" style="297" customWidth="1"/>
    <col min="6152" max="6152" width="10.7109375" style="297" customWidth="1"/>
    <col min="6153" max="6400" width="9.140625" style="297"/>
    <col min="6401" max="6401" width="4" style="297" customWidth="1"/>
    <col min="6402" max="6402" width="5.28515625" style="297" customWidth="1"/>
    <col min="6403" max="6403" width="8.42578125" style="297" customWidth="1"/>
    <col min="6404" max="6404" width="8" style="297" customWidth="1"/>
    <col min="6405" max="6405" width="51.28515625" style="297" customWidth="1"/>
    <col min="6406" max="6406" width="21" style="297" customWidth="1"/>
    <col min="6407" max="6407" width="13" style="297" customWidth="1"/>
    <col min="6408" max="6408" width="10.7109375" style="297" customWidth="1"/>
    <col min="6409" max="6656" width="9.140625" style="297"/>
    <col min="6657" max="6657" width="4" style="297" customWidth="1"/>
    <col min="6658" max="6658" width="5.28515625" style="297" customWidth="1"/>
    <col min="6659" max="6659" width="8.42578125" style="297" customWidth="1"/>
    <col min="6660" max="6660" width="8" style="297" customWidth="1"/>
    <col min="6661" max="6661" width="51.28515625" style="297" customWidth="1"/>
    <col min="6662" max="6662" width="21" style="297" customWidth="1"/>
    <col min="6663" max="6663" width="13" style="297" customWidth="1"/>
    <col min="6664" max="6664" width="10.7109375" style="297" customWidth="1"/>
    <col min="6665" max="6912" width="9.140625" style="297"/>
    <col min="6913" max="6913" width="4" style="297" customWidth="1"/>
    <col min="6914" max="6914" width="5.28515625" style="297" customWidth="1"/>
    <col min="6915" max="6915" width="8.42578125" style="297" customWidth="1"/>
    <col min="6916" max="6916" width="8" style="297" customWidth="1"/>
    <col min="6917" max="6917" width="51.28515625" style="297" customWidth="1"/>
    <col min="6918" max="6918" width="21" style="297" customWidth="1"/>
    <col min="6919" max="6919" width="13" style="297" customWidth="1"/>
    <col min="6920" max="6920" width="10.7109375" style="297" customWidth="1"/>
    <col min="6921" max="7168" width="9.140625" style="297"/>
    <col min="7169" max="7169" width="4" style="297" customWidth="1"/>
    <col min="7170" max="7170" width="5.28515625" style="297" customWidth="1"/>
    <col min="7171" max="7171" width="8.42578125" style="297" customWidth="1"/>
    <col min="7172" max="7172" width="8" style="297" customWidth="1"/>
    <col min="7173" max="7173" width="51.28515625" style="297" customWidth="1"/>
    <col min="7174" max="7174" width="21" style="297" customWidth="1"/>
    <col min="7175" max="7175" width="13" style="297" customWidth="1"/>
    <col min="7176" max="7176" width="10.7109375" style="297" customWidth="1"/>
    <col min="7177" max="7424" width="9.140625" style="297"/>
    <col min="7425" max="7425" width="4" style="297" customWidth="1"/>
    <col min="7426" max="7426" width="5.28515625" style="297" customWidth="1"/>
    <col min="7427" max="7427" width="8.42578125" style="297" customWidth="1"/>
    <col min="7428" max="7428" width="8" style="297" customWidth="1"/>
    <col min="7429" max="7429" width="51.28515625" style="297" customWidth="1"/>
    <col min="7430" max="7430" width="21" style="297" customWidth="1"/>
    <col min="7431" max="7431" width="13" style="297" customWidth="1"/>
    <col min="7432" max="7432" width="10.7109375" style="297" customWidth="1"/>
    <col min="7433" max="7680" width="9.140625" style="297"/>
    <col min="7681" max="7681" width="4" style="297" customWidth="1"/>
    <col min="7682" max="7682" width="5.28515625" style="297" customWidth="1"/>
    <col min="7683" max="7683" width="8.42578125" style="297" customWidth="1"/>
    <col min="7684" max="7684" width="8" style="297" customWidth="1"/>
    <col min="7685" max="7685" width="51.28515625" style="297" customWidth="1"/>
    <col min="7686" max="7686" width="21" style="297" customWidth="1"/>
    <col min="7687" max="7687" width="13" style="297" customWidth="1"/>
    <col min="7688" max="7688" width="10.7109375" style="297" customWidth="1"/>
    <col min="7689" max="7936" width="9.140625" style="297"/>
    <col min="7937" max="7937" width="4" style="297" customWidth="1"/>
    <col min="7938" max="7938" width="5.28515625" style="297" customWidth="1"/>
    <col min="7939" max="7939" width="8.42578125" style="297" customWidth="1"/>
    <col min="7940" max="7940" width="8" style="297" customWidth="1"/>
    <col min="7941" max="7941" width="51.28515625" style="297" customWidth="1"/>
    <col min="7942" max="7942" width="21" style="297" customWidth="1"/>
    <col min="7943" max="7943" width="13" style="297" customWidth="1"/>
    <col min="7944" max="7944" width="10.7109375" style="297" customWidth="1"/>
    <col min="7945" max="8192" width="9.140625" style="297"/>
    <col min="8193" max="8193" width="4" style="297" customWidth="1"/>
    <col min="8194" max="8194" width="5.28515625" style="297" customWidth="1"/>
    <col min="8195" max="8195" width="8.42578125" style="297" customWidth="1"/>
    <col min="8196" max="8196" width="8" style="297" customWidth="1"/>
    <col min="8197" max="8197" width="51.28515625" style="297" customWidth="1"/>
    <col min="8198" max="8198" width="21" style="297" customWidth="1"/>
    <col min="8199" max="8199" width="13" style="297" customWidth="1"/>
    <col min="8200" max="8200" width="10.7109375" style="297" customWidth="1"/>
    <col min="8201" max="8448" width="9.140625" style="297"/>
    <col min="8449" max="8449" width="4" style="297" customWidth="1"/>
    <col min="8450" max="8450" width="5.28515625" style="297" customWidth="1"/>
    <col min="8451" max="8451" width="8.42578125" style="297" customWidth="1"/>
    <col min="8452" max="8452" width="8" style="297" customWidth="1"/>
    <col min="8453" max="8453" width="51.28515625" style="297" customWidth="1"/>
    <col min="8454" max="8454" width="21" style="297" customWidth="1"/>
    <col min="8455" max="8455" width="13" style="297" customWidth="1"/>
    <col min="8456" max="8456" width="10.7109375" style="297" customWidth="1"/>
    <col min="8457" max="8704" width="9.140625" style="297"/>
    <col min="8705" max="8705" width="4" style="297" customWidth="1"/>
    <col min="8706" max="8706" width="5.28515625" style="297" customWidth="1"/>
    <col min="8707" max="8707" width="8.42578125" style="297" customWidth="1"/>
    <col min="8708" max="8708" width="8" style="297" customWidth="1"/>
    <col min="8709" max="8709" width="51.28515625" style="297" customWidth="1"/>
    <col min="8710" max="8710" width="21" style="297" customWidth="1"/>
    <col min="8711" max="8711" width="13" style="297" customWidth="1"/>
    <col min="8712" max="8712" width="10.7109375" style="297" customWidth="1"/>
    <col min="8713" max="8960" width="9.140625" style="297"/>
    <col min="8961" max="8961" width="4" style="297" customWidth="1"/>
    <col min="8962" max="8962" width="5.28515625" style="297" customWidth="1"/>
    <col min="8963" max="8963" width="8.42578125" style="297" customWidth="1"/>
    <col min="8964" max="8964" width="8" style="297" customWidth="1"/>
    <col min="8965" max="8965" width="51.28515625" style="297" customWidth="1"/>
    <col min="8966" max="8966" width="21" style="297" customWidth="1"/>
    <col min="8967" max="8967" width="13" style="297" customWidth="1"/>
    <col min="8968" max="8968" width="10.7109375" style="297" customWidth="1"/>
    <col min="8969" max="9216" width="9.140625" style="297"/>
    <col min="9217" max="9217" width="4" style="297" customWidth="1"/>
    <col min="9218" max="9218" width="5.28515625" style="297" customWidth="1"/>
    <col min="9219" max="9219" width="8.42578125" style="297" customWidth="1"/>
    <col min="9220" max="9220" width="8" style="297" customWidth="1"/>
    <col min="9221" max="9221" width="51.28515625" style="297" customWidth="1"/>
    <col min="9222" max="9222" width="21" style="297" customWidth="1"/>
    <col min="9223" max="9223" width="13" style="297" customWidth="1"/>
    <col min="9224" max="9224" width="10.7109375" style="297" customWidth="1"/>
    <col min="9225" max="9472" width="9.140625" style="297"/>
    <col min="9473" max="9473" width="4" style="297" customWidth="1"/>
    <col min="9474" max="9474" width="5.28515625" style="297" customWidth="1"/>
    <col min="9475" max="9475" width="8.42578125" style="297" customWidth="1"/>
    <col min="9476" max="9476" width="8" style="297" customWidth="1"/>
    <col min="9477" max="9477" width="51.28515625" style="297" customWidth="1"/>
    <col min="9478" max="9478" width="21" style="297" customWidth="1"/>
    <col min="9479" max="9479" width="13" style="297" customWidth="1"/>
    <col min="9480" max="9480" width="10.7109375" style="297" customWidth="1"/>
    <col min="9481" max="9728" width="9.140625" style="297"/>
    <col min="9729" max="9729" width="4" style="297" customWidth="1"/>
    <col min="9730" max="9730" width="5.28515625" style="297" customWidth="1"/>
    <col min="9731" max="9731" width="8.42578125" style="297" customWidth="1"/>
    <col min="9732" max="9732" width="8" style="297" customWidth="1"/>
    <col min="9733" max="9733" width="51.28515625" style="297" customWidth="1"/>
    <col min="9734" max="9734" width="21" style="297" customWidth="1"/>
    <col min="9735" max="9735" width="13" style="297" customWidth="1"/>
    <col min="9736" max="9736" width="10.7109375" style="297" customWidth="1"/>
    <col min="9737" max="9984" width="9.140625" style="297"/>
    <col min="9985" max="9985" width="4" style="297" customWidth="1"/>
    <col min="9986" max="9986" width="5.28515625" style="297" customWidth="1"/>
    <col min="9987" max="9987" width="8.42578125" style="297" customWidth="1"/>
    <col min="9988" max="9988" width="8" style="297" customWidth="1"/>
    <col min="9989" max="9989" width="51.28515625" style="297" customWidth="1"/>
    <col min="9990" max="9990" width="21" style="297" customWidth="1"/>
    <col min="9991" max="9991" width="13" style="297" customWidth="1"/>
    <col min="9992" max="9992" width="10.7109375" style="297" customWidth="1"/>
    <col min="9993" max="10240" width="9.140625" style="297"/>
    <col min="10241" max="10241" width="4" style="297" customWidth="1"/>
    <col min="10242" max="10242" width="5.28515625" style="297" customWidth="1"/>
    <col min="10243" max="10243" width="8.42578125" style="297" customWidth="1"/>
    <col min="10244" max="10244" width="8" style="297" customWidth="1"/>
    <col min="10245" max="10245" width="51.28515625" style="297" customWidth="1"/>
    <col min="10246" max="10246" width="21" style="297" customWidth="1"/>
    <col min="10247" max="10247" width="13" style="297" customWidth="1"/>
    <col min="10248" max="10248" width="10.7109375" style="297" customWidth="1"/>
    <col min="10249" max="10496" width="9.140625" style="297"/>
    <col min="10497" max="10497" width="4" style="297" customWidth="1"/>
    <col min="10498" max="10498" width="5.28515625" style="297" customWidth="1"/>
    <col min="10499" max="10499" width="8.42578125" style="297" customWidth="1"/>
    <col min="10500" max="10500" width="8" style="297" customWidth="1"/>
    <col min="10501" max="10501" width="51.28515625" style="297" customWidth="1"/>
    <col min="10502" max="10502" width="21" style="297" customWidth="1"/>
    <col min="10503" max="10503" width="13" style="297" customWidth="1"/>
    <col min="10504" max="10504" width="10.7109375" style="297" customWidth="1"/>
    <col min="10505" max="10752" width="9.140625" style="297"/>
    <col min="10753" max="10753" width="4" style="297" customWidth="1"/>
    <col min="10754" max="10754" width="5.28515625" style="297" customWidth="1"/>
    <col min="10755" max="10755" width="8.42578125" style="297" customWidth="1"/>
    <col min="10756" max="10756" width="8" style="297" customWidth="1"/>
    <col min="10757" max="10757" width="51.28515625" style="297" customWidth="1"/>
    <col min="10758" max="10758" width="21" style="297" customWidth="1"/>
    <col min="10759" max="10759" width="13" style="297" customWidth="1"/>
    <col min="10760" max="10760" width="10.7109375" style="297" customWidth="1"/>
    <col min="10761" max="11008" width="9.140625" style="297"/>
    <col min="11009" max="11009" width="4" style="297" customWidth="1"/>
    <col min="11010" max="11010" width="5.28515625" style="297" customWidth="1"/>
    <col min="11011" max="11011" width="8.42578125" style="297" customWidth="1"/>
    <col min="11012" max="11012" width="8" style="297" customWidth="1"/>
    <col min="11013" max="11013" width="51.28515625" style="297" customWidth="1"/>
    <col min="11014" max="11014" width="21" style="297" customWidth="1"/>
    <col min="11015" max="11015" width="13" style="297" customWidth="1"/>
    <col min="11016" max="11016" width="10.7109375" style="297" customWidth="1"/>
    <col min="11017" max="11264" width="9.140625" style="297"/>
    <col min="11265" max="11265" width="4" style="297" customWidth="1"/>
    <col min="11266" max="11266" width="5.28515625" style="297" customWidth="1"/>
    <col min="11267" max="11267" width="8.42578125" style="297" customWidth="1"/>
    <col min="11268" max="11268" width="8" style="297" customWidth="1"/>
    <col min="11269" max="11269" width="51.28515625" style="297" customWidth="1"/>
    <col min="11270" max="11270" width="21" style="297" customWidth="1"/>
    <col min="11271" max="11271" width="13" style="297" customWidth="1"/>
    <col min="11272" max="11272" width="10.7109375" style="297" customWidth="1"/>
    <col min="11273" max="11520" width="9.140625" style="297"/>
    <col min="11521" max="11521" width="4" style="297" customWidth="1"/>
    <col min="11522" max="11522" width="5.28515625" style="297" customWidth="1"/>
    <col min="11523" max="11523" width="8.42578125" style="297" customWidth="1"/>
    <col min="11524" max="11524" width="8" style="297" customWidth="1"/>
    <col min="11525" max="11525" width="51.28515625" style="297" customWidth="1"/>
    <col min="11526" max="11526" width="21" style="297" customWidth="1"/>
    <col min="11527" max="11527" width="13" style="297" customWidth="1"/>
    <col min="11528" max="11528" width="10.7109375" style="297" customWidth="1"/>
    <col min="11529" max="11776" width="9.140625" style="297"/>
    <col min="11777" max="11777" width="4" style="297" customWidth="1"/>
    <col min="11778" max="11778" width="5.28515625" style="297" customWidth="1"/>
    <col min="11779" max="11779" width="8.42578125" style="297" customWidth="1"/>
    <col min="11780" max="11780" width="8" style="297" customWidth="1"/>
    <col min="11781" max="11781" width="51.28515625" style="297" customWidth="1"/>
    <col min="11782" max="11782" width="21" style="297" customWidth="1"/>
    <col min="11783" max="11783" width="13" style="297" customWidth="1"/>
    <col min="11784" max="11784" width="10.7109375" style="297" customWidth="1"/>
    <col min="11785" max="12032" width="9.140625" style="297"/>
    <col min="12033" max="12033" width="4" style="297" customWidth="1"/>
    <col min="12034" max="12034" width="5.28515625" style="297" customWidth="1"/>
    <col min="12035" max="12035" width="8.42578125" style="297" customWidth="1"/>
    <col min="12036" max="12036" width="8" style="297" customWidth="1"/>
    <col min="12037" max="12037" width="51.28515625" style="297" customWidth="1"/>
    <col min="12038" max="12038" width="21" style="297" customWidth="1"/>
    <col min="12039" max="12039" width="13" style="297" customWidth="1"/>
    <col min="12040" max="12040" width="10.7109375" style="297" customWidth="1"/>
    <col min="12041" max="12288" width="9.140625" style="297"/>
    <col min="12289" max="12289" width="4" style="297" customWidth="1"/>
    <col min="12290" max="12290" width="5.28515625" style="297" customWidth="1"/>
    <col min="12291" max="12291" width="8.42578125" style="297" customWidth="1"/>
    <col min="12292" max="12292" width="8" style="297" customWidth="1"/>
    <col min="12293" max="12293" width="51.28515625" style="297" customWidth="1"/>
    <col min="12294" max="12294" width="21" style="297" customWidth="1"/>
    <col min="12295" max="12295" width="13" style="297" customWidth="1"/>
    <col min="12296" max="12296" width="10.7109375" style="297" customWidth="1"/>
    <col min="12297" max="12544" width="9.140625" style="297"/>
    <col min="12545" max="12545" width="4" style="297" customWidth="1"/>
    <col min="12546" max="12546" width="5.28515625" style="297" customWidth="1"/>
    <col min="12547" max="12547" width="8.42578125" style="297" customWidth="1"/>
    <col min="12548" max="12548" width="8" style="297" customWidth="1"/>
    <col min="12549" max="12549" width="51.28515625" style="297" customWidth="1"/>
    <col min="12550" max="12550" width="21" style="297" customWidth="1"/>
    <col min="12551" max="12551" width="13" style="297" customWidth="1"/>
    <col min="12552" max="12552" width="10.7109375" style="297" customWidth="1"/>
    <col min="12553" max="12800" width="9.140625" style="297"/>
    <col min="12801" max="12801" width="4" style="297" customWidth="1"/>
    <col min="12802" max="12802" width="5.28515625" style="297" customWidth="1"/>
    <col min="12803" max="12803" width="8.42578125" style="297" customWidth="1"/>
    <col min="12804" max="12804" width="8" style="297" customWidth="1"/>
    <col min="12805" max="12805" width="51.28515625" style="297" customWidth="1"/>
    <col min="12806" max="12806" width="21" style="297" customWidth="1"/>
    <col min="12807" max="12807" width="13" style="297" customWidth="1"/>
    <col min="12808" max="12808" width="10.7109375" style="297" customWidth="1"/>
    <col min="12809" max="13056" width="9.140625" style="297"/>
    <col min="13057" max="13057" width="4" style="297" customWidth="1"/>
    <col min="13058" max="13058" width="5.28515625" style="297" customWidth="1"/>
    <col min="13059" max="13059" width="8.42578125" style="297" customWidth="1"/>
    <col min="13060" max="13060" width="8" style="297" customWidth="1"/>
    <col min="13061" max="13061" width="51.28515625" style="297" customWidth="1"/>
    <col min="13062" max="13062" width="21" style="297" customWidth="1"/>
    <col min="13063" max="13063" width="13" style="297" customWidth="1"/>
    <col min="13064" max="13064" width="10.7109375" style="297" customWidth="1"/>
    <col min="13065" max="13312" width="9.140625" style="297"/>
    <col min="13313" max="13313" width="4" style="297" customWidth="1"/>
    <col min="13314" max="13314" width="5.28515625" style="297" customWidth="1"/>
    <col min="13315" max="13315" width="8.42578125" style="297" customWidth="1"/>
    <col min="13316" max="13316" width="8" style="297" customWidth="1"/>
    <col min="13317" max="13317" width="51.28515625" style="297" customWidth="1"/>
    <col min="13318" max="13318" width="21" style="297" customWidth="1"/>
    <col min="13319" max="13319" width="13" style="297" customWidth="1"/>
    <col min="13320" max="13320" width="10.7109375" style="297" customWidth="1"/>
    <col min="13321" max="13568" width="9.140625" style="297"/>
    <col min="13569" max="13569" width="4" style="297" customWidth="1"/>
    <col min="13570" max="13570" width="5.28515625" style="297" customWidth="1"/>
    <col min="13571" max="13571" width="8.42578125" style="297" customWidth="1"/>
    <col min="13572" max="13572" width="8" style="297" customWidth="1"/>
    <col min="13573" max="13573" width="51.28515625" style="297" customWidth="1"/>
    <col min="13574" max="13574" width="21" style="297" customWidth="1"/>
    <col min="13575" max="13575" width="13" style="297" customWidth="1"/>
    <col min="13576" max="13576" width="10.7109375" style="297" customWidth="1"/>
    <col min="13577" max="13824" width="9.140625" style="297"/>
    <col min="13825" max="13825" width="4" style="297" customWidth="1"/>
    <col min="13826" max="13826" width="5.28515625" style="297" customWidth="1"/>
    <col min="13827" max="13827" width="8.42578125" style="297" customWidth="1"/>
    <col min="13828" max="13828" width="8" style="297" customWidth="1"/>
    <col min="13829" max="13829" width="51.28515625" style="297" customWidth="1"/>
    <col min="13830" max="13830" width="21" style="297" customWidth="1"/>
    <col min="13831" max="13831" width="13" style="297" customWidth="1"/>
    <col min="13832" max="13832" width="10.7109375" style="297" customWidth="1"/>
    <col min="13833" max="14080" width="9.140625" style="297"/>
    <col min="14081" max="14081" width="4" style="297" customWidth="1"/>
    <col min="14082" max="14082" width="5.28515625" style="297" customWidth="1"/>
    <col min="14083" max="14083" width="8.42578125" style="297" customWidth="1"/>
    <col min="14084" max="14084" width="8" style="297" customWidth="1"/>
    <col min="14085" max="14085" width="51.28515625" style="297" customWidth="1"/>
    <col min="14086" max="14086" width="21" style="297" customWidth="1"/>
    <col min="14087" max="14087" width="13" style="297" customWidth="1"/>
    <col min="14088" max="14088" width="10.7109375" style="297" customWidth="1"/>
    <col min="14089" max="14336" width="9.140625" style="297"/>
    <col min="14337" max="14337" width="4" style="297" customWidth="1"/>
    <col min="14338" max="14338" width="5.28515625" style="297" customWidth="1"/>
    <col min="14339" max="14339" width="8.42578125" style="297" customWidth="1"/>
    <col min="14340" max="14340" width="8" style="297" customWidth="1"/>
    <col min="14341" max="14341" width="51.28515625" style="297" customWidth="1"/>
    <col min="14342" max="14342" width="21" style="297" customWidth="1"/>
    <col min="14343" max="14343" width="13" style="297" customWidth="1"/>
    <col min="14344" max="14344" width="10.7109375" style="297" customWidth="1"/>
    <col min="14345" max="14592" width="9.140625" style="297"/>
    <col min="14593" max="14593" width="4" style="297" customWidth="1"/>
    <col min="14594" max="14594" width="5.28515625" style="297" customWidth="1"/>
    <col min="14595" max="14595" width="8.42578125" style="297" customWidth="1"/>
    <col min="14596" max="14596" width="8" style="297" customWidth="1"/>
    <col min="14597" max="14597" width="51.28515625" style="297" customWidth="1"/>
    <col min="14598" max="14598" width="21" style="297" customWidth="1"/>
    <col min="14599" max="14599" width="13" style="297" customWidth="1"/>
    <col min="14600" max="14600" width="10.7109375" style="297" customWidth="1"/>
    <col min="14601" max="14848" width="9.140625" style="297"/>
    <col min="14849" max="14849" width="4" style="297" customWidth="1"/>
    <col min="14850" max="14850" width="5.28515625" style="297" customWidth="1"/>
    <col min="14851" max="14851" width="8.42578125" style="297" customWidth="1"/>
    <col min="14852" max="14852" width="8" style="297" customWidth="1"/>
    <col min="14853" max="14853" width="51.28515625" style="297" customWidth="1"/>
    <col min="14854" max="14854" width="21" style="297" customWidth="1"/>
    <col min="14855" max="14855" width="13" style="297" customWidth="1"/>
    <col min="14856" max="14856" width="10.7109375" style="297" customWidth="1"/>
    <col min="14857" max="15104" width="9.140625" style="297"/>
    <col min="15105" max="15105" width="4" style="297" customWidth="1"/>
    <col min="15106" max="15106" width="5.28515625" style="297" customWidth="1"/>
    <col min="15107" max="15107" width="8.42578125" style="297" customWidth="1"/>
    <col min="15108" max="15108" width="8" style="297" customWidth="1"/>
    <col min="15109" max="15109" width="51.28515625" style="297" customWidth="1"/>
    <col min="15110" max="15110" width="21" style="297" customWidth="1"/>
    <col min="15111" max="15111" width="13" style="297" customWidth="1"/>
    <col min="15112" max="15112" width="10.7109375" style="297" customWidth="1"/>
    <col min="15113" max="15360" width="9.140625" style="297"/>
    <col min="15361" max="15361" width="4" style="297" customWidth="1"/>
    <col min="15362" max="15362" width="5.28515625" style="297" customWidth="1"/>
    <col min="15363" max="15363" width="8.42578125" style="297" customWidth="1"/>
    <col min="15364" max="15364" width="8" style="297" customWidth="1"/>
    <col min="15365" max="15365" width="51.28515625" style="297" customWidth="1"/>
    <col min="15366" max="15366" width="21" style="297" customWidth="1"/>
    <col min="15367" max="15367" width="13" style="297" customWidth="1"/>
    <col min="15368" max="15368" width="10.7109375" style="297" customWidth="1"/>
    <col min="15369" max="15616" width="9.140625" style="297"/>
    <col min="15617" max="15617" width="4" style="297" customWidth="1"/>
    <col min="15618" max="15618" width="5.28515625" style="297" customWidth="1"/>
    <col min="15619" max="15619" width="8.42578125" style="297" customWidth="1"/>
    <col min="15620" max="15620" width="8" style="297" customWidth="1"/>
    <col min="15621" max="15621" width="51.28515625" style="297" customWidth="1"/>
    <col min="15622" max="15622" width="21" style="297" customWidth="1"/>
    <col min="15623" max="15623" width="13" style="297" customWidth="1"/>
    <col min="15624" max="15624" width="10.7109375" style="297" customWidth="1"/>
    <col min="15625" max="15872" width="9.140625" style="297"/>
    <col min="15873" max="15873" width="4" style="297" customWidth="1"/>
    <col min="15874" max="15874" width="5.28515625" style="297" customWidth="1"/>
    <col min="15875" max="15875" width="8.42578125" style="297" customWidth="1"/>
    <col min="15876" max="15876" width="8" style="297" customWidth="1"/>
    <col min="15877" max="15877" width="51.28515625" style="297" customWidth="1"/>
    <col min="15878" max="15878" width="21" style="297" customWidth="1"/>
    <col min="15879" max="15879" width="13" style="297" customWidth="1"/>
    <col min="15880" max="15880" width="10.7109375" style="297" customWidth="1"/>
    <col min="15881" max="16128" width="9.140625" style="297"/>
    <col min="16129" max="16129" width="4" style="297" customWidth="1"/>
    <col min="16130" max="16130" width="5.28515625" style="297" customWidth="1"/>
    <col min="16131" max="16131" width="8.42578125" style="297" customWidth="1"/>
    <col min="16132" max="16132" width="8" style="297" customWidth="1"/>
    <col min="16133" max="16133" width="51.28515625" style="297" customWidth="1"/>
    <col min="16134" max="16134" width="21" style="297" customWidth="1"/>
    <col min="16135" max="16135" width="13" style="297" customWidth="1"/>
    <col min="16136" max="16136" width="10.7109375" style="297" customWidth="1"/>
    <col min="16137" max="16384" width="9.140625" style="297"/>
  </cols>
  <sheetData>
    <row r="1" spans="1:8" ht="12" customHeight="1" x14ac:dyDescent="0.2">
      <c r="F1" s="299" t="s">
        <v>355</v>
      </c>
    </row>
    <row r="2" spans="1:8" ht="12" customHeight="1" x14ac:dyDescent="0.2">
      <c r="E2" s="300"/>
      <c r="F2" s="3" t="s">
        <v>289</v>
      </c>
    </row>
    <row r="3" spans="1:8" ht="12" customHeight="1" x14ac:dyDescent="0.2">
      <c r="E3" s="300"/>
      <c r="F3" s="3" t="s">
        <v>0</v>
      </c>
    </row>
    <row r="4" spans="1:8" ht="12" customHeight="1" x14ac:dyDescent="0.2">
      <c r="E4" s="300"/>
      <c r="F4" s="3" t="s">
        <v>290</v>
      </c>
    </row>
    <row r="5" spans="1:8" x14ac:dyDescent="0.2">
      <c r="E5" s="300"/>
      <c r="F5" s="300"/>
    </row>
    <row r="6" spans="1:8" ht="15" customHeight="1" x14ac:dyDescent="0.2">
      <c r="A6" s="719" t="s">
        <v>356</v>
      </c>
      <c r="B6" s="719"/>
      <c r="C6" s="719"/>
      <c r="D6" s="719"/>
      <c r="E6" s="719"/>
      <c r="F6" s="719"/>
    </row>
    <row r="7" spans="1:8" ht="15" customHeight="1" x14ac:dyDescent="0.2">
      <c r="A7" s="719" t="s">
        <v>357</v>
      </c>
      <c r="B7" s="719"/>
      <c r="C7" s="719"/>
      <c r="D7" s="719"/>
      <c r="E7" s="719"/>
      <c r="F7" s="719"/>
    </row>
    <row r="8" spans="1:8" ht="18" customHeight="1" x14ac:dyDescent="0.2">
      <c r="E8" s="301"/>
      <c r="F8" s="301"/>
    </row>
    <row r="9" spans="1:8" ht="12" customHeight="1" x14ac:dyDescent="0.2">
      <c r="E9" s="302"/>
      <c r="F9" s="303" t="s">
        <v>2</v>
      </c>
    </row>
    <row r="10" spans="1:8" ht="19.5" customHeight="1" x14ac:dyDescent="0.2">
      <c r="A10" s="304" t="s">
        <v>358</v>
      </c>
      <c r="B10" s="304" t="s">
        <v>301</v>
      </c>
      <c r="C10" s="304" t="s">
        <v>335</v>
      </c>
      <c r="D10" s="305" t="s">
        <v>359</v>
      </c>
      <c r="E10" s="304" t="s">
        <v>360</v>
      </c>
      <c r="F10" s="304" t="s">
        <v>361</v>
      </c>
    </row>
    <row r="11" spans="1:8" s="308" customFormat="1" ht="9.75" customHeight="1" x14ac:dyDescent="0.15">
      <c r="A11" s="306">
        <v>1</v>
      </c>
      <c r="B11" s="306">
        <v>2</v>
      </c>
      <c r="C11" s="306">
        <v>3</v>
      </c>
      <c r="D11" s="307">
        <v>4</v>
      </c>
      <c r="E11" s="306">
        <v>5</v>
      </c>
      <c r="F11" s="306">
        <v>6</v>
      </c>
    </row>
    <row r="12" spans="1:8" ht="18" customHeight="1" x14ac:dyDescent="0.2">
      <c r="A12" s="309" t="s">
        <v>362</v>
      </c>
      <c r="B12" s="310"/>
      <c r="C12" s="310"/>
      <c r="D12" s="311"/>
      <c r="E12" s="310"/>
      <c r="F12" s="312"/>
    </row>
    <row r="13" spans="1:8" ht="24" customHeight="1" x14ac:dyDescent="0.2">
      <c r="A13" s="313">
        <v>1</v>
      </c>
      <c r="B13" s="313">
        <v>750</v>
      </c>
      <c r="C13" s="313">
        <v>75023</v>
      </c>
      <c r="D13" s="313">
        <v>2059</v>
      </c>
      <c r="E13" s="314" t="s">
        <v>363</v>
      </c>
      <c r="F13" s="315">
        <v>16565</v>
      </c>
    </row>
    <row r="14" spans="1:8" ht="46.5" customHeight="1" x14ac:dyDescent="0.2">
      <c r="A14" s="313">
        <v>2</v>
      </c>
      <c r="B14" s="313">
        <v>750</v>
      </c>
      <c r="C14" s="313">
        <v>75058</v>
      </c>
      <c r="D14" s="313">
        <v>2339</v>
      </c>
      <c r="E14" s="314" t="s">
        <v>364</v>
      </c>
      <c r="F14" s="315">
        <f>40000+40000</f>
        <v>80000</v>
      </c>
    </row>
    <row r="15" spans="1:8" ht="15" customHeight="1" x14ac:dyDescent="0.2">
      <c r="A15" s="316">
        <v>3</v>
      </c>
      <c r="B15" s="316">
        <v>801</v>
      </c>
      <c r="C15" s="316">
        <v>80104</v>
      </c>
      <c r="D15" s="316">
        <v>2310</v>
      </c>
      <c r="E15" s="317" t="s">
        <v>45</v>
      </c>
      <c r="F15" s="315">
        <f>250000+30000</f>
        <v>280000</v>
      </c>
      <c r="H15" s="318"/>
    </row>
    <row r="16" spans="1:8" ht="16.5" customHeight="1" x14ac:dyDescent="0.2">
      <c r="A16" s="316">
        <v>4</v>
      </c>
      <c r="B16" s="319">
        <v>851</v>
      </c>
      <c r="C16" s="319">
        <v>85149</v>
      </c>
      <c r="D16" s="320">
        <v>2780</v>
      </c>
      <c r="E16" s="317" t="s">
        <v>365</v>
      </c>
      <c r="F16" s="315">
        <v>16000</v>
      </c>
      <c r="H16" s="318"/>
    </row>
    <row r="17" spans="1:6" ht="17.25" customHeight="1" x14ac:dyDescent="0.2">
      <c r="A17" s="316">
        <v>5</v>
      </c>
      <c r="B17" s="321">
        <v>851</v>
      </c>
      <c r="C17" s="321">
        <v>85154</v>
      </c>
      <c r="D17" s="321">
        <v>2330</v>
      </c>
      <c r="E17" s="317" t="s">
        <v>366</v>
      </c>
      <c r="F17" s="315">
        <v>6000</v>
      </c>
    </row>
    <row r="18" spans="1:6" ht="14.25" customHeight="1" x14ac:dyDescent="0.2">
      <c r="A18" s="322">
        <v>6</v>
      </c>
      <c r="B18" s="323">
        <v>853</v>
      </c>
      <c r="C18" s="323">
        <v>85333</v>
      </c>
      <c r="D18" s="323">
        <v>2320</v>
      </c>
      <c r="E18" s="324" t="s">
        <v>367</v>
      </c>
      <c r="F18" s="325">
        <v>3890076</v>
      </c>
    </row>
    <row r="19" spans="1:6" ht="16.5" customHeight="1" x14ac:dyDescent="0.2">
      <c r="A19" s="326">
        <v>7</v>
      </c>
      <c r="B19" s="327">
        <v>853</v>
      </c>
      <c r="C19" s="327">
        <v>85395</v>
      </c>
      <c r="D19" s="328">
        <v>2800</v>
      </c>
      <c r="E19" s="329" t="s">
        <v>368</v>
      </c>
      <c r="F19" s="330">
        <v>50000</v>
      </c>
    </row>
    <row r="20" spans="1:6" ht="15" customHeight="1" x14ac:dyDescent="0.2">
      <c r="A20" s="313">
        <v>8</v>
      </c>
      <c r="B20" s="331">
        <v>921</v>
      </c>
      <c r="C20" s="331">
        <v>92110</v>
      </c>
      <c r="D20" s="331">
        <v>2800</v>
      </c>
      <c r="E20" s="332" t="s">
        <v>369</v>
      </c>
      <c r="F20" s="333">
        <f>SUM(F21)</f>
        <v>21000</v>
      </c>
    </row>
    <row r="21" spans="1:6" ht="12" customHeight="1" x14ac:dyDescent="0.2">
      <c r="A21" s="313"/>
      <c r="B21" s="331"/>
      <c r="C21" s="331"/>
      <c r="D21" s="331"/>
      <c r="E21" s="334" t="s">
        <v>370</v>
      </c>
      <c r="F21" s="335">
        <f>11000+10000</f>
        <v>21000</v>
      </c>
    </row>
    <row r="22" spans="1:6" ht="24" customHeight="1" x14ac:dyDescent="0.2">
      <c r="A22" s="313">
        <v>9</v>
      </c>
      <c r="B22" s="331">
        <v>921</v>
      </c>
      <c r="C22" s="331">
        <v>92113</v>
      </c>
      <c r="D22" s="336" t="s">
        <v>371</v>
      </c>
      <c r="E22" s="337" t="s">
        <v>372</v>
      </c>
      <c r="F22" s="338">
        <f>F23</f>
        <v>480804.39</v>
      </c>
    </row>
    <row r="23" spans="1:6" ht="36" customHeight="1" x14ac:dyDescent="0.2">
      <c r="A23" s="339"/>
      <c r="B23" s="340"/>
      <c r="C23" s="341"/>
      <c r="D23" s="342"/>
      <c r="E23" s="343" t="s">
        <v>373</v>
      </c>
      <c r="F23" s="344">
        <v>480804.39</v>
      </c>
    </row>
    <row r="24" spans="1:6" ht="14.1" customHeight="1" x14ac:dyDescent="0.2">
      <c r="A24" s="345">
        <v>10</v>
      </c>
      <c r="B24" s="346">
        <v>921</v>
      </c>
      <c r="C24" s="346">
        <v>92113</v>
      </c>
      <c r="D24" s="342">
        <v>2800</v>
      </c>
      <c r="E24" s="332" t="s">
        <v>372</v>
      </c>
      <c r="F24" s="325">
        <f>F25</f>
        <v>140000</v>
      </c>
    </row>
    <row r="25" spans="1:6" ht="14.1" customHeight="1" x14ac:dyDescent="0.2">
      <c r="A25" s="339"/>
      <c r="B25" s="340"/>
      <c r="C25" s="341"/>
      <c r="D25" s="342"/>
      <c r="E25" s="324" t="s">
        <v>374</v>
      </c>
      <c r="F25" s="335">
        <f>30000+60000+50000</f>
        <v>140000</v>
      </c>
    </row>
    <row r="26" spans="1:6" ht="15.75" customHeight="1" x14ac:dyDescent="0.2">
      <c r="A26" s="345">
        <v>10</v>
      </c>
      <c r="B26" s="346">
        <v>921</v>
      </c>
      <c r="C26" s="346">
        <v>92114</v>
      </c>
      <c r="D26" s="346">
        <v>6220</v>
      </c>
      <c r="E26" s="324" t="s">
        <v>375</v>
      </c>
      <c r="F26" s="325">
        <f>F27</f>
        <v>60000</v>
      </c>
    </row>
    <row r="27" spans="1:6" ht="13.5" customHeight="1" x14ac:dyDescent="0.2">
      <c r="A27" s="339"/>
      <c r="B27" s="340"/>
      <c r="C27" s="340"/>
      <c r="D27" s="347"/>
      <c r="E27" s="324" t="s">
        <v>376</v>
      </c>
      <c r="F27" s="335">
        <v>60000</v>
      </c>
    </row>
    <row r="28" spans="1:6" ht="13.5" customHeight="1" x14ac:dyDescent="0.2">
      <c r="A28" s="345">
        <v>11</v>
      </c>
      <c r="B28" s="346">
        <v>921</v>
      </c>
      <c r="C28" s="346">
        <v>92116</v>
      </c>
      <c r="D28" s="321">
        <v>2800</v>
      </c>
      <c r="E28" s="324" t="s">
        <v>377</v>
      </c>
      <c r="F28" s="325">
        <f>F29</f>
        <v>20000</v>
      </c>
    </row>
    <row r="29" spans="1:6" ht="13.5" customHeight="1" x14ac:dyDescent="0.2">
      <c r="A29" s="339"/>
      <c r="B29" s="340"/>
      <c r="C29" s="340"/>
      <c r="D29" s="347"/>
      <c r="E29" s="324" t="s">
        <v>378</v>
      </c>
      <c r="F29" s="335">
        <v>20000</v>
      </c>
    </row>
    <row r="30" spans="1:6" ht="14.25" customHeight="1" x14ac:dyDescent="0.2">
      <c r="A30" s="345">
        <v>12</v>
      </c>
      <c r="B30" s="346">
        <v>921</v>
      </c>
      <c r="C30" s="346">
        <v>92116</v>
      </c>
      <c r="D30" s="346">
        <v>6220</v>
      </c>
      <c r="E30" s="324" t="s">
        <v>379</v>
      </c>
      <c r="F30" s="325">
        <f>F31</f>
        <v>101500</v>
      </c>
    </row>
    <row r="31" spans="1:6" ht="12" customHeight="1" x14ac:dyDescent="0.2">
      <c r="A31" s="339"/>
      <c r="B31" s="340"/>
      <c r="C31" s="340"/>
      <c r="D31" s="347"/>
      <c r="E31" s="324" t="s">
        <v>378</v>
      </c>
      <c r="F31" s="335">
        <v>101500</v>
      </c>
    </row>
    <row r="32" spans="1:6" ht="13.5" customHeight="1" x14ac:dyDescent="0.2">
      <c r="A32" s="316">
        <v>13</v>
      </c>
      <c r="B32" s="321">
        <v>921</v>
      </c>
      <c r="C32" s="321">
        <v>92195</v>
      </c>
      <c r="D32" s="348">
        <v>2800</v>
      </c>
      <c r="E32" s="349" t="s">
        <v>15</v>
      </c>
      <c r="F32" s="315">
        <f>52068-15000-30000-400</f>
        <v>6668</v>
      </c>
    </row>
    <row r="33" spans="1:6" ht="17.25" customHeight="1" x14ac:dyDescent="0.2">
      <c r="A33" s="656"/>
      <c r="B33" s="657"/>
      <c r="C33" s="657"/>
      <c r="D33" s="658"/>
      <c r="E33" s="659" t="s">
        <v>380</v>
      </c>
      <c r="F33" s="660">
        <f>F32+F30+F28+F26+F24+F22+F20+F18+F19+F17+F16+F15+F14+F13</f>
        <v>5168613.3899999997</v>
      </c>
    </row>
    <row r="34" spans="1:6" ht="15.75" customHeight="1" x14ac:dyDescent="0.2">
      <c r="A34" s="309" t="s">
        <v>381</v>
      </c>
      <c r="B34" s="310"/>
      <c r="C34" s="310"/>
      <c r="D34" s="311"/>
      <c r="E34" s="310"/>
      <c r="F34" s="312"/>
    </row>
    <row r="35" spans="1:6" ht="18.75" customHeight="1" x14ac:dyDescent="0.2">
      <c r="A35" s="313">
        <v>1</v>
      </c>
      <c r="B35" s="331">
        <v>853</v>
      </c>
      <c r="C35" s="331">
        <v>85395</v>
      </c>
      <c r="D35" s="331">
        <v>2510</v>
      </c>
      <c r="E35" s="332" t="s">
        <v>15</v>
      </c>
      <c r="F35" s="315">
        <f>F36</f>
        <v>711000</v>
      </c>
    </row>
    <row r="36" spans="1:6" ht="12.75" customHeight="1" x14ac:dyDescent="0.2">
      <c r="A36" s="339"/>
      <c r="B36" s="340"/>
      <c r="C36" s="341"/>
      <c r="D36" s="342"/>
      <c r="E36" s="350" t="s">
        <v>382</v>
      </c>
      <c r="F36" s="335">
        <f>580000+88000+43000</f>
        <v>711000</v>
      </c>
    </row>
    <row r="37" spans="1:6" ht="18.75" customHeight="1" x14ac:dyDescent="0.2">
      <c r="A37" s="313">
        <v>2</v>
      </c>
      <c r="B37" s="331">
        <v>921</v>
      </c>
      <c r="C37" s="331">
        <v>92110</v>
      </c>
      <c r="D37" s="331">
        <v>2480</v>
      </c>
      <c r="E37" s="332" t="s">
        <v>369</v>
      </c>
      <c r="F37" s="333">
        <f>F38</f>
        <v>866796.44</v>
      </c>
    </row>
    <row r="38" spans="1:6" ht="12.75" customHeight="1" x14ac:dyDescent="0.2">
      <c r="A38" s="339"/>
      <c r="B38" s="340"/>
      <c r="C38" s="341"/>
      <c r="D38" s="351"/>
      <c r="E38" s="334" t="s">
        <v>370</v>
      </c>
      <c r="F38" s="335">
        <f>713465+37041+92774+23516.44</f>
        <v>866796.44</v>
      </c>
    </row>
    <row r="39" spans="1:6" ht="18.75" customHeight="1" x14ac:dyDescent="0.2">
      <c r="A39" s="313">
        <v>3</v>
      </c>
      <c r="B39" s="331">
        <v>921</v>
      </c>
      <c r="C39" s="331">
        <v>92113</v>
      </c>
      <c r="D39" s="331">
        <v>2480</v>
      </c>
      <c r="E39" s="332" t="s">
        <v>372</v>
      </c>
      <c r="F39" s="333">
        <f>F40</f>
        <v>5529730</v>
      </c>
    </row>
    <row r="40" spans="1:6" ht="12" customHeight="1" x14ac:dyDescent="0.2">
      <c r="A40" s="352"/>
      <c r="B40" s="341"/>
      <c r="C40" s="341"/>
      <c r="D40" s="341"/>
      <c r="E40" s="324" t="s">
        <v>374</v>
      </c>
      <c r="F40" s="353">
        <f>3800000+237000+20000+15000+1160730+100000+147000+50000</f>
        <v>5529730</v>
      </c>
    </row>
    <row r="41" spans="1:6" ht="18.75" customHeight="1" x14ac:dyDescent="0.2">
      <c r="A41" s="313">
        <v>4</v>
      </c>
      <c r="B41" s="331">
        <v>921</v>
      </c>
      <c r="C41" s="331">
        <v>92114</v>
      </c>
      <c r="D41" s="331">
        <v>2480</v>
      </c>
      <c r="E41" s="332" t="s">
        <v>383</v>
      </c>
      <c r="F41" s="333">
        <f>F42</f>
        <v>1619484.8199999998</v>
      </c>
    </row>
    <row r="42" spans="1:6" ht="12.75" customHeight="1" x14ac:dyDescent="0.2">
      <c r="A42" s="339"/>
      <c r="B42" s="340"/>
      <c r="C42" s="340"/>
      <c r="D42" s="340"/>
      <c r="E42" s="324" t="s">
        <v>376</v>
      </c>
      <c r="F42" s="335">
        <f>1499220+80728.68+39536.14</f>
        <v>1619484.8199999998</v>
      </c>
    </row>
    <row r="43" spans="1:6" ht="18.75" customHeight="1" x14ac:dyDescent="0.2">
      <c r="A43" s="313">
        <v>5</v>
      </c>
      <c r="B43" s="331">
        <v>921</v>
      </c>
      <c r="C43" s="331">
        <v>92116</v>
      </c>
      <c r="D43" s="331">
        <v>2480</v>
      </c>
      <c r="E43" s="332" t="s">
        <v>377</v>
      </c>
      <c r="F43" s="315">
        <f>F44</f>
        <v>5039112.45</v>
      </c>
    </row>
    <row r="44" spans="1:6" ht="12.75" customHeight="1" x14ac:dyDescent="0.2">
      <c r="A44" s="339"/>
      <c r="B44" s="354"/>
      <c r="C44" s="354"/>
      <c r="D44" s="347"/>
      <c r="E44" s="324" t="s">
        <v>378</v>
      </c>
      <c r="F44" s="335">
        <f>4362137+348671.04+328304.41</f>
        <v>5039112.45</v>
      </c>
    </row>
    <row r="45" spans="1:6" ht="18" customHeight="1" x14ac:dyDescent="0.2">
      <c r="A45" s="656"/>
      <c r="B45" s="657"/>
      <c r="C45" s="657"/>
      <c r="D45" s="658"/>
      <c r="E45" s="659" t="s">
        <v>380</v>
      </c>
      <c r="F45" s="660">
        <f>F43+F41+F39+F37+F35</f>
        <v>13766123.709999999</v>
      </c>
    </row>
    <row r="46" spans="1:6" ht="16.5" customHeight="1" x14ac:dyDescent="0.2">
      <c r="A46" s="309"/>
      <c r="B46" s="661"/>
      <c r="C46" s="661"/>
      <c r="D46" s="662"/>
      <c r="E46" s="663" t="s">
        <v>343</v>
      </c>
      <c r="F46" s="664">
        <f>F45+F33</f>
        <v>18934737.099999998</v>
      </c>
    </row>
    <row r="48" spans="1:6" x14ac:dyDescent="0.2">
      <c r="A48" s="665"/>
      <c r="F48" s="318"/>
    </row>
    <row r="49" spans="6:6" x14ac:dyDescent="0.2">
      <c r="F49" s="318"/>
    </row>
  </sheetData>
  <mergeCells count="2">
    <mergeCell ref="A6:F6"/>
    <mergeCell ref="A7:F7"/>
  </mergeCells>
  <printOptions horizontalCentered="1"/>
  <pageMargins left="0.59055118110236227" right="0.59055118110236227" top="0.74803149606299213" bottom="0.62992125984251968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C5118-9971-471B-A6FD-BB71F813EE3A}">
  <sheetPr>
    <tabColor rgb="FFFFFF00"/>
  </sheetPr>
  <dimension ref="A1:H216"/>
  <sheetViews>
    <sheetView zoomScale="140" zoomScaleNormal="140" workbookViewId="0"/>
  </sheetViews>
  <sheetFormatPr defaultRowHeight="12" x14ac:dyDescent="0.2"/>
  <cols>
    <col min="1" max="1" width="3.85546875" style="355" customWidth="1"/>
    <col min="2" max="2" width="5.140625" style="355" customWidth="1"/>
    <col min="3" max="3" width="8.42578125" style="355" customWidth="1"/>
    <col min="4" max="4" width="6.5703125" style="356" customWidth="1"/>
    <col min="5" max="5" width="47.42578125" style="355" customWidth="1"/>
    <col min="6" max="6" width="20.42578125" style="355" customWidth="1"/>
    <col min="7" max="7" width="9.140625" style="355"/>
    <col min="8" max="8" width="12.28515625" style="355" customWidth="1"/>
    <col min="9" max="256" width="9.140625" style="355"/>
    <col min="257" max="257" width="4.42578125" style="355" customWidth="1"/>
    <col min="258" max="258" width="5.7109375" style="355" customWidth="1"/>
    <col min="259" max="259" width="8.42578125" style="355" customWidth="1"/>
    <col min="260" max="260" width="6.5703125" style="355" customWidth="1"/>
    <col min="261" max="261" width="47.42578125" style="355" customWidth="1"/>
    <col min="262" max="262" width="21.42578125" style="355" customWidth="1"/>
    <col min="263" max="263" width="9.140625" style="355"/>
    <col min="264" max="264" width="12.28515625" style="355" customWidth="1"/>
    <col min="265" max="512" width="9.140625" style="355"/>
    <col min="513" max="513" width="4.42578125" style="355" customWidth="1"/>
    <col min="514" max="514" width="5.7109375" style="355" customWidth="1"/>
    <col min="515" max="515" width="8.42578125" style="355" customWidth="1"/>
    <col min="516" max="516" width="6.5703125" style="355" customWidth="1"/>
    <col min="517" max="517" width="47.42578125" style="355" customWidth="1"/>
    <col min="518" max="518" width="21.42578125" style="355" customWidth="1"/>
    <col min="519" max="519" width="9.140625" style="355"/>
    <col min="520" max="520" width="12.28515625" style="355" customWidth="1"/>
    <col min="521" max="768" width="9.140625" style="355"/>
    <col min="769" max="769" width="4.42578125" style="355" customWidth="1"/>
    <col min="770" max="770" width="5.7109375" style="355" customWidth="1"/>
    <col min="771" max="771" width="8.42578125" style="355" customWidth="1"/>
    <col min="772" max="772" width="6.5703125" style="355" customWidth="1"/>
    <col min="773" max="773" width="47.42578125" style="355" customWidth="1"/>
    <col min="774" max="774" width="21.42578125" style="355" customWidth="1"/>
    <col min="775" max="775" width="9.140625" style="355"/>
    <col min="776" max="776" width="12.28515625" style="355" customWidth="1"/>
    <col min="777" max="1024" width="9.140625" style="355"/>
    <col min="1025" max="1025" width="4.42578125" style="355" customWidth="1"/>
    <col min="1026" max="1026" width="5.7109375" style="355" customWidth="1"/>
    <col min="1027" max="1027" width="8.42578125" style="355" customWidth="1"/>
    <col min="1028" max="1028" width="6.5703125" style="355" customWidth="1"/>
    <col min="1029" max="1029" width="47.42578125" style="355" customWidth="1"/>
    <col min="1030" max="1030" width="21.42578125" style="355" customWidth="1"/>
    <col min="1031" max="1031" width="9.140625" style="355"/>
    <col min="1032" max="1032" width="12.28515625" style="355" customWidth="1"/>
    <col min="1033" max="1280" width="9.140625" style="355"/>
    <col min="1281" max="1281" width="4.42578125" style="355" customWidth="1"/>
    <col min="1282" max="1282" width="5.7109375" style="355" customWidth="1"/>
    <col min="1283" max="1283" width="8.42578125" style="355" customWidth="1"/>
    <col min="1284" max="1284" width="6.5703125" style="355" customWidth="1"/>
    <col min="1285" max="1285" width="47.42578125" style="355" customWidth="1"/>
    <col min="1286" max="1286" width="21.42578125" style="355" customWidth="1"/>
    <col min="1287" max="1287" width="9.140625" style="355"/>
    <col min="1288" max="1288" width="12.28515625" style="355" customWidth="1"/>
    <col min="1289" max="1536" width="9.140625" style="355"/>
    <col min="1537" max="1537" width="4.42578125" style="355" customWidth="1"/>
    <col min="1538" max="1538" width="5.7109375" style="355" customWidth="1"/>
    <col min="1539" max="1539" width="8.42578125" style="355" customWidth="1"/>
    <col min="1540" max="1540" width="6.5703125" style="355" customWidth="1"/>
    <col min="1541" max="1541" width="47.42578125" style="355" customWidth="1"/>
    <col min="1542" max="1542" width="21.42578125" style="355" customWidth="1"/>
    <col min="1543" max="1543" width="9.140625" style="355"/>
    <col min="1544" max="1544" width="12.28515625" style="355" customWidth="1"/>
    <col min="1545" max="1792" width="9.140625" style="355"/>
    <col min="1793" max="1793" width="4.42578125" style="355" customWidth="1"/>
    <col min="1794" max="1794" width="5.7109375" style="355" customWidth="1"/>
    <col min="1795" max="1795" width="8.42578125" style="355" customWidth="1"/>
    <col min="1796" max="1796" width="6.5703125" style="355" customWidth="1"/>
    <col min="1797" max="1797" width="47.42578125" style="355" customWidth="1"/>
    <col min="1798" max="1798" width="21.42578125" style="355" customWidth="1"/>
    <col min="1799" max="1799" width="9.140625" style="355"/>
    <col min="1800" max="1800" width="12.28515625" style="355" customWidth="1"/>
    <col min="1801" max="2048" width="9.140625" style="355"/>
    <col min="2049" max="2049" width="4.42578125" style="355" customWidth="1"/>
    <col min="2050" max="2050" width="5.7109375" style="355" customWidth="1"/>
    <col min="2051" max="2051" width="8.42578125" style="355" customWidth="1"/>
    <col min="2052" max="2052" width="6.5703125" style="355" customWidth="1"/>
    <col min="2053" max="2053" width="47.42578125" style="355" customWidth="1"/>
    <col min="2054" max="2054" width="21.42578125" style="355" customWidth="1"/>
    <col min="2055" max="2055" width="9.140625" style="355"/>
    <col min="2056" max="2056" width="12.28515625" style="355" customWidth="1"/>
    <col min="2057" max="2304" width="9.140625" style="355"/>
    <col min="2305" max="2305" width="4.42578125" style="355" customWidth="1"/>
    <col min="2306" max="2306" width="5.7109375" style="355" customWidth="1"/>
    <col min="2307" max="2307" width="8.42578125" style="355" customWidth="1"/>
    <col min="2308" max="2308" width="6.5703125" style="355" customWidth="1"/>
    <col min="2309" max="2309" width="47.42578125" style="355" customWidth="1"/>
    <col min="2310" max="2310" width="21.42578125" style="355" customWidth="1"/>
    <col min="2311" max="2311" width="9.140625" style="355"/>
    <col min="2312" max="2312" width="12.28515625" style="355" customWidth="1"/>
    <col min="2313" max="2560" width="9.140625" style="355"/>
    <col min="2561" max="2561" width="4.42578125" style="355" customWidth="1"/>
    <col min="2562" max="2562" width="5.7109375" style="355" customWidth="1"/>
    <col min="2563" max="2563" width="8.42578125" style="355" customWidth="1"/>
    <col min="2564" max="2564" width="6.5703125" style="355" customWidth="1"/>
    <col min="2565" max="2565" width="47.42578125" style="355" customWidth="1"/>
    <col min="2566" max="2566" width="21.42578125" style="355" customWidth="1"/>
    <col min="2567" max="2567" width="9.140625" style="355"/>
    <col min="2568" max="2568" width="12.28515625" style="355" customWidth="1"/>
    <col min="2569" max="2816" width="9.140625" style="355"/>
    <col min="2817" max="2817" width="4.42578125" style="355" customWidth="1"/>
    <col min="2818" max="2818" width="5.7109375" style="355" customWidth="1"/>
    <col min="2819" max="2819" width="8.42578125" style="355" customWidth="1"/>
    <col min="2820" max="2820" width="6.5703125" style="355" customWidth="1"/>
    <col min="2821" max="2821" width="47.42578125" style="355" customWidth="1"/>
    <col min="2822" max="2822" width="21.42578125" style="355" customWidth="1"/>
    <col min="2823" max="2823" width="9.140625" style="355"/>
    <col min="2824" max="2824" width="12.28515625" style="355" customWidth="1"/>
    <col min="2825" max="3072" width="9.140625" style="355"/>
    <col min="3073" max="3073" width="4.42578125" style="355" customWidth="1"/>
    <col min="3074" max="3074" width="5.7109375" style="355" customWidth="1"/>
    <col min="3075" max="3075" width="8.42578125" style="355" customWidth="1"/>
    <col min="3076" max="3076" width="6.5703125" style="355" customWidth="1"/>
    <col min="3077" max="3077" width="47.42578125" style="355" customWidth="1"/>
    <col min="3078" max="3078" width="21.42578125" style="355" customWidth="1"/>
    <col min="3079" max="3079" width="9.140625" style="355"/>
    <col min="3080" max="3080" width="12.28515625" style="355" customWidth="1"/>
    <col min="3081" max="3328" width="9.140625" style="355"/>
    <col min="3329" max="3329" width="4.42578125" style="355" customWidth="1"/>
    <col min="3330" max="3330" width="5.7109375" style="355" customWidth="1"/>
    <col min="3331" max="3331" width="8.42578125" style="355" customWidth="1"/>
    <col min="3332" max="3332" width="6.5703125" style="355" customWidth="1"/>
    <col min="3333" max="3333" width="47.42578125" style="355" customWidth="1"/>
    <col min="3334" max="3334" width="21.42578125" style="355" customWidth="1"/>
    <col min="3335" max="3335" width="9.140625" style="355"/>
    <col min="3336" max="3336" width="12.28515625" style="355" customWidth="1"/>
    <col min="3337" max="3584" width="9.140625" style="355"/>
    <col min="3585" max="3585" width="4.42578125" style="355" customWidth="1"/>
    <col min="3586" max="3586" width="5.7109375" style="355" customWidth="1"/>
    <col min="3587" max="3587" width="8.42578125" style="355" customWidth="1"/>
    <col min="3588" max="3588" width="6.5703125" style="355" customWidth="1"/>
    <col min="3589" max="3589" width="47.42578125" style="355" customWidth="1"/>
    <col min="3590" max="3590" width="21.42578125" style="355" customWidth="1"/>
    <col min="3591" max="3591" width="9.140625" style="355"/>
    <col min="3592" max="3592" width="12.28515625" style="355" customWidth="1"/>
    <col min="3593" max="3840" width="9.140625" style="355"/>
    <col min="3841" max="3841" width="4.42578125" style="355" customWidth="1"/>
    <col min="3842" max="3842" width="5.7109375" style="355" customWidth="1"/>
    <col min="3843" max="3843" width="8.42578125" style="355" customWidth="1"/>
    <col min="3844" max="3844" width="6.5703125" style="355" customWidth="1"/>
    <col min="3845" max="3845" width="47.42578125" style="355" customWidth="1"/>
    <col min="3846" max="3846" width="21.42578125" style="355" customWidth="1"/>
    <col min="3847" max="3847" width="9.140625" style="355"/>
    <col min="3848" max="3848" width="12.28515625" style="355" customWidth="1"/>
    <col min="3849" max="4096" width="9.140625" style="355"/>
    <col min="4097" max="4097" width="4.42578125" style="355" customWidth="1"/>
    <col min="4098" max="4098" width="5.7109375" style="355" customWidth="1"/>
    <col min="4099" max="4099" width="8.42578125" style="355" customWidth="1"/>
    <col min="4100" max="4100" width="6.5703125" style="355" customWidth="1"/>
    <col min="4101" max="4101" width="47.42578125" style="355" customWidth="1"/>
    <col min="4102" max="4102" width="21.42578125" style="355" customWidth="1"/>
    <col min="4103" max="4103" width="9.140625" style="355"/>
    <col min="4104" max="4104" width="12.28515625" style="355" customWidth="1"/>
    <col min="4105" max="4352" width="9.140625" style="355"/>
    <col min="4353" max="4353" width="4.42578125" style="355" customWidth="1"/>
    <col min="4354" max="4354" width="5.7109375" style="355" customWidth="1"/>
    <col min="4355" max="4355" width="8.42578125" style="355" customWidth="1"/>
    <col min="4356" max="4356" width="6.5703125" style="355" customWidth="1"/>
    <col min="4357" max="4357" width="47.42578125" style="355" customWidth="1"/>
    <col min="4358" max="4358" width="21.42578125" style="355" customWidth="1"/>
    <col min="4359" max="4359" width="9.140625" style="355"/>
    <col min="4360" max="4360" width="12.28515625" style="355" customWidth="1"/>
    <col min="4361" max="4608" width="9.140625" style="355"/>
    <col min="4609" max="4609" width="4.42578125" style="355" customWidth="1"/>
    <col min="4610" max="4610" width="5.7109375" style="355" customWidth="1"/>
    <col min="4611" max="4611" width="8.42578125" style="355" customWidth="1"/>
    <col min="4612" max="4612" width="6.5703125" style="355" customWidth="1"/>
    <col min="4613" max="4613" width="47.42578125" style="355" customWidth="1"/>
    <col min="4614" max="4614" width="21.42578125" style="355" customWidth="1"/>
    <col min="4615" max="4615" width="9.140625" style="355"/>
    <col min="4616" max="4616" width="12.28515625" style="355" customWidth="1"/>
    <col min="4617" max="4864" width="9.140625" style="355"/>
    <col min="4865" max="4865" width="4.42578125" style="355" customWidth="1"/>
    <col min="4866" max="4866" width="5.7109375" style="355" customWidth="1"/>
    <col min="4867" max="4867" width="8.42578125" style="355" customWidth="1"/>
    <col min="4868" max="4868" width="6.5703125" style="355" customWidth="1"/>
    <col min="4869" max="4869" width="47.42578125" style="355" customWidth="1"/>
    <col min="4870" max="4870" width="21.42578125" style="355" customWidth="1"/>
    <col min="4871" max="4871" width="9.140625" style="355"/>
    <col min="4872" max="4872" width="12.28515625" style="355" customWidth="1"/>
    <col min="4873" max="5120" width="9.140625" style="355"/>
    <col min="5121" max="5121" width="4.42578125" style="355" customWidth="1"/>
    <col min="5122" max="5122" width="5.7109375" style="355" customWidth="1"/>
    <col min="5123" max="5123" width="8.42578125" style="355" customWidth="1"/>
    <col min="5124" max="5124" width="6.5703125" style="355" customWidth="1"/>
    <col min="5125" max="5125" width="47.42578125" style="355" customWidth="1"/>
    <col min="5126" max="5126" width="21.42578125" style="355" customWidth="1"/>
    <col min="5127" max="5127" width="9.140625" style="355"/>
    <col min="5128" max="5128" width="12.28515625" style="355" customWidth="1"/>
    <col min="5129" max="5376" width="9.140625" style="355"/>
    <col min="5377" max="5377" width="4.42578125" style="355" customWidth="1"/>
    <col min="5378" max="5378" width="5.7109375" style="355" customWidth="1"/>
    <col min="5379" max="5379" width="8.42578125" style="355" customWidth="1"/>
    <col min="5380" max="5380" width="6.5703125" style="355" customWidth="1"/>
    <col min="5381" max="5381" width="47.42578125" style="355" customWidth="1"/>
    <col min="5382" max="5382" width="21.42578125" style="355" customWidth="1"/>
    <col min="5383" max="5383" width="9.140625" style="355"/>
    <col min="5384" max="5384" width="12.28515625" style="355" customWidth="1"/>
    <col min="5385" max="5632" width="9.140625" style="355"/>
    <col min="5633" max="5633" width="4.42578125" style="355" customWidth="1"/>
    <col min="5634" max="5634" width="5.7109375" style="355" customWidth="1"/>
    <col min="5635" max="5635" width="8.42578125" style="355" customWidth="1"/>
    <col min="5636" max="5636" width="6.5703125" style="355" customWidth="1"/>
    <col min="5637" max="5637" width="47.42578125" style="355" customWidth="1"/>
    <col min="5638" max="5638" width="21.42578125" style="355" customWidth="1"/>
    <col min="5639" max="5639" width="9.140625" style="355"/>
    <col min="5640" max="5640" width="12.28515625" style="355" customWidth="1"/>
    <col min="5641" max="5888" width="9.140625" style="355"/>
    <col min="5889" max="5889" width="4.42578125" style="355" customWidth="1"/>
    <col min="5890" max="5890" width="5.7109375" style="355" customWidth="1"/>
    <col min="5891" max="5891" width="8.42578125" style="355" customWidth="1"/>
    <col min="5892" max="5892" width="6.5703125" style="355" customWidth="1"/>
    <col min="5893" max="5893" width="47.42578125" style="355" customWidth="1"/>
    <col min="5894" max="5894" width="21.42578125" style="355" customWidth="1"/>
    <col min="5895" max="5895" width="9.140625" style="355"/>
    <col min="5896" max="5896" width="12.28515625" style="355" customWidth="1"/>
    <col min="5897" max="6144" width="9.140625" style="355"/>
    <col min="6145" max="6145" width="4.42578125" style="355" customWidth="1"/>
    <col min="6146" max="6146" width="5.7109375" style="355" customWidth="1"/>
    <col min="6147" max="6147" width="8.42578125" style="355" customWidth="1"/>
    <col min="6148" max="6148" width="6.5703125" style="355" customWidth="1"/>
    <col min="6149" max="6149" width="47.42578125" style="355" customWidth="1"/>
    <col min="6150" max="6150" width="21.42578125" style="355" customWidth="1"/>
    <col min="6151" max="6151" width="9.140625" style="355"/>
    <col min="6152" max="6152" width="12.28515625" style="355" customWidth="1"/>
    <col min="6153" max="6400" width="9.140625" style="355"/>
    <col min="6401" max="6401" width="4.42578125" style="355" customWidth="1"/>
    <col min="6402" max="6402" width="5.7109375" style="355" customWidth="1"/>
    <col min="6403" max="6403" width="8.42578125" style="355" customWidth="1"/>
    <col min="6404" max="6404" width="6.5703125" style="355" customWidth="1"/>
    <col min="6405" max="6405" width="47.42578125" style="355" customWidth="1"/>
    <col min="6406" max="6406" width="21.42578125" style="355" customWidth="1"/>
    <col min="6407" max="6407" width="9.140625" style="355"/>
    <col min="6408" max="6408" width="12.28515625" style="355" customWidth="1"/>
    <col min="6409" max="6656" width="9.140625" style="355"/>
    <col min="6657" max="6657" width="4.42578125" style="355" customWidth="1"/>
    <col min="6658" max="6658" width="5.7109375" style="355" customWidth="1"/>
    <col min="6659" max="6659" width="8.42578125" style="355" customWidth="1"/>
    <col min="6660" max="6660" width="6.5703125" style="355" customWidth="1"/>
    <col min="6661" max="6661" width="47.42578125" style="355" customWidth="1"/>
    <col min="6662" max="6662" width="21.42578125" style="355" customWidth="1"/>
    <col min="6663" max="6663" width="9.140625" style="355"/>
    <col min="6664" max="6664" width="12.28515625" style="355" customWidth="1"/>
    <col min="6665" max="6912" width="9.140625" style="355"/>
    <col min="6913" max="6913" width="4.42578125" style="355" customWidth="1"/>
    <col min="6914" max="6914" width="5.7109375" style="355" customWidth="1"/>
    <col min="6915" max="6915" width="8.42578125" style="355" customWidth="1"/>
    <col min="6916" max="6916" width="6.5703125" style="355" customWidth="1"/>
    <col min="6917" max="6917" width="47.42578125" style="355" customWidth="1"/>
    <col min="6918" max="6918" width="21.42578125" style="355" customWidth="1"/>
    <col min="6919" max="6919" width="9.140625" style="355"/>
    <col min="6920" max="6920" width="12.28515625" style="355" customWidth="1"/>
    <col min="6921" max="7168" width="9.140625" style="355"/>
    <col min="7169" max="7169" width="4.42578125" style="355" customWidth="1"/>
    <col min="7170" max="7170" width="5.7109375" style="355" customWidth="1"/>
    <col min="7171" max="7171" width="8.42578125" style="355" customWidth="1"/>
    <col min="7172" max="7172" width="6.5703125" style="355" customWidth="1"/>
    <col min="7173" max="7173" width="47.42578125" style="355" customWidth="1"/>
    <col min="7174" max="7174" width="21.42578125" style="355" customWidth="1"/>
    <col min="7175" max="7175" width="9.140625" style="355"/>
    <col min="7176" max="7176" width="12.28515625" style="355" customWidth="1"/>
    <col min="7177" max="7424" width="9.140625" style="355"/>
    <col min="7425" max="7425" width="4.42578125" style="355" customWidth="1"/>
    <col min="7426" max="7426" width="5.7109375" style="355" customWidth="1"/>
    <col min="7427" max="7427" width="8.42578125" style="355" customWidth="1"/>
    <col min="7428" max="7428" width="6.5703125" style="355" customWidth="1"/>
    <col min="7429" max="7429" width="47.42578125" style="355" customWidth="1"/>
    <col min="7430" max="7430" width="21.42578125" style="355" customWidth="1"/>
    <col min="7431" max="7431" width="9.140625" style="355"/>
    <col min="7432" max="7432" width="12.28515625" style="355" customWidth="1"/>
    <col min="7433" max="7680" width="9.140625" style="355"/>
    <col min="7681" max="7681" width="4.42578125" style="355" customWidth="1"/>
    <col min="7682" max="7682" width="5.7109375" style="355" customWidth="1"/>
    <col min="7683" max="7683" width="8.42578125" style="355" customWidth="1"/>
    <col min="7684" max="7684" width="6.5703125" style="355" customWidth="1"/>
    <col min="7685" max="7685" width="47.42578125" style="355" customWidth="1"/>
    <col min="7686" max="7686" width="21.42578125" style="355" customWidth="1"/>
    <col min="7687" max="7687" width="9.140625" style="355"/>
    <col min="7688" max="7688" width="12.28515625" style="355" customWidth="1"/>
    <col min="7689" max="7936" width="9.140625" style="355"/>
    <col min="7937" max="7937" width="4.42578125" style="355" customWidth="1"/>
    <col min="7938" max="7938" width="5.7109375" style="355" customWidth="1"/>
    <col min="7939" max="7939" width="8.42578125" style="355" customWidth="1"/>
    <col min="7940" max="7940" width="6.5703125" style="355" customWidth="1"/>
    <col min="7941" max="7941" width="47.42578125" style="355" customWidth="1"/>
    <col min="7942" max="7942" width="21.42578125" style="355" customWidth="1"/>
    <col min="7943" max="7943" width="9.140625" style="355"/>
    <col min="7944" max="7944" width="12.28515625" style="355" customWidth="1"/>
    <col min="7945" max="8192" width="9.140625" style="355"/>
    <col min="8193" max="8193" width="4.42578125" style="355" customWidth="1"/>
    <col min="8194" max="8194" width="5.7109375" style="355" customWidth="1"/>
    <col min="8195" max="8195" width="8.42578125" style="355" customWidth="1"/>
    <col min="8196" max="8196" width="6.5703125" style="355" customWidth="1"/>
    <col min="8197" max="8197" width="47.42578125" style="355" customWidth="1"/>
    <col min="8198" max="8198" width="21.42578125" style="355" customWidth="1"/>
    <col min="8199" max="8199" width="9.140625" style="355"/>
    <col min="8200" max="8200" width="12.28515625" style="355" customWidth="1"/>
    <col min="8201" max="8448" width="9.140625" style="355"/>
    <col min="8449" max="8449" width="4.42578125" style="355" customWidth="1"/>
    <col min="8450" max="8450" width="5.7109375" style="355" customWidth="1"/>
    <col min="8451" max="8451" width="8.42578125" style="355" customWidth="1"/>
    <col min="8452" max="8452" width="6.5703125" style="355" customWidth="1"/>
    <col min="8453" max="8453" width="47.42578125" style="355" customWidth="1"/>
    <col min="8454" max="8454" width="21.42578125" style="355" customWidth="1"/>
    <col min="8455" max="8455" width="9.140625" style="355"/>
    <col min="8456" max="8456" width="12.28515625" style="355" customWidth="1"/>
    <col min="8457" max="8704" width="9.140625" style="355"/>
    <col min="8705" max="8705" width="4.42578125" style="355" customWidth="1"/>
    <col min="8706" max="8706" width="5.7109375" style="355" customWidth="1"/>
    <col min="8707" max="8707" width="8.42578125" style="355" customWidth="1"/>
    <col min="8708" max="8708" width="6.5703125" style="355" customWidth="1"/>
    <col min="8709" max="8709" width="47.42578125" style="355" customWidth="1"/>
    <col min="8710" max="8710" width="21.42578125" style="355" customWidth="1"/>
    <col min="8711" max="8711" width="9.140625" style="355"/>
    <col min="8712" max="8712" width="12.28515625" style="355" customWidth="1"/>
    <col min="8713" max="8960" width="9.140625" style="355"/>
    <col min="8961" max="8961" width="4.42578125" style="355" customWidth="1"/>
    <col min="8962" max="8962" width="5.7109375" style="355" customWidth="1"/>
    <col min="8963" max="8963" width="8.42578125" style="355" customWidth="1"/>
    <col min="8964" max="8964" width="6.5703125" style="355" customWidth="1"/>
    <col min="8965" max="8965" width="47.42578125" style="355" customWidth="1"/>
    <col min="8966" max="8966" width="21.42578125" style="355" customWidth="1"/>
    <col min="8967" max="8967" width="9.140625" style="355"/>
    <col min="8968" max="8968" width="12.28515625" style="355" customWidth="1"/>
    <col min="8969" max="9216" width="9.140625" style="355"/>
    <col min="9217" max="9217" width="4.42578125" style="355" customWidth="1"/>
    <col min="9218" max="9218" width="5.7109375" style="355" customWidth="1"/>
    <col min="9219" max="9219" width="8.42578125" style="355" customWidth="1"/>
    <col min="9220" max="9220" width="6.5703125" style="355" customWidth="1"/>
    <col min="9221" max="9221" width="47.42578125" style="355" customWidth="1"/>
    <col min="9222" max="9222" width="21.42578125" style="355" customWidth="1"/>
    <col min="9223" max="9223" width="9.140625" style="355"/>
    <col min="9224" max="9224" width="12.28515625" style="355" customWidth="1"/>
    <col min="9225" max="9472" width="9.140625" style="355"/>
    <col min="9473" max="9473" width="4.42578125" style="355" customWidth="1"/>
    <col min="9474" max="9474" width="5.7109375" style="355" customWidth="1"/>
    <col min="9475" max="9475" width="8.42578125" style="355" customWidth="1"/>
    <col min="9476" max="9476" width="6.5703125" style="355" customWidth="1"/>
    <col min="9477" max="9477" width="47.42578125" style="355" customWidth="1"/>
    <col min="9478" max="9478" width="21.42578125" style="355" customWidth="1"/>
    <col min="9479" max="9479" width="9.140625" style="355"/>
    <col min="9480" max="9480" width="12.28515625" style="355" customWidth="1"/>
    <col min="9481" max="9728" width="9.140625" style="355"/>
    <col min="9729" max="9729" width="4.42578125" style="355" customWidth="1"/>
    <col min="9730" max="9730" width="5.7109375" style="355" customWidth="1"/>
    <col min="9731" max="9731" width="8.42578125" style="355" customWidth="1"/>
    <col min="9732" max="9732" width="6.5703125" style="355" customWidth="1"/>
    <col min="9733" max="9733" width="47.42578125" style="355" customWidth="1"/>
    <col min="9734" max="9734" width="21.42578125" style="355" customWidth="1"/>
    <col min="9735" max="9735" width="9.140625" style="355"/>
    <col min="9736" max="9736" width="12.28515625" style="355" customWidth="1"/>
    <col min="9737" max="9984" width="9.140625" style="355"/>
    <col min="9985" max="9985" width="4.42578125" style="355" customWidth="1"/>
    <col min="9986" max="9986" width="5.7109375" style="355" customWidth="1"/>
    <col min="9987" max="9987" width="8.42578125" style="355" customWidth="1"/>
    <col min="9988" max="9988" width="6.5703125" style="355" customWidth="1"/>
    <col min="9989" max="9989" width="47.42578125" style="355" customWidth="1"/>
    <col min="9990" max="9990" width="21.42578125" style="355" customWidth="1"/>
    <col min="9991" max="9991" width="9.140625" style="355"/>
    <col min="9992" max="9992" width="12.28515625" style="355" customWidth="1"/>
    <col min="9993" max="10240" width="9.140625" style="355"/>
    <col min="10241" max="10241" width="4.42578125" style="355" customWidth="1"/>
    <col min="10242" max="10242" width="5.7109375" style="355" customWidth="1"/>
    <col min="10243" max="10243" width="8.42578125" style="355" customWidth="1"/>
    <col min="10244" max="10244" width="6.5703125" style="355" customWidth="1"/>
    <col min="10245" max="10245" width="47.42578125" style="355" customWidth="1"/>
    <col min="10246" max="10246" width="21.42578125" style="355" customWidth="1"/>
    <col min="10247" max="10247" width="9.140625" style="355"/>
    <col min="10248" max="10248" width="12.28515625" style="355" customWidth="1"/>
    <col min="10249" max="10496" width="9.140625" style="355"/>
    <col min="10497" max="10497" width="4.42578125" style="355" customWidth="1"/>
    <col min="10498" max="10498" width="5.7109375" style="355" customWidth="1"/>
    <col min="10499" max="10499" width="8.42578125" style="355" customWidth="1"/>
    <col min="10500" max="10500" width="6.5703125" style="355" customWidth="1"/>
    <col min="10501" max="10501" width="47.42578125" style="355" customWidth="1"/>
    <col min="10502" max="10502" width="21.42578125" style="355" customWidth="1"/>
    <col min="10503" max="10503" width="9.140625" style="355"/>
    <col min="10504" max="10504" width="12.28515625" style="355" customWidth="1"/>
    <col min="10505" max="10752" width="9.140625" style="355"/>
    <col min="10753" max="10753" width="4.42578125" style="355" customWidth="1"/>
    <col min="10754" max="10754" width="5.7109375" style="355" customWidth="1"/>
    <col min="10755" max="10755" width="8.42578125" style="355" customWidth="1"/>
    <col min="10756" max="10756" width="6.5703125" style="355" customWidth="1"/>
    <col min="10757" max="10757" width="47.42578125" style="355" customWidth="1"/>
    <col min="10758" max="10758" width="21.42578125" style="355" customWidth="1"/>
    <col min="10759" max="10759" width="9.140625" style="355"/>
    <col min="10760" max="10760" width="12.28515625" style="355" customWidth="1"/>
    <col min="10761" max="11008" width="9.140625" style="355"/>
    <col min="11009" max="11009" width="4.42578125" style="355" customWidth="1"/>
    <col min="11010" max="11010" width="5.7109375" style="355" customWidth="1"/>
    <col min="11011" max="11011" width="8.42578125" style="355" customWidth="1"/>
    <col min="11012" max="11012" width="6.5703125" style="355" customWidth="1"/>
    <col min="11013" max="11013" width="47.42578125" style="355" customWidth="1"/>
    <col min="11014" max="11014" width="21.42578125" style="355" customWidth="1"/>
    <col min="11015" max="11015" width="9.140625" style="355"/>
    <col min="11016" max="11016" width="12.28515625" style="355" customWidth="1"/>
    <col min="11017" max="11264" width="9.140625" style="355"/>
    <col min="11265" max="11265" width="4.42578125" style="355" customWidth="1"/>
    <col min="11266" max="11266" width="5.7109375" style="355" customWidth="1"/>
    <col min="11267" max="11267" width="8.42578125" style="355" customWidth="1"/>
    <col min="11268" max="11268" width="6.5703125" style="355" customWidth="1"/>
    <col min="11269" max="11269" width="47.42578125" style="355" customWidth="1"/>
    <col min="11270" max="11270" width="21.42578125" style="355" customWidth="1"/>
    <col min="11271" max="11271" width="9.140625" style="355"/>
    <col min="11272" max="11272" width="12.28515625" style="355" customWidth="1"/>
    <col min="11273" max="11520" width="9.140625" style="355"/>
    <col min="11521" max="11521" width="4.42578125" style="355" customWidth="1"/>
    <col min="11522" max="11522" width="5.7109375" style="355" customWidth="1"/>
    <col min="11523" max="11523" width="8.42578125" style="355" customWidth="1"/>
    <col min="11524" max="11524" width="6.5703125" style="355" customWidth="1"/>
    <col min="11525" max="11525" width="47.42578125" style="355" customWidth="1"/>
    <col min="11526" max="11526" width="21.42578125" style="355" customWidth="1"/>
    <col min="11527" max="11527" width="9.140625" style="355"/>
    <col min="11528" max="11528" width="12.28515625" style="355" customWidth="1"/>
    <col min="11529" max="11776" width="9.140625" style="355"/>
    <col min="11777" max="11777" width="4.42578125" style="355" customWidth="1"/>
    <col min="11778" max="11778" width="5.7109375" style="355" customWidth="1"/>
    <col min="11779" max="11779" width="8.42578125" style="355" customWidth="1"/>
    <col min="11780" max="11780" width="6.5703125" style="355" customWidth="1"/>
    <col min="11781" max="11781" width="47.42578125" style="355" customWidth="1"/>
    <col min="11782" max="11782" width="21.42578125" style="355" customWidth="1"/>
    <col min="11783" max="11783" width="9.140625" style="355"/>
    <col min="11784" max="11784" width="12.28515625" style="355" customWidth="1"/>
    <col min="11785" max="12032" width="9.140625" style="355"/>
    <col min="12033" max="12033" width="4.42578125" style="355" customWidth="1"/>
    <col min="12034" max="12034" width="5.7109375" style="355" customWidth="1"/>
    <col min="12035" max="12035" width="8.42578125" style="355" customWidth="1"/>
    <col min="12036" max="12036" width="6.5703125" style="355" customWidth="1"/>
    <col min="12037" max="12037" width="47.42578125" style="355" customWidth="1"/>
    <col min="12038" max="12038" width="21.42578125" style="355" customWidth="1"/>
    <col min="12039" max="12039" width="9.140625" style="355"/>
    <col min="12040" max="12040" width="12.28515625" style="355" customWidth="1"/>
    <col min="12041" max="12288" width="9.140625" style="355"/>
    <col min="12289" max="12289" width="4.42578125" style="355" customWidth="1"/>
    <col min="12290" max="12290" width="5.7109375" style="355" customWidth="1"/>
    <col min="12291" max="12291" width="8.42578125" style="355" customWidth="1"/>
    <col min="12292" max="12292" width="6.5703125" style="355" customWidth="1"/>
    <col min="12293" max="12293" width="47.42578125" style="355" customWidth="1"/>
    <col min="12294" max="12294" width="21.42578125" style="355" customWidth="1"/>
    <col min="12295" max="12295" width="9.140625" style="355"/>
    <col min="12296" max="12296" width="12.28515625" style="355" customWidth="1"/>
    <col min="12297" max="12544" width="9.140625" style="355"/>
    <col min="12545" max="12545" width="4.42578125" style="355" customWidth="1"/>
    <col min="12546" max="12546" width="5.7109375" style="355" customWidth="1"/>
    <col min="12547" max="12547" width="8.42578125" style="355" customWidth="1"/>
    <col min="12548" max="12548" width="6.5703125" style="355" customWidth="1"/>
    <col min="12549" max="12549" width="47.42578125" style="355" customWidth="1"/>
    <col min="12550" max="12550" width="21.42578125" style="355" customWidth="1"/>
    <col min="12551" max="12551" width="9.140625" style="355"/>
    <col min="12552" max="12552" width="12.28515625" style="355" customWidth="1"/>
    <col min="12553" max="12800" width="9.140625" style="355"/>
    <col min="12801" max="12801" width="4.42578125" style="355" customWidth="1"/>
    <col min="12802" max="12802" width="5.7109375" style="355" customWidth="1"/>
    <col min="12803" max="12803" width="8.42578125" style="355" customWidth="1"/>
    <col min="12804" max="12804" width="6.5703125" style="355" customWidth="1"/>
    <col min="12805" max="12805" width="47.42578125" style="355" customWidth="1"/>
    <col min="12806" max="12806" width="21.42578125" style="355" customWidth="1"/>
    <col min="12807" max="12807" width="9.140625" style="355"/>
    <col min="12808" max="12808" width="12.28515625" style="355" customWidth="1"/>
    <col min="12809" max="13056" width="9.140625" style="355"/>
    <col min="13057" max="13057" width="4.42578125" style="355" customWidth="1"/>
    <col min="13058" max="13058" width="5.7109375" style="355" customWidth="1"/>
    <col min="13059" max="13059" width="8.42578125" style="355" customWidth="1"/>
    <col min="13060" max="13060" width="6.5703125" style="355" customWidth="1"/>
    <col min="13061" max="13061" width="47.42578125" style="355" customWidth="1"/>
    <col min="13062" max="13062" width="21.42578125" style="355" customWidth="1"/>
    <col min="13063" max="13063" width="9.140625" style="355"/>
    <col min="13064" max="13064" width="12.28515625" style="355" customWidth="1"/>
    <col min="13065" max="13312" width="9.140625" style="355"/>
    <col min="13313" max="13313" width="4.42578125" style="355" customWidth="1"/>
    <col min="13314" max="13314" width="5.7109375" style="355" customWidth="1"/>
    <col min="13315" max="13315" width="8.42578125" style="355" customWidth="1"/>
    <col min="13316" max="13316" width="6.5703125" style="355" customWidth="1"/>
    <col min="13317" max="13317" width="47.42578125" style="355" customWidth="1"/>
    <col min="13318" max="13318" width="21.42578125" style="355" customWidth="1"/>
    <col min="13319" max="13319" width="9.140625" style="355"/>
    <col min="13320" max="13320" width="12.28515625" style="355" customWidth="1"/>
    <col min="13321" max="13568" width="9.140625" style="355"/>
    <col min="13569" max="13569" width="4.42578125" style="355" customWidth="1"/>
    <col min="13570" max="13570" width="5.7109375" style="355" customWidth="1"/>
    <col min="13571" max="13571" width="8.42578125" style="355" customWidth="1"/>
    <col min="13572" max="13572" width="6.5703125" style="355" customWidth="1"/>
    <col min="13573" max="13573" width="47.42578125" style="355" customWidth="1"/>
    <col min="13574" max="13574" width="21.42578125" style="355" customWidth="1"/>
    <col min="13575" max="13575" width="9.140625" style="355"/>
    <col min="13576" max="13576" width="12.28515625" style="355" customWidth="1"/>
    <col min="13577" max="13824" width="9.140625" style="355"/>
    <col min="13825" max="13825" width="4.42578125" style="355" customWidth="1"/>
    <col min="13826" max="13826" width="5.7109375" style="355" customWidth="1"/>
    <col min="13827" max="13827" width="8.42578125" style="355" customWidth="1"/>
    <col min="13828" max="13828" width="6.5703125" style="355" customWidth="1"/>
    <col min="13829" max="13829" width="47.42578125" style="355" customWidth="1"/>
    <col min="13830" max="13830" width="21.42578125" style="355" customWidth="1"/>
    <col min="13831" max="13831" width="9.140625" style="355"/>
    <col min="13832" max="13832" width="12.28515625" style="355" customWidth="1"/>
    <col min="13833" max="14080" width="9.140625" style="355"/>
    <col min="14081" max="14081" width="4.42578125" style="355" customWidth="1"/>
    <col min="14082" max="14082" width="5.7109375" style="355" customWidth="1"/>
    <col min="14083" max="14083" width="8.42578125" style="355" customWidth="1"/>
    <col min="14084" max="14084" width="6.5703125" style="355" customWidth="1"/>
    <col min="14085" max="14085" width="47.42578125" style="355" customWidth="1"/>
    <col min="14086" max="14086" width="21.42578125" style="355" customWidth="1"/>
    <col min="14087" max="14087" width="9.140625" style="355"/>
    <col min="14088" max="14088" width="12.28515625" style="355" customWidth="1"/>
    <col min="14089" max="14336" width="9.140625" style="355"/>
    <col min="14337" max="14337" width="4.42578125" style="355" customWidth="1"/>
    <col min="14338" max="14338" width="5.7109375" style="355" customWidth="1"/>
    <col min="14339" max="14339" width="8.42578125" style="355" customWidth="1"/>
    <col min="14340" max="14340" width="6.5703125" style="355" customWidth="1"/>
    <col min="14341" max="14341" width="47.42578125" style="355" customWidth="1"/>
    <col min="14342" max="14342" width="21.42578125" style="355" customWidth="1"/>
    <col min="14343" max="14343" width="9.140625" style="355"/>
    <col min="14344" max="14344" width="12.28515625" style="355" customWidth="1"/>
    <col min="14345" max="14592" width="9.140625" style="355"/>
    <col min="14593" max="14593" width="4.42578125" style="355" customWidth="1"/>
    <col min="14594" max="14594" width="5.7109375" style="355" customWidth="1"/>
    <col min="14595" max="14595" width="8.42578125" style="355" customWidth="1"/>
    <col min="14596" max="14596" width="6.5703125" style="355" customWidth="1"/>
    <col min="14597" max="14597" width="47.42578125" style="355" customWidth="1"/>
    <col min="14598" max="14598" width="21.42578125" style="355" customWidth="1"/>
    <col min="14599" max="14599" width="9.140625" style="355"/>
    <col min="14600" max="14600" width="12.28515625" style="355" customWidth="1"/>
    <col min="14601" max="14848" width="9.140625" style="355"/>
    <col min="14849" max="14849" width="4.42578125" style="355" customWidth="1"/>
    <col min="14850" max="14850" width="5.7109375" style="355" customWidth="1"/>
    <col min="14851" max="14851" width="8.42578125" style="355" customWidth="1"/>
    <col min="14852" max="14852" width="6.5703125" style="355" customWidth="1"/>
    <col min="14853" max="14853" width="47.42578125" style="355" customWidth="1"/>
    <col min="14854" max="14854" width="21.42578125" style="355" customWidth="1"/>
    <col min="14855" max="14855" width="9.140625" style="355"/>
    <col min="14856" max="14856" width="12.28515625" style="355" customWidth="1"/>
    <col min="14857" max="15104" width="9.140625" style="355"/>
    <col min="15105" max="15105" width="4.42578125" style="355" customWidth="1"/>
    <col min="15106" max="15106" width="5.7109375" style="355" customWidth="1"/>
    <col min="15107" max="15107" width="8.42578125" style="355" customWidth="1"/>
    <col min="15108" max="15108" width="6.5703125" style="355" customWidth="1"/>
    <col min="15109" max="15109" width="47.42578125" style="355" customWidth="1"/>
    <col min="15110" max="15110" width="21.42578125" style="355" customWidth="1"/>
    <col min="15111" max="15111" width="9.140625" style="355"/>
    <col min="15112" max="15112" width="12.28515625" style="355" customWidth="1"/>
    <col min="15113" max="15360" width="9.140625" style="355"/>
    <col min="15361" max="15361" width="4.42578125" style="355" customWidth="1"/>
    <col min="15362" max="15362" width="5.7109375" style="355" customWidth="1"/>
    <col min="15363" max="15363" width="8.42578125" style="355" customWidth="1"/>
    <col min="15364" max="15364" width="6.5703125" style="355" customWidth="1"/>
    <col min="15365" max="15365" width="47.42578125" style="355" customWidth="1"/>
    <col min="15366" max="15366" width="21.42578125" style="355" customWidth="1"/>
    <col min="15367" max="15367" width="9.140625" style="355"/>
    <col min="15368" max="15368" width="12.28515625" style="355" customWidth="1"/>
    <col min="15369" max="15616" width="9.140625" style="355"/>
    <col min="15617" max="15617" width="4.42578125" style="355" customWidth="1"/>
    <col min="15618" max="15618" width="5.7109375" style="355" customWidth="1"/>
    <col min="15619" max="15619" width="8.42578125" style="355" customWidth="1"/>
    <col min="15620" max="15620" width="6.5703125" style="355" customWidth="1"/>
    <col min="15621" max="15621" width="47.42578125" style="355" customWidth="1"/>
    <col min="15622" max="15622" width="21.42578125" style="355" customWidth="1"/>
    <col min="15623" max="15623" width="9.140625" style="355"/>
    <col min="15624" max="15624" width="12.28515625" style="355" customWidth="1"/>
    <col min="15625" max="15872" width="9.140625" style="355"/>
    <col min="15873" max="15873" width="4.42578125" style="355" customWidth="1"/>
    <col min="15874" max="15874" width="5.7109375" style="355" customWidth="1"/>
    <col min="15875" max="15875" width="8.42578125" style="355" customWidth="1"/>
    <col min="15876" max="15876" width="6.5703125" style="355" customWidth="1"/>
    <col min="15877" max="15877" width="47.42578125" style="355" customWidth="1"/>
    <col min="15878" max="15878" width="21.42578125" style="355" customWidth="1"/>
    <col min="15879" max="15879" width="9.140625" style="355"/>
    <col min="15880" max="15880" width="12.28515625" style="355" customWidth="1"/>
    <col min="15881" max="16128" width="9.140625" style="355"/>
    <col min="16129" max="16129" width="4.42578125" style="355" customWidth="1"/>
    <col min="16130" max="16130" width="5.7109375" style="355" customWidth="1"/>
    <col min="16131" max="16131" width="8.42578125" style="355" customWidth="1"/>
    <col min="16132" max="16132" width="6.5703125" style="355" customWidth="1"/>
    <col min="16133" max="16133" width="47.42578125" style="355" customWidth="1"/>
    <col min="16134" max="16134" width="21.42578125" style="355" customWidth="1"/>
    <col min="16135" max="16135" width="9.140625" style="355"/>
    <col min="16136" max="16136" width="12.28515625" style="355" customWidth="1"/>
    <col min="16137" max="16384" width="9.140625" style="355"/>
  </cols>
  <sheetData>
    <row r="1" spans="1:8" ht="13.5" customHeight="1" x14ac:dyDescent="0.2">
      <c r="E1" s="357"/>
      <c r="F1" s="358" t="s">
        <v>384</v>
      </c>
    </row>
    <row r="2" spans="1:8" x14ac:dyDescent="0.2">
      <c r="E2" s="357"/>
      <c r="F2" s="3" t="s">
        <v>289</v>
      </c>
    </row>
    <row r="3" spans="1:8" x14ac:dyDescent="0.2">
      <c r="E3" s="357"/>
      <c r="F3" s="3" t="s">
        <v>0</v>
      </c>
    </row>
    <row r="4" spans="1:8" x14ac:dyDescent="0.2">
      <c r="E4" s="357"/>
      <c r="F4" s="3" t="s">
        <v>290</v>
      </c>
    </row>
    <row r="5" spans="1:8" ht="18.75" customHeight="1" x14ac:dyDescent="0.2">
      <c r="E5" s="359"/>
    </row>
    <row r="6" spans="1:8" ht="13.5" customHeight="1" x14ac:dyDescent="0.2">
      <c r="A6" s="360" t="s">
        <v>356</v>
      </c>
      <c r="B6" s="360"/>
      <c r="C6" s="360"/>
      <c r="D6" s="361"/>
      <c r="E6" s="360"/>
      <c r="F6" s="360"/>
    </row>
    <row r="7" spans="1:8" ht="14.25" customHeight="1" x14ac:dyDescent="0.2">
      <c r="A7" s="360" t="s">
        <v>385</v>
      </c>
      <c r="B7" s="360"/>
      <c r="C7" s="360"/>
      <c r="D7" s="361"/>
      <c r="E7" s="360"/>
      <c r="F7" s="360"/>
    </row>
    <row r="8" spans="1:8" ht="17.25" customHeight="1" x14ac:dyDescent="0.2">
      <c r="A8" s="362"/>
      <c r="B8" s="362"/>
      <c r="C8" s="362"/>
      <c r="D8" s="363"/>
      <c r="E8" s="362"/>
      <c r="F8" s="364" t="s">
        <v>2</v>
      </c>
    </row>
    <row r="9" spans="1:8" ht="20.25" customHeight="1" x14ac:dyDescent="0.2">
      <c r="A9" s="365" t="s">
        <v>358</v>
      </c>
      <c r="B9" s="365" t="s">
        <v>301</v>
      </c>
      <c r="C9" s="365" t="s">
        <v>335</v>
      </c>
      <c r="D9" s="366" t="s">
        <v>359</v>
      </c>
      <c r="E9" s="367" t="s">
        <v>360</v>
      </c>
      <c r="F9" s="365" t="s">
        <v>361</v>
      </c>
    </row>
    <row r="10" spans="1:8" s="371" customFormat="1" ht="9.75" customHeight="1" x14ac:dyDescent="0.2">
      <c r="A10" s="368">
        <v>1</v>
      </c>
      <c r="B10" s="368">
        <v>2</v>
      </c>
      <c r="C10" s="368">
        <v>3</v>
      </c>
      <c r="D10" s="369">
        <v>4</v>
      </c>
      <c r="E10" s="370">
        <v>5</v>
      </c>
      <c r="F10" s="368">
        <v>6</v>
      </c>
    </row>
    <row r="11" spans="1:8" ht="17.25" customHeight="1" x14ac:dyDescent="0.2">
      <c r="A11" s="649" t="s">
        <v>362</v>
      </c>
      <c r="B11" s="650"/>
      <c r="C11" s="650"/>
      <c r="D11" s="372"/>
      <c r="E11" s="650"/>
      <c r="F11" s="651"/>
    </row>
    <row r="12" spans="1:8" ht="24" customHeight="1" x14ac:dyDescent="0.2">
      <c r="A12" s="373">
        <v>1</v>
      </c>
      <c r="B12" s="373">
        <v>600</v>
      </c>
      <c r="C12" s="373">
        <v>60095</v>
      </c>
      <c r="D12" s="374">
        <v>6230</v>
      </c>
      <c r="E12" s="375" t="s">
        <v>386</v>
      </c>
      <c r="F12" s="376">
        <v>200000</v>
      </c>
    </row>
    <row r="13" spans="1:8" ht="17.25" customHeight="1" x14ac:dyDescent="0.2">
      <c r="A13" s="373">
        <v>2</v>
      </c>
      <c r="B13" s="373">
        <v>700</v>
      </c>
      <c r="C13" s="373">
        <v>70095</v>
      </c>
      <c r="D13" s="328">
        <v>6230</v>
      </c>
      <c r="E13" s="377" t="s">
        <v>387</v>
      </c>
      <c r="F13" s="378">
        <v>1500000</v>
      </c>
      <c r="G13" s="379"/>
    </row>
    <row r="14" spans="1:8" ht="26.25" customHeight="1" x14ac:dyDescent="0.2">
      <c r="A14" s="380">
        <v>3</v>
      </c>
      <c r="B14" s="380">
        <v>750</v>
      </c>
      <c r="C14" s="380">
        <v>75095</v>
      </c>
      <c r="D14" s="381">
        <v>2820</v>
      </c>
      <c r="E14" s="382" t="s">
        <v>388</v>
      </c>
      <c r="F14" s="330">
        <v>90000</v>
      </c>
      <c r="H14" s="383"/>
    </row>
    <row r="15" spans="1:8" ht="26.25" customHeight="1" x14ac:dyDescent="0.2">
      <c r="A15" s="380">
        <v>4</v>
      </c>
      <c r="B15" s="380">
        <v>750</v>
      </c>
      <c r="C15" s="380">
        <v>75095</v>
      </c>
      <c r="D15" s="384" t="s">
        <v>389</v>
      </c>
      <c r="E15" s="385" t="s">
        <v>390</v>
      </c>
      <c r="F15" s="330">
        <f>20033.52+113523.25</f>
        <v>133556.76999999999</v>
      </c>
      <c r="H15" s="383"/>
    </row>
    <row r="16" spans="1:8" ht="15.75" customHeight="1" x14ac:dyDescent="0.2">
      <c r="A16" s="380">
        <v>5</v>
      </c>
      <c r="B16" s="380">
        <v>755</v>
      </c>
      <c r="C16" s="380">
        <v>75515</v>
      </c>
      <c r="D16" s="381">
        <v>2360</v>
      </c>
      <c r="E16" s="382" t="s">
        <v>391</v>
      </c>
      <c r="F16" s="378">
        <f>128040+128040-128040</f>
        <v>128040</v>
      </c>
      <c r="H16" s="383"/>
    </row>
    <row r="17" spans="1:8" ht="35.25" customHeight="1" x14ac:dyDescent="0.2">
      <c r="A17" s="332">
        <v>6</v>
      </c>
      <c r="B17" s="332">
        <v>801</v>
      </c>
      <c r="C17" s="332">
        <v>80101</v>
      </c>
      <c r="D17" s="386" t="s">
        <v>392</v>
      </c>
      <c r="E17" s="387" t="s">
        <v>41</v>
      </c>
      <c r="F17" s="315">
        <f>1182.91+1343.84+1213.79+1344+1300+1344+1300+1344+114750+1343+642.6-5024.7</f>
        <v>122083.44000000002</v>
      </c>
      <c r="H17" s="383"/>
    </row>
    <row r="18" spans="1:8" ht="22.5" customHeight="1" x14ac:dyDescent="0.2">
      <c r="A18" s="388"/>
      <c r="B18" s="389"/>
      <c r="C18" s="390"/>
      <c r="D18" s="391"/>
      <c r="E18" s="392" t="s">
        <v>393</v>
      </c>
      <c r="F18" s="393"/>
      <c r="H18" s="383"/>
    </row>
    <row r="19" spans="1:8" ht="23.25" customHeight="1" x14ac:dyDescent="0.2">
      <c r="A19" s="394"/>
      <c r="B19" s="395"/>
      <c r="C19" s="396"/>
      <c r="D19" s="397"/>
      <c r="E19" s="398" t="s">
        <v>394</v>
      </c>
      <c r="F19" s="399"/>
      <c r="H19" s="383"/>
    </row>
    <row r="20" spans="1:8" ht="23.25" customHeight="1" x14ac:dyDescent="0.2">
      <c r="A20" s="394"/>
      <c r="B20" s="395"/>
      <c r="C20" s="396"/>
      <c r="D20" s="397"/>
      <c r="E20" s="400" t="s">
        <v>395</v>
      </c>
      <c r="F20" s="399"/>
      <c r="H20" s="383"/>
    </row>
    <row r="21" spans="1:8" ht="17.25" customHeight="1" x14ac:dyDescent="0.2">
      <c r="A21" s="394"/>
      <c r="B21" s="395"/>
      <c r="C21" s="396"/>
      <c r="D21" s="397"/>
      <c r="E21" s="398" t="s">
        <v>396</v>
      </c>
      <c r="F21" s="399"/>
      <c r="H21" s="383"/>
    </row>
    <row r="22" spans="1:8" ht="16.5" customHeight="1" x14ac:dyDescent="0.2">
      <c r="A22" s="394"/>
      <c r="B22" s="395"/>
      <c r="C22" s="396"/>
      <c r="D22" s="397"/>
      <c r="E22" s="398" t="s">
        <v>397</v>
      </c>
      <c r="F22" s="399"/>
      <c r="H22" s="383"/>
    </row>
    <row r="23" spans="1:8" ht="18.75" customHeight="1" x14ac:dyDescent="0.2">
      <c r="A23" s="394"/>
      <c r="B23" s="395"/>
      <c r="C23" s="354"/>
      <c r="D23" s="401"/>
      <c r="E23" s="400" t="s">
        <v>398</v>
      </c>
      <c r="F23" s="402"/>
      <c r="H23" s="383"/>
    </row>
    <row r="24" spans="1:8" ht="34.5" customHeight="1" x14ac:dyDescent="0.2">
      <c r="A24" s="332">
        <v>7</v>
      </c>
      <c r="B24" s="332">
        <v>801</v>
      </c>
      <c r="C24" s="387">
        <v>80104</v>
      </c>
      <c r="D24" s="403" t="s">
        <v>399</v>
      </c>
      <c r="E24" s="387" t="s">
        <v>45</v>
      </c>
      <c r="F24" s="315">
        <f>10372.44+5081.41+5625+5444+5625+5991+5598+112500+6138+4897-2049.3-9504.45</f>
        <v>155718.1</v>
      </c>
      <c r="H24" s="383"/>
    </row>
    <row r="25" spans="1:8" ht="15.75" customHeight="1" x14ac:dyDescent="0.2">
      <c r="A25" s="388"/>
      <c r="B25" s="389"/>
      <c r="C25" s="389"/>
      <c r="D25" s="404"/>
      <c r="E25" s="405" t="s">
        <v>400</v>
      </c>
      <c r="F25" s="393"/>
      <c r="H25" s="383"/>
    </row>
    <row r="26" spans="1:8" ht="15.75" customHeight="1" x14ac:dyDescent="0.2">
      <c r="A26" s="394"/>
      <c r="B26" s="395"/>
      <c r="C26" s="395"/>
      <c r="D26" s="406"/>
      <c r="E26" s="407" t="s">
        <v>401</v>
      </c>
      <c r="F26" s="399"/>
      <c r="H26" s="383"/>
    </row>
    <row r="27" spans="1:8" ht="15.75" customHeight="1" x14ac:dyDescent="0.2">
      <c r="A27" s="394"/>
      <c r="B27" s="395"/>
      <c r="C27" s="395"/>
      <c r="D27" s="406"/>
      <c r="E27" s="408" t="s">
        <v>402</v>
      </c>
      <c r="F27" s="399"/>
      <c r="H27" s="383"/>
    </row>
    <row r="28" spans="1:8" ht="15.75" customHeight="1" x14ac:dyDescent="0.2">
      <c r="A28" s="394"/>
      <c r="B28" s="395"/>
      <c r="C28" s="395"/>
      <c r="D28" s="406"/>
      <c r="E28" s="409" t="s">
        <v>403</v>
      </c>
      <c r="F28" s="399"/>
      <c r="H28" s="383"/>
    </row>
    <row r="29" spans="1:8" ht="15.75" customHeight="1" x14ac:dyDescent="0.2">
      <c r="A29" s="394"/>
      <c r="B29" s="395"/>
      <c r="C29" s="395"/>
      <c r="D29" s="406"/>
      <c r="E29" s="410" t="s">
        <v>404</v>
      </c>
      <c r="F29" s="399"/>
      <c r="H29" s="383"/>
    </row>
    <row r="30" spans="1:8" ht="15.75" customHeight="1" x14ac:dyDescent="0.2">
      <c r="A30" s="394"/>
      <c r="B30" s="395"/>
      <c r="C30" s="395"/>
      <c r="D30" s="406"/>
      <c r="E30" s="411" t="s">
        <v>405</v>
      </c>
      <c r="F30" s="399"/>
      <c r="H30" s="383"/>
    </row>
    <row r="31" spans="1:8" ht="15.75" customHeight="1" x14ac:dyDescent="0.2">
      <c r="A31" s="394"/>
      <c r="B31" s="395"/>
      <c r="C31" s="395"/>
      <c r="D31" s="406"/>
      <c r="E31" s="412" t="s">
        <v>406</v>
      </c>
      <c r="F31" s="399"/>
      <c r="H31" s="383"/>
    </row>
    <row r="32" spans="1:8" ht="15.75" customHeight="1" x14ac:dyDescent="0.2">
      <c r="A32" s="394"/>
      <c r="B32" s="395"/>
      <c r="C32" s="395"/>
      <c r="D32" s="406"/>
      <c r="E32" s="412" t="s">
        <v>407</v>
      </c>
      <c r="F32" s="399"/>
      <c r="H32" s="383"/>
    </row>
    <row r="33" spans="1:8" ht="15.75" customHeight="1" x14ac:dyDescent="0.2">
      <c r="A33" s="394"/>
      <c r="B33" s="395"/>
      <c r="C33" s="395"/>
      <c r="D33" s="406"/>
      <c r="E33" s="412" t="s">
        <v>408</v>
      </c>
      <c r="F33" s="399"/>
      <c r="H33" s="383"/>
    </row>
    <row r="34" spans="1:8" ht="15.75" customHeight="1" x14ac:dyDescent="0.2">
      <c r="A34" s="394"/>
      <c r="B34" s="395"/>
      <c r="C34" s="395"/>
      <c r="D34" s="406"/>
      <c r="E34" s="412" t="s">
        <v>409</v>
      </c>
      <c r="F34" s="399"/>
      <c r="H34" s="383"/>
    </row>
    <row r="35" spans="1:8" ht="15.75" customHeight="1" x14ac:dyDescent="0.2">
      <c r="A35" s="394"/>
      <c r="B35" s="395"/>
      <c r="C35" s="395"/>
      <c r="D35" s="406"/>
      <c r="E35" s="412" t="s">
        <v>410</v>
      </c>
      <c r="F35" s="399"/>
      <c r="H35" s="383"/>
    </row>
    <row r="36" spans="1:8" ht="15.75" customHeight="1" x14ac:dyDescent="0.2">
      <c r="A36" s="394"/>
      <c r="B36" s="395"/>
      <c r="C36" s="395"/>
      <c r="D36" s="406"/>
      <c r="E36" s="412" t="s">
        <v>411</v>
      </c>
      <c r="F36" s="399"/>
      <c r="H36" s="383"/>
    </row>
    <row r="37" spans="1:8" ht="15.75" customHeight="1" x14ac:dyDescent="0.2">
      <c r="A37" s="394"/>
      <c r="B37" s="395"/>
      <c r="C37" s="395"/>
      <c r="D37" s="406"/>
      <c r="E37" s="412" t="s">
        <v>412</v>
      </c>
      <c r="F37" s="399"/>
      <c r="H37" s="383"/>
    </row>
    <row r="38" spans="1:8" ht="15.75" customHeight="1" x14ac:dyDescent="0.2">
      <c r="A38" s="413"/>
      <c r="B38" s="354"/>
      <c r="C38" s="354"/>
      <c r="D38" s="401"/>
      <c r="E38" s="394" t="s">
        <v>413</v>
      </c>
      <c r="F38" s="414"/>
      <c r="H38" s="383"/>
    </row>
    <row r="39" spans="1:8" ht="15.75" customHeight="1" x14ac:dyDescent="0.2">
      <c r="A39" s="324">
        <v>8</v>
      </c>
      <c r="B39" s="324">
        <v>801</v>
      </c>
      <c r="C39" s="387">
        <v>80106</v>
      </c>
      <c r="D39" s="415">
        <v>2830</v>
      </c>
      <c r="E39" s="387" t="s">
        <v>191</v>
      </c>
      <c r="F39" s="325">
        <f>2250-904.05</f>
        <v>1345.95</v>
      </c>
      <c r="H39" s="383"/>
    </row>
    <row r="40" spans="1:8" ht="15.75" customHeight="1" x14ac:dyDescent="0.2">
      <c r="A40" s="416"/>
      <c r="B40" s="417"/>
      <c r="C40" s="418"/>
      <c r="D40" s="328"/>
      <c r="E40" s="387" t="s">
        <v>414</v>
      </c>
      <c r="F40" s="325"/>
      <c r="H40" s="383"/>
    </row>
    <row r="41" spans="1:8" ht="22.15" customHeight="1" x14ac:dyDescent="0.2">
      <c r="A41" s="332">
        <v>9</v>
      </c>
      <c r="B41" s="332">
        <v>801</v>
      </c>
      <c r="C41" s="387">
        <v>80115</v>
      </c>
      <c r="D41" s="419" t="s">
        <v>415</v>
      </c>
      <c r="E41" s="387" t="s">
        <v>47</v>
      </c>
      <c r="F41" s="315">
        <f>41625+899-5284.35</f>
        <v>37239.65</v>
      </c>
      <c r="H41" s="383"/>
    </row>
    <row r="42" spans="1:8" ht="22.5" customHeight="1" x14ac:dyDescent="0.2">
      <c r="A42" s="416"/>
      <c r="B42" s="417"/>
      <c r="C42" s="418"/>
      <c r="D42" s="328"/>
      <c r="E42" s="420" t="s">
        <v>416</v>
      </c>
      <c r="F42" s="325"/>
      <c r="H42" s="383"/>
    </row>
    <row r="43" spans="1:8" ht="22.5" customHeight="1" x14ac:dyDescent="0.2">
      <c r="A43" s="332">
        <v>10</v>
      </c>
      <c r="B43" s="332">
        <v>801</v>
      </c>
      <c r="C43" s="387">
        <v>80116</v>
      </c>
      <c r="D43" s="403" t="s">
        <v>417</v>
      </c>
      <c r="E43" s="387" t="s">
        <v>194</v>
      </c>
      <c r="F43" s="315">
        <f>91125-4741.2-71578.35</f>
        <v>14805.449999999997</v>
      </c>
      <c r="H43" s="383"/>
    </row>
    <row r="44" spans="1:8" ht="17.25" customHeight="1" x14ac:dyDescent="0.2">
      <c r="A44" s="388"/>
      <c r="B44" s="389"/>
      <c r="C44" s="390"/>
      <c r="D44" s="421"/>
      <c r="E44" s="422" t="s">
        <v>418</v>
      </c>
      <c r="F44" s="393"/>
      <c r="H44" s="383"/>
    </row>
    <row r="45" spans="1:8" ht="24" customHeight="1" x14ac:dyDescent="0.2">
      <c r="A45" s="394"/>
      <c r="B45" s="395"/>
      <c r="C45" s="396"/>
      <c r="D45" s="423"/>
      <c r="E45" s="398" t="s">
        <v>419</v>
      </c>
      <c r="F45" s="399"/>
      <c r="H45" s="383"/>
    </row>
    <row r="46" spans="1:8" ht="15.75" customHeight="1" x14ac:dyDescent="0.2">
      <c r="A46" s="394"/>
      <c r="B46" s="395"/>
      <c r="C46" s="396"/>
      <c r="D46" s="423"/>
      <c r="E46" s="424" t="s">
        <v>420</v>
      </c>
      <c r="F46" s="399"/>
      <c r="H46" s="383"/>
    </row>
    <row r="47" spans="1:8" ht="18" customHeight="1" x14ac:dyDescent="0.2">
      <c r="A47" s="394"/>
      <c r="B47" s="395"/>
      <c r="C47" s="396"/>
      <c r="D47" s="423"/>
      <c r="E47" s="424" t="s">
        <v>421</v>
      </c>
      <c r="F47" s="399"/>
      <c r="H47" s="383"/>
    </row>
    <row r="48" spans="1:8" ht="17.25" customHeight="1" x14ac:dyDescent="0.2">
      <c r="A48" s="394"/>
      <c r="B48" s="395"/>
      <c r="C48" s="396"/>
      <c r="D48" s="423"/>
      <c r="E48" s="424" t="s">
        <v>422</v>
      </c>
      <c r="F48" s="399"/>
      <c r="H48" s="383"/>
    </row>
    <row r="49" spans="1:8" ht="16.5" customHeight="1" x14ac:dyDescent="0.2">
      <c r="A49" s="394"/>
      <c r="B49" s="395"/>
      <c r="C49" s="396"/>
      <c r="D49" s="423"/>
      <c r="E49" s="424" t="s">
        <v>423</v>
      </c>
      <c r="F49" s="399"/>
      <c r="H49" s="383"/>
    </row>
    <row r="50" spans="1:8" ht="15" customHeight="1" x14ac:dyDescent="0.2">
      <c r="A50" s="394"/>
      <c r="B50" s="395"/>
      <c r="C50" s="396"/>
      <c r="D50" s="423"/>
      <c r="E50" s="424" t="s">
        <v>424</v>
      </c>
      <c r="F50" s="399"/>
      <c r="H50" s="383"/>
    </row>
    <row r="51" spans="1:8" ht="15.75" customHeight="1" x14ac:dyDescent="0.2">
      <c r="A51" s="394"/>
      <c r="B51" s="395"/>
      <c r="C51" s="396"/>
      <c r="D51" s="423"/>
      <c r="E51" s="424" t="s">
        <v>425</v>
      </c>
      <c r="F51" s="399"/>
      <c r="H51" s="383"/>
    </row>
    <row r="52" spans="1:8" ht="16.5" customHeight="1" x14ac:dyDescent="0.2">
      <c r="A52" s="394"/>
      <c r="B52" s="395"/>
      <c r="C52" s="396"/>
      <c r="D52" s="423"/>
      <c r="E52" s="424" t="s">
        <v>426</v>
      </c>
      <c r="F52" s="399"/>
      <c r="H52" s="383"/>
    </row>
    <row r="53" spans="1:8" ht="15" customHeight="1" x14ac:dyDescent="0.2">
      <c r="A53" s="394"/>
      <c r="B53" s="395"/>
      <c r="C53" s="396"/>
      <c r="D53" s="423"/>
      <c r="E53" s="424" t="s">
        <v>427</v>
      </c>
      <c r="F53" s="399"/>
      <c r="H53" s="383"/>
    </row>
    <row r="54" spans="1:8" ht="15.75" customHeight="1" x14ac:dyDescent="0.2">
      <c r="A54" s="413"/>
      <c r="B54" s="354"/>
      <c r="C54" s="425"/>
      <c r="D54" s="403"/>
      <c r="E54" s="426" t="s">
        <v>428</v>
      </c>
      <c r="F54" s="414"/>
      <c r="H54" s="383"/>
    </row>
    <row r="55" spans="1:8" ht="36" customHeight="1" x14ac:dyDescent="0.2">
      <c r="A55" s="332">
        <v>11</v>
      </c>
      <c r="B55" s="332">
        <v>801</v>
      </c>
      <c r="C55" s="387">
        <v>80117</v>
      </c>
      <c r="D55" s="403" t="s">
        <v>399</v>
      </c>
      <c r="E55" s="387" t="s">
        <v>48</v>
      </c>
      <c r="F55" s="315">
        <f>741.67+861+776+10353+828+796-8665+856+13500+854+2404+1767.6-3154.05</f>
        <v>21918.219999999998</v>
      </c>
      <c r="H55" s="383"/>
    </row>
    <row r="56" spans="1:8" ht="15.75" customHeight="1" x14ac:dyDescent="0.2">
      <c r="A56" s="388"/>
      <c r="B56" s="389"/>
      <c r="C56" s="389"/>
      <c r="D56" s="404"/>
      <c r="E56" s="427" t="s">
        <v>429</v>
      </c>
      <c r="F56" s="393"/>
      <c r="H56" s="383"/>
    </row>
    <row r="57" spans="1:8" ht="24" customHeight="1" x14ac:dyDescent="0.2">
      <c r="A57" s="413"/>
      <c r="B57" s="354"/>
      <c r="C57" s="354"/>
      <c r="D57" s="401"/>
      <c r="E57" s="428" t="s">
        <v>430</v>
      </c>
      <c r="F57" s="414"/>
      <c r="H57" s="383"/>
    </row>
    <row r="58" spans="1:8" ht="22.5" customHeight="1" x14ac:dyDescent="0.2">
      <c r="A58" s="332">
        <v>12</v>
      </c>
      <c r="B58" s="332">
        <v>801</v>
      </c>
      <c r="C58" s="387">
        <v>80120</v>
      </c>
      <c r="D58" s="403" t="s">
        <v>431</v>
      </c>
      <c r="E58" s="387" t="s">
        <v>49</v>
      </c>
      <c r="F58" s="315">
        <f>8442.4+10140+9354+859+9992+9982+19497+10331+81000+10316+4204-17740.35</f>
        <v>156377.04999999999</v>
      </c>
      <c r="H58" s="383"/>
    </row>
    <row r="59" spans="1:8" ht="23.25" customHeight="1" x14ac:dyDescent="0.2">
      <c r="A59" s="394"/>
      <c r="B59" s="395"/>
      <c r="C59" s="389"/>
      <c r="D59" s="404"/>
      <c r="E59" s="429" t="s">
        <v>432</v>
      </c>
      <c r="F59" s="399"/>
      <c r="H59" s="383"/>
    </row>
    <row r="60" spans="1:8" ht="33" customHeight="1" x14ac:dyDescent="0.2">
      <c r="A60" s="394"/>
      <c r="B60" s="395"/>
      <c r="C60" s="395"/>
      <c r="D60" s="406"/>
      <c r="E60" s="398" t="s">
        <v>433</v>
      </c>
      <c r="F60" s="399"/>
      <c r="H60" s="383"/>
    </row>
    <row r="61" spans="1:8" ht="15.75" customHeight="1" x14ac:dyDescent="0.2">
      <c r="A61" s="394"/>
      <c r="B61" s="395"/>
      <c r="C61" s="395"/>
      <c r="D61" s="406"/>
      <c r="E61" s="398" t="s">
        <v>434</v>
      </c>
      <c r="F61" s="399"/>
      <c r="H61" s="383"/>
    </row>
    <row r="62" spans="1:8" ht="22.5" customHeight="1" x14ac:dyDescent="0.2">
      <c r="A62" s="394"/>
      <c r="B62" s="395"/>
      <c r="C62" s="395"/>
      <c r="D62" s="406"/>
      <c r="E62" s="398" t="s">
        <v>435</v>
      </c>
      <c r="F62" s="399"/>
      <c r="H62" s="383"/>
    </row>
    <row r="63" spans="1:8" ht="21.75" customHeight="1" x14ac:dyDescent="0.2">
      <c r="A63" s="394"/>
      <c r="B63" s="395"/>
      <c r="C63" s="395"/>
      <c r="D63" s="406"/>
      <c r="E63" s="398" t="s">
        <v>436</v>
      </c>
      <c r="F63" s="399"/>
      <c r="H63" s="383"/>
    </row>
    <row r="64" spans="1:8" ht="15" customHeight="1" x14ac:dyDescent="0.2">
      <c r="A64" s="394"/>
      <c r="B64" s="395"/>
      <c r="C64" s="395"/>
      <c r="D64" s="406"/>
      <c r="E64" s="398" t="s">
        <v>437</v>
      </c>
      <c r="F64" s="399"/>
      <c r="H64" s="383"/>
    </row>
    <row r="65" spans="1:8" ht="14.25" customHeight="1" x14ac:dyDescent="0.2">
      <c r="A65" s="394"/>
      <c r="B65" s="395"/>
      <c r="C65" s="395"/>
      <c r="D65" s="406"/>
      <c r="E65" s="398" t="s">
        <v>438</v>
      </c>
      <c r="F65" s="399"/>
      <c r="H65" s="383"/>
    </row>
    <row r="66" spans="1:8" ht="13.5" customHeight="1" x14ac:dyDescent="0.2">
      <c r="A66" s="394"/>
      <c r="B66" s="395"/>
      <c r="C66" s="395"/>
      <c r="D66" s="406"/>
      <c r="E66" s="398" t="s">
        <v>439</v>
      </c>
      <c r="F66" s="399"/>
      <c r="H66" s="383"/>
    </row>
    <row r="67" spans="1:8" ht="14.25" customHeight="1" x14ac:dyDescent="0.2">
      <c r="A67" s="413"/>
      <c r="B67" s="354"/>
      <c r="C67" s="354"/>
      <c r="D67" s="401"/>
      <c r="E67" s="430" t="s">
        <v>440</v>
      </c>
      <c r="F67" s="414"/>
      <c r="H67" s="383"/>
    </row>
    <row r="68" spans="1:8" ht="46.5" customHeight="1" x14ac:dyDescent="0.2">
      <c r="A68" s="431">
        <v>13</v>
      </c>
      <c r="B68" s="431">
        <v>801</v>
      </c>
      <c r="C68" s="432">
        <v>80149</v>
      </c>
      <c r="D68" s="386">
        <v>2830</v>
      </c>
      <c r="E68" s="433" t="s">
        <v>441</v>
      </c>
      <c r="F68" s="434">
        <f>28125-3897.9</f>
        <v>24227.1</v>
      </c>
      <c r="H68" s="383"/>
    </row>
    <row r="69" spans="1:8" ht="15.75" customHeight="1" x14ac:dyDescent="0.2">
      <c r="A69" s="435"/>
      <c r="B69" s="436"/>
      <c r="C69" s="436"/>
      <c r="D69" s="391"/>
      <c r="E69" s="437" t="s">
        <v>442</v>
      </c>
      <c r="F69" s="438"/>
      <c r="H69" s="383"/>
    </row>
    <row r="70" spans="1:8" ht="15.75" customHeight="1" x14ac:dyDescent="0.2">
      <c r="A70" s="439"/>
      <c r="B70" s="440"/>
      <c r="C70" s="440"/>
      <c r="D70" s="397"/>
      <c r="E70" s="441" t="s">
        <v>443</v>
      </c>
      <c r="F70" s="442"/>
      <c r="H70" s="383"/>
    </row>
    <row r="71" spans="1:8" ht="15" customHeight="1" x14ac:dyDescent="0.2">
      <c r="A71" s="443"/>
      <c r="B71" s="444"/>
      <c r="C71" s="444"/>
      <c r="D71" s="386"/>
      <c r="E71" s="445" t="s">
        <v>444</v>
      </c>
      <c r="F71" s="446"/>
      <c r="H71" s="383"/>
    </row>
    <row r="72" spans="1:8" ht="48" customHeight="1" x14ac:dyDescent="0.2">
      <c r="A72" s="431">
        <v>14</v>
      </c>
      <c r="B72" s="431">
        <v>801</v>
      </c>
      <c r="C72" s="432">
        <v>80153</v>
      </c>
      <c r="D72" s="386" t="s">
        <v>445</v>
      </c>
      <c r="E72" s="433" t="s">
        <v>446</v>
      </c>
      <c r="F72" s="434">
        <f>85604.57+27.23+27.23-27.23+7554.28-2138.44+179.69</f>
        <v>91227.33</v>
      </c>
      <c r="H72" s="383"/>
    </row>
    <row r="73" spans="1:8" ht="12.75" customHeight="1" x14ac:dyDescent="0.2">
      <c r="A73" s="447"/>
      <c r="B73" s="448"/>
      <c r="C73" s="448"/>
      <c r="D73" s="449"/>
      <c r="E73" s="450" t="s">
        <v>447</v>
      </c>
      <c r="F73" s="451"/>
      <c r="H73" s="383"/>
    </row>
    <row r="74" spans="1:8" ht="12.75" customHeight="1" x14ac:dyDescent="0.2">
      <c r="A74" s="452"/>
      <c r="B74" s="453"/>
      <c r="C74" s="453"/>
      <c r="D74" s="454"/>
      <c r="E74" s="455" t="s">
        <v>396</v>
      </c>
      <c r="F74" s="456"/>
      <c r="H74" s="383"/>
    </row>
    <row r="75" spans="1:8" ht="12.75" customHeight="1" x14ac:dyDescent="0.2">
      <c r="A75" s="452"/>
      <c r="B75" s="453"/>
      <c r="C75" s="453"/>
      <c r="D75" s="454"/>
      <c r="E75" s="457" t="s">
        <v>448</v>
      </c>
      <c r="F75" s="458"/>
      <c r="H75" s="383"/>
    </row>
    <row r="76" spans="1:8" ht="24.75" customHeight="1" x14ac:dyDescent="0.2">
      <c r="A76" s="452"/>
      <c r="B76" s="453"/>
      <c r="C76" s="453"/>
      <c r="D76" s="454"/>
      <c r="E76" s="457" t="s">
        <v>449</v>
      </c>
      <c r="F76" s="458"/>
      <c r="H76" s="383"/>
    </row>
    <row r="77" spans="1:8" ht="12.75" customHeight="1" x14ac:dyDescent="0.2">
      <c r="A77" s="459"/>
      <c r="B77" s="460"/>
      <c r="C77" s="460"/>
      <c r="D77" s="461"/>
      <c r="E77" s="462" t="s">
        <v>450</v>
      </c>
      <c r="F77" s="463"/>
      <c r="H77" s="383"/>
    </row>
    <row r="78" spans="1:8" ht="36" customHeight="1" x14ac:dyDescent="0.2">
      <c r="A78" s="464">
        <v>15</v>
      </c>
      <c r="B78" s="464">
        <v>801</v>
      </c>
      <c r="C78" s="465">
        <v>80195</v>
      </c>
      <c r="D78" s="401">
        <v>2827</v>
      </c>
      <c r="E78" s="466" t="s">
        <v>451</v>
      </c>
      <c r="F78" s="330">
        <f>14126-4851.46+30717+265865.03-48827.21+120444.72</f>
        <v>377474.08</v>
      </c>
      <c r="H78" s="383"/>
    </row>
    <row r="79" spans="1:8" ht="15" customHeight="1" x14ac:dyDescent="0.2">
      <c r="A79" s="380">
        <v>16</v>
      </c>
      <c r="B79" s="380">
        <v>851</v>
      </c>
      <c r="C79" s="467">
        <v>85153</v>
      </c>
      <c r="D79" s="401">
        <v>2360</v>
      </c>
      <c r="E79" s="465" t="s">
        <v>222</v>
      </c>
      <c r="F79" s="468">
        <f>60000+60000-60000</f>
        <v>60000</v>
      </c>
      <c r="H79" s="383"/>
    </row>
    <row r="80" spans="1:8" ht="36" customHeight="1" x14ac:dyDescent="0.2">
      <c r="A80" s="373">
        <v>17</v>
      </c>
      <c r="B80" s="373">
        <v>851</v>
      </c>
      <c r="C80" s="469">
        <v>85154</v>
      </c>
      <c r="D80" s="415">
        <v>2360</v>
      </c>
      <c r="E80" s="382" t="s">
        <v>452</v>
      </c>
      <c r="F80" s="330">
        <f>500000+40000+40000+540000-540000</f>
        <v>580000</v>
      </c>
    </row>
    <row r="81" spans="1:6" ht="24.75" customHeight="1" x14ac:dyDescent="0.2">
      <c r="A81" s="380">
        <v>18</v>
      </c>
      <c r="B81" s="380">
        <v>851</v>
      </c>
      <c r="C81" s="470">
        <v>85195</v>
      </c>
      <c r="D81" s="381">
        <v>2360</v>
      </c>
      <c r="E81" s="382" t="s">
        <v>453</v>
      </c>
      <c r="F81" s="330">
        <f>67500+67500-67500</f>
        <v>67500</v>
      </c>
    </row>
    <row r="82" spans="1:6" ht="24.75" customHeight="1" x14ac:dyDescent="0.2">
      <c r="A82" s="471">
        <v>19</v>
      </c>
      <c r="B82" s="472">
        <v>852</v>
      </c>
      <c r="C82" s="473">
        <v>85228</v>
      </c>
      <c r="D82" s="404">
        <v>2360</v>
      </c>
      <c r="E82" s="474" t="s">
        <v>454</v>
      </c>
      <c r="F82" s="330">
        <f>F83+F84</f>
        <v>10340275</v>
      </c>
    </row>
    <row r="83" spans="1:6" ht="13.5" customHeight="1" x14ac:dyDescent="0.2">
      <c r="A83" s="475" t="s">
        <v>455</v>
      </c>
      <c r="B83" s="472"/>
      <c r="C83" s="473"/>
      <c r="D83" s="404"/>
      <c r="E83" s="474" t="s">
        <v>456</v>
      </c>
      <c r="F83" s="476">
        <f>7600000-413770+7186230-7186230</f>
        <v>7186230</v>
      </c>
    </row>
    <row r="84" spans="1:6" ht="13.5" customHeight="1" x14ac:dyDescent="0.2">
      <c r="A84" s="475" t="s">
        <v>457</v>
      </c>
      <c r="B84" s="472"/>
      <c r="C84" s="473"/>
      <c r="D84" s="404"/>
      <c r="E84" s="474" t="s">
        <v>458</v>
      </c>
      <c r="F84" s="476">
        <f>2880500+2880500-2880500+273545</f>
        <v>3154045</v>
      </c>
    </row>
    <row r="85" spans="1:6" ht="25.5" customHeight="1" x14ac:dyDescent="0.2">
      <c r="A85" s="373">
        <v>20</v>
      </c>
      <c r="B85" s="373">
        <v>852</v>
      </c>
      <c r="C85" s="469">
        <v>85295</v>
      </c>
      <c r="D85" s="328">
        <v>2360</v>
      </c>
      <c r="E85" s="382" t="s">
        <v>459</v>
      </c>
      <c r="F85" s="330">
        <f>1742700+187270+1929970-1929970</f>
        <v>1929970</v>
      </c>
    </row>
    <row r="86" spans="1:6" ht="26.25" customHeight="1" x14ac:dyDescent="0.2">
      <c r="A86" s="373">
        <v>21</v>
      </c>
      <c r="B86" s="373">
        <v>852</v>
      </c>
      <c r="C86" s="469">
        <v>85295</v>
      </c>
      <c r="D86" s="328">
        <v>2827</v>
      </c>
      <c r="E86" s="382" t="s">
        <v>460</v>
      </c>
      <c r="F86" s="330">
        <f>115543.68+289564.4</f>
        <v>405108.08</v>
      </c>
    </row>
    <row r="87" spans="1:6" ht="26.25" customHeight="1" x14ac:dyDescent="0.2">
      <c r="A87" s="373">
        <v>22</v>
      </c>
      <c r="B87" s="373">
        <v>853</v>
      </c>
      <c r="C87" s="469">
        <v>85395</v>
      </c>
      <c r="D87" s="328">
        <v>2360</v>
      </c>
      <c r="E87" s="382" t="s">
        <v>461</v>
      </c>
      <c r="F87" s="330">
        <f>20000+20000-20000</f>
        <v>20000</v>
      </c>
    </row>
    <row r="88" spans="1:6" ht="34.5" customHeight="1" x14ac:dyDescent="0.2">
      <c r="A88" s="380">
        <v>23</v>
      </c>
      <c r="B88" s="380">
        <v>853</v>
      </c>
      <c r="C88" s="467">
        <v>85395</v>
      </c>
      <c r="D88" s="384" t="s">
        <v>389</v>
      </c>
      <c r="E88" s="385" t="s">
        <v>390</v>
      </c>
      <c r="F88" s="330">
        <f>27806.52+157570.3+35322.49+200160.75</f>
        <v>420860.05999999994</v>
      </c>
    </row>
    <row r="89" spans="1:6" ht="18" customHeight="1" x14ac:dyDescent="0.2">
      <c r="A89" s="373">
        <v>24</v>
      </c>
      <c r="B89" s="373">
        <v>854</v>
      </c>
      <c r="C89" s="469">
        <v>85402</v>
      </c>
      <c r="D89" s="477">
        <v>2830</v>
      </c>
      <c r="E89" s="478" t="s">
        <v>241</v>
      </c>
      <c r="F89" s="330">
        <f>6750-1366.2</f>
        <v>5383.8</v>
      </c>
    </row>
    <row r="90" spans="1:6" ht="15" customHeight="1" x14ac:dyDescent="0.2">
      <c r="A90" s="467"/>
      <c r="B90" s="470"/>
      <c r="C90" s="470"/>
      <c r="D90" s="384"/>
      <c r="E90" s="385" t="s">
        <v>462</v>
      </c>
      <c r="F90" s="330"/>
    </row>
    <row r="91" spans="1:6" ht="26.25" customHeight="1" x14ac:dyDescent="0.2">
      <c r="A91" s="380">
        <v>25</v>
      </c>
      <c r="B91" s="380">
        <v>854</v>
      </c>
      <c r="C91" s="467">
        <v>85406</v>
      </c>
      <c r="D91" s="384">
        <v>2830</v>
      </c>
      <c r="E91" s="385" t="s">
        <v>463</v>
      </c>
      <c r="F91" s="330">
        <f>5625-2933.1</f>
        <v>2691.9</v>
      </c>
    </row>
    <row r="92" spans="1:6" ht="15" customHeight="1" x14ac:dyDescent="0.2">
      <c r="A92" s="467"/>
      <c r="B92" s="470"/>
      <c r="C92" s="470"/>
      <c r="D92" s="384"/>
      <c r="E92" s="385" t="s">
        <v>464</v>
      </c>
      <c r="F92" s="330"/>
    </row>
    <row r="93" spans="1:6" ht="18.75" customHeight="1" x14ac:dyDescent="0.2">
      <c r="A93" s="380">
        <v>26</v>
      </c>
      <c r="B93" s="380">
        <v>854</v>
      </c>
      <c r="C93" s="467">
        <v>85410</v>
      </c>
      <c r="D93" s="384">
        <v>2830</v>
      </c>
      <c r="E93" s="385" t="s">
        <v>245</v>
      </c>
      <c r="F93" s="330">
        <f>12375-4299.3</f>
        <v>8075.7</v>
      </c>
    </row>
    <row r="94" spans="1:6" ht="14.25" customHeight="1" x14ac:dyDescent="0.2">
      <c r="A94" s="467"/>
      <c r="B94" s="470"/>
      <c r="C94" s="470"/>
      <c r="D94" s="384"/>
      <c r="E94" s="479" t="s">
        <v>465</v>
      </c>
      <c r="F94" s="330"/>
    </row>
    <row r="95" spans="1:6" ht="15.75" customHeight="1" x14ac:dyDescent="0.2">
      <c r="A95" s="480">
        <v>27</v>
      </c>
      <c r="B95" s="480">
        <v>855</v>
      </c>
      <c r="C95" s="480">
        <v>85510</v>
      </c>
      <c r="D95" s="481">
        <v>2360</v>
      </c>
      <c r="E95" s="474" t="s">
        <v>253</v>
      </c>
      <c r="F95" s="378">
        <f>2508000+243500+2751500-2751500</f>
        <v>2751500</v>
      </c>
    </row>
    <row r="96" spans="1:6" ht="22.5" customHeight="1" x14ac:dyDescent="0.2">
      <c r="A96" s="380">
        <v>28</v>
      </c>
      <c r="B96" s="380">
        <v>900</v>
      </c>
      <c r="C96" s="380">
        <v>90005</v>
      </c>
      <c r="D96" s="381">
        <v>6230</v>
      </c>
      <c r="E96" s="382" t="s">
        <v>466</v>
      </c>
      <c r="F96" s="378">
        <f>F97+F98</f>
        <v>600000</v>
      </c>
    </row>
    <row r="97" spans="1:8" ht="15" customHeight="1" x14ac:dyDescent="0.2">
      <c r="A97" s="482" t="s">
        <v>467</v>
      </c>
      <c r="B97" s="380"/>
      <c r="C97" s="380"/>
      <c r="D97" s="381"/>
      <c r="E97" s="483" t="s">
        <v>468</v>
      </c>
      <c r="F97" s="484">
        <v>300000</v>
      </c>
    </row>
    <row r="98" spans="1:8" ht="13.5" customHeight="1" x14ac:dyDescent="0.2">
      <c r="A98" s="482" t="s">
        <v>469</v>
      </c>
      <c r="B98" s="380"/>
      <c r="C98" s="380"/>
      <c r="D98" s="381"/>
      <c r="E98" s="483" t="s">
        <v>470</v>
      </c>
      <c r="F98" s="484">
        <v>300000</v>
      </c>
    </row>
    <row r="99" spans="1:8" ht="15.75" customHeight="1" x14ac:dyDescent="0.2">
      <c r="A99" s="480">
        <v>29</v>
      </c>
      <c r="B99" s="480">
        <v>921</v>
      </c>
      <c r="C99" s="480">
        <v>92120</v>
      </c>
      <c r="D99" s="481">
        <v>2720</v>
      </c>
      <c r="E99" s="485" t="s">
        <v>471</v>
      </c>
      <c r="F99" s="378">
        <v>600000</v>
      </c>
    </row>
    <row r="100" spans="1:8" ht="36.75" customHeight="1" x14ac:dyDescent="0.2">
      <c r="A100" s="380">
        <v>30</v>
      </c>
      <c r="B100" s="380">
        <v>921</v>
      </c>
      <c r="C100" s="380">
        <v>92195</v>
      </c>
      <c r="D100" s="384">
        <v>2360</v>
      </c>
      <c r="E100" s="382" t="s">
        <v>472</v>
      </c>
      <c r="F100" s="486">
        <f>222000+222000-87000-135000</f>
        <v>222000</v>
      </c>
    </row>
    <row r="101" spans="1:8" ht="35.25" customHeight="1" x14ac:dyDescent="0.2">
      <c r="A101" s="380">
        <v>31</v>
      </c>
      <c r="B101" s="380">
        <v>921</v>
      </c>
      <c r="C101" s="380">
        <v>92195</v>
      </c>
      <c r="D101" s="384" t="s">
        <v>389</v>
      </c>
      <c r="E101" s="385" t="s">
        <v>473</v>
      </c>
      <c r="F101" s="330">
        <f>48080.44+272455.82</f>
        <v>320536.26</v>
      </c>
    </row>
    <row r="102" spans="1:8" ht="18" customHeight="1" x14ac:dyDescent="0.2">
      <c r="A102" s="373">
        <v>32</v>
      </c>
      <c r="B102" s="373">
        <v>926</v>
      </c>
      <c r="C102" s="373">
        <v>92605</v>
      </c>
      <c r="D102" s="477">
        <v>2360</v>
      </c>
      <c r="E102" s="329" t="s">
        <v>474</v>
      </c>
      <c r="F102" s="330">
        <f>1936300+200000+2200-2200+300000-25000-1411300-1000000+2436300</f>
        <v>2436300</v>
      </c>
    </row>
    <row r="103" spans="1:8" ht="47.25" customHeight="1" x14ac:dyDescent="0.2">
      <c r="A103" s="467">
        <v>33</v>
      </c>
      <c r="B103" s="380">
        <v>926</v>
      </c>
      <c r="C103" s="380">
        <v>92605</v>
      </c>
      <c r="D103" s="384" t="s">
        <v>475</v>
      </c>
      <c r="E103" s="478" t="s">
        <v>476</v>
      </c>
      <c r="F103" s="330">
        <f>16026.81+90818.61+8013.4+45409.31-8013.4-45409.31</f>
        <v>106845.42000000001</v>
      </c>
    </row>
    <row r="104" spans="1:8" ht="15" customHeight="1" x14ac:dyDescent="0.2">
      <c r="A104" s="652"/>
      <c r="B104" s="653"/>
      <c r="C104" s="653"/>
      <c r="D104" s="372"/>
      <c r="E104" s="653" t="s">
        <v>477</v>
      </c>
      <c r="F104" s="654">
        <f>F103+F102+F101+F100+F99+F96+F95+F93+F91+F89+F88+F87+F86+F85+F82+F81+F80+F79+F72+F68+F58+F55+F43+F41+F39+F24+F17+F78+F16+F15+F14+F13+F12</f>
        <v>23931059.359999996</v>
      </c>
      <c r="H104" s="383"/>
    </row>
    <row r="105" spans="1:8" ht="17.25" customHeight="1" x14ac:dyDescent="0.2">
      <c r="A105" s="649" t="s">
        <v>381</v>
      </c>
      <c r="B105" s="650"/>
      <c r="C105" s="650"/>
      <c r="D105" s="372"/>
      <c r="E105" s="650"/>
      <c r="F105" s="651"/>
    </row>
    <row r="106" spans="1:8" ht="17.25" customHeight="1" x14ac:dyDescent="0.2">
      <c r="A106" s="365" t="s">
        <v>358</v>
      </c>
      <c r="B106" s="365" t="s">
        <v>301</v>
      </c>
      <c r="C106" s="365" t="s">
        <v>335</v>
      </c>
      <c r="D106" s="381"/>
      <c r="E106" s="487" t="s">
        <v>478</v>
      </c>
      <c r="F106" s="365" t="s">
        <v>361</v>
      </c>
    </row>
    <row r="107" spans="1:8" ht="24" customHeight="1" x14ac:dyDescent="0.2">
      <c r="A107" s="380">
        <v>1</v>
      </c>
      <c r="B107" s="380">
        <v>801</v>
      </c>
      <c r="C107" s="380">
        <v>80101</v>
      </c>
      <c r="D107" s="477" t="s">
        <v>479</v>
      </c>
      <c r="E107" s="470" t="s">
        <v>41</v>
      </c>
      <c r="F107" s="330">
        <f>2602394+5833078+110000+170000+370000+550000+71578.35</f>
        <v>9707050.3499999996</v>
      </c>
    </row>
    <row r="108" spans="1:8" ht="15.75" customHeight="1" x14ac:dyDescent="0.2">
      <c r="A108" s="488"/>
      <c r="B108" s="489"/>
      <c r="C108" s="490"/>
      <c r="D108" s="404"/>
      <c r="E108" s="491" t="s">
        <v>480</v>
      </c>
      <c r="F108" s="492"/>
    </row>
    <row r="109" spans="1:8" ht="12.75" customHeight="1" x14ac:dyDescent="0.2">
      <c r="A109" s="493"/>
      <c r="B109" s="494"/>
      <c r="C109" s="495"/>
      <c r="D109" s="406"/>
      <c r="E109" s="496" t="s">
        <v>398</v>
      </c>
      <c r="F109" s="497"/>
      <c r="G109" s="498"/>
    </row>
    <row r="110" spans="1:8" ht="24" customHeight="1" x14ac:dyDescent="0.2">
      <c r="A110" s="499"/>
      <c r="B110" s="479"/>
      <c r="C110" s="500"/>
      <c r="D110" s="401"/>
      <c r="E110" s="501" t="s">
        <v>481</v>
      </c>
      <c r="F110" s="502"/>
    </row>
    <row r="111" spans="1:8" ht="27" customHeight="1" x14ac:dyDescent="0.2">
      <c r="A111" s="493"/>
      <c r="B111" s="494"/>
      <c r="C111" s="495"/>
      <c r="D111" s="406"/>
      <c r="E111" s="503" t="s">
        <v>482</v>
      </c>
      <c r="F111" s="504"/>
    </row>
    <row r="112" spans="1:8" ht="14.25" customHeight="1" x14ac:dyDescent="0.2">
      <c r="A112" s="493"/>
      <c r="B112" s="494"/>
      <c r="C112" s="495"/>
      <c r="D112" s="406"/>
      <c r="E112" s="505" t="s">
        <v>396</v>
      </c>
      <c r="F112" s="497"/>
    </row>
    <row r="113" spans="1:6" ht="24" customHeight="1" x14ac:dyDescent="0.2">
      <c r="A113" s="499"/>
      <c r="B113" s="479"/>
      <c r="C113" s="500"/>
      <c r="D113" s="401"/>
      <c r="E113" s="506" t="s">
        <v>449</v>
      </c>
      <c r="F113" s="468"/>
    </row>
    <row r="114" spans="1:6" ht="15" customHeight="1" x14ac:dyDescent="0.2">
      <c r="A114" s="480">
        <v>2</v>
      </c>
      <c r="B114" s="480">
        <v>801</v>
      </c>
      <c r="C114" s="480">
        <v>80103</v>
      </c>
      <c r="D114" s="481">
        <v>2540</v>
      </c>
      <c r="E114" s="507" t="s">
        <v>179</v>
      </c>
      <c r="F114" s="378">
        <f>152496+20000</f>
        <v>172496</v>
      </c>
    </row>
    <row r="115" spans="1:6" ht="27" customHeight="1" x14ac:dyDescent="0.2">
      <c r="A115" s="493"/>
      <c r="B115" s="494"/>
      <c r="C115" s="495"/>
      <c r="D115" s="406"/>
      <c r="E115" s="508" t="s">
        <v>481</v>
      </c>
      <c r="F115" s="492"/>
    </row>
    <row r="116" spans="1:6" ht="15" customHeight="1" x14ac:dyDescent="0.2">
      <c r="A116" s="499"/>
      <c r="B116" s="479"/>
      <c r="C116" s="500"/>
      <c r="D116" s="401"/>
      <c r="E116" s="479" t="s">
        <v>396</v>
      </c>
      <c r="F116" s="468"/>
    </row>
    <row r="117" spans="1:6" ht="26.25" customHeight="1" x14ac:dyDescent="0.2">
      <c r="A117" s="380">
        <v>3</v>
      </c>
      <c r="B117" s="380">
        <v>801</v>
      </c>
      <c r="C117" s="380">
        <v>80104</v>
      </c>
      <c r="D117" s="384" t="s">
        <v>479</v>
      </c>
      <c r="E117" s="470" t="s">
        <v>45</v>
      </c>
      <c r="F117" s="486">
        <f>7360256+2051055-50000-353000+50000+1100000+500000+14000</f>
        <v>10672311</v>
      </c>
    </row>
    <row r="118" spans="1:6" ht="15.2" customHeight="1" x14ac:dyDescent="0.2">
      <c r="A118" s="488"/>
      <c r="B118" s="489"/>
      <c r="C118" s="490"/>
      <c r="D118" s="404"/>
      <c r="E118" s="491" t="s">
        <v>402</v>
      </c>
      <c r="F118" s="492"/>
    </row>
    <row r="119" spans="1:6" ht="15.2" customHeight="1" x14ac:dyDescent="0.2">
      <c r="A119" s="493"/>
      <c r="B119" s="494"/>
      <c r="C119" s="495"/>
      <c r="D119" s="406"/>
      <c r="E119" s="509" t="s">
        <v>400</v>
      </c>
      <c r="F119" s="497"/>
    </row>
    <row r="120" spans="1:6" ht="15.2" customHeight="1" x14ac:dyDescent="0.2">
      <c r="A120" s="493"/>
      <c r="B120" s="494"/>
      <c r="C120" s="495"/>
      <c r="D120" s="406"/>
      <c r="E120" s="510" t="s">
        <v>401</v>
      </c>
      <c r="F120" s="497"/>
    </row>
    <row r="121" spans="1:6" ht="23.25" customHeight="1" x14ac:dyDescent="0.2">
      <c r="A121" s="493"/>
      <c r="B121" s="494"/>
      <c r="C121" s="495"/>
      <c r="D121" s="511"/>
      <c r="E121" s="512" t="s">
        <v>483</v>
      </c>
      <c r="F121" s="504"/>
    </row>
    <row r="122" spans="1:6" ht="15.2" customHeight="1" x14ac:dyDescent="0.2">
      <c r="A122" s="493"/>
      <c r="B122" s="494"/>
      <c r="C122" s="495"/>
      <c r="D122" s="406"/>
      <c r="E122" s="509" t="s">
        <v>411</v>
      </c>
      <c r="F122" s="497"/>
    </row>
    <row r="123" spans="1:6" ht="15.2" customHeight="1" x14ac:dyDescent="0.2">
      <c r="A123" s="493"/>
      <c r="B123" s="494"/>
      <c r="C123" s="495"/>
      <c r="D123" s="406"/>
      <c r="E123" s="513" t="s">
        <v>407</v>
      </c>
      <c r="F123" s="497"/>
    </row>
    <row r="124" spans="1:6" ht="15.2" customHeight="1" x14ac:dyDescent="0.2">
      <c r="A124" s="493"/>
      <c r="B124" s="494"/>
      <c r="C124" s="495"/>
      <c r="D124" s="406"/>
      <c r="E124" s="513" t="s">
        <v>484</v>
      </c>
      <c r="F124" s="497"/>
    </row>
    <row r="125" spans="1:6" ht="15.2" customHeight="1" x14ac:dyDescent="0.2">
      <c r="A125" s="493"/>
      <c r="B125" s="494"/>
      <c r="C125" s="495"/>
      <c r="D125" s="406"/>
      <c r="E125" s="509" t="s">
        <v>404</v>
      </c>
      <c r="F125" s="497"/>
    </row>
    <row r="126" spans="1:6" ht="15.2" customHeight="1" x14ac:dyDescent="0.2">
      <c r="A126" s="493"/>
      <c r="B126" s="494"/>
      <c r="C126" s="495"/>
      <c r="D126" s="406"/>
      <c r="E126" s="509" t="s">
        <v>409</v>
      </c>
      <c r="F126" s="497"/>
    </row>
    <row r="127" spans="1:6" ht="15.2" customHeight="1" x14ac:dyDescent="0.2">
      <c r="A127" s="493"/>
      <c r="B127" s="494"/>
      <c r="C127" s="495"/>
      <c r="D127" s="406"/>
      <c r="E127" s="513" t="s">
        <v>485</v>
      </c>
      <c r="F127" s="497"/>
    </row>
    <row r="128" spans="1:6" ht="15.2" customHeight="1" x14ac:dyDescent="0.2">
      <c r="A128" s="493"/>
      <c r="B128" s="494"/>
      <c r="C128" s="495"/>
      <c r="D128" s="406"/>
      <c r="E128" s="514" t="s">
        <v>403</v>
      </c>
      <c r="F128" s="497"/>
    </row>
    <row r="129" spans="1:6" ht="15.2" customHeight="1" x14ac:dyDescent="0.2">
      <c r="A129" s="493"/>
      <c r="B129" s="494"/>
      <c r="C129" s="495"/>
      <c r="D129" s="406"/>
      <c r="E129" s="515" t="s">
        <v>405</v>
      </c>
      <c r="F129" s="504"/>
    </row>
    <row r="130" spans="1:6" ht="15.2" customHeight="1" x14ac:dyDescent="0.2">
      <c r="A130" s="493"/>
      <c r="B130" s="494"/>
      <c r="C130" s="495"/>
      <c r="D130" s="406"/>
      <c r="E130" s="505" t="s">
        <v>486</v>
      </c>
      <c r="F130" s="497"/>
    </row>
    <row r="131" spans="1:6" ht="15.2" customHeight="1" x14ac:dyDescent="0.2">
      <c r="A131" s="493"/>
      <c r="B131" s="494"/>
      <c r="C131" s="495"/>
      <c r="D131" s="406"/>
      <c r="E131" s="505" t="s">
        <v>487</v>
      </c>
      <c r="F131" s="497"/>
    </row>
    <row r="132" spans="1:6" ht="15.2" customHeight="1" x14ac:dyDescent="0.2">
      <c r="A132" s="499"/>
      <c r="B132" s="479"/>
      <c r="C132" s="500"/>
      <c r="D132" s="401"/>
      <c r="E132" s="516" t="s">
        <v>413</v>
      </c>
      <c r="F132" s="468"/>
    </row>
    <row r="133" spans="1:6" ht="17.25" customHeight="1" x14ac:dyDescent="0.2">
      <c r="A133" s="380">
        <v>4</v>
      </c>
      <c r="B133" s="380">
        <v>801</v>
      </c>
      <c r="C133" s="380">
        <v>80106</v>
      </c>
      <c r="D133" s="381">
        <v>2540</v>
      </c>
      <c r="E133" s="517" t="s">
        <v>488</v>
      </c>
      <c r="F133" s="330">
        <f>70572+23000+2355.7</f>
        <v>95927.7</v>
      </c>
    </row>
    <row r="134" spans="1:6" ht="16.5" customHeight="1" x14ac:dyDescent="0.2">
      <c r="A134" s="493"/>
      <c r="B134" s="494"/>
      <c r="C134" s="495"/>
      <c r="D134" s="404"/>
      <c r="E134" s="518" t="s">
        <v>414</v>
      </c>
      <c r="F134" s="519"/>
    </row>
    <row r="135" spans="1:6" ht="13.5" customHeight="1" x14ac:dyDescent="0.2">
      <c r="A135" s="480">
        <v>5</v>
      </c>
      <c r="B135" s="480">
        <v>801</v>
      </c>
      <c r="C135" s="480">
        <v>80115</v>
      </c>
      <c r="D135" s="381">
        <v>2540</v>
      </c>
      <c r="E135" s="507" t="s">
        <v>47</v>
      </c>
      <c r="F135" s="378">
        <f>2702384+40000+550000</f>
        <v>3292384</v>
      </c>
    </row>
    <row r="136" spans="1:6" ht="28.5" customHeight="1" x14ac:dyDescent="0.2">
      <c r="A136" s="485"/>
      <c r="B136" s="507"/>
      <c r="C136" s="520"/>
      <c r="D136" s="381"/>
      <c r="E136" s="521" t="s">
        <v>489</v>
      </c>
      <c r="F136" s="378"/>
    </row>
    <row r="137" spans="1:6" ht="13.5" customHeight="1" x14ac:dyDescent="0.2">
      <c r="A137" s="480">
        <v>6</v>
      </c>
      <c r="B137" s="480">
        <v>801</v>
      </c>
      <c r="C137" s="480">
        <v>80116</v>
      </c>
      <c r="D137" s="381">
        <v>2540</v>
      </c>
      <c r="E137" s="507" t="s">
        <v>194</v>
      </c>
      <c r="F137" s="378">
        <f>5194583+1457000</f>
        <v>6651583</v>
      </c>
    </row>
    <row r="138" spans="1:6" ht="15" customHeight="1" x14ac:dyDescent="0.2">
      <c r="A138" s="488"/>
      <c r="B138" s="489"/>
      <c r="C138" s="490"/>
      <c r="D138" s="404"/>
      <c r="E138" s="522" t="s">
        <v>490</v>
      </c>
      <c r="F138" s="492"/>
    </row>
    <row r="139" spans="1:6" ht="25.5" customHeight="1" x14ac:dyDescent="0.2">
      <c r="A139" s="493"/>
      <c r="B139" s="494"/>
      <c r="C139" s="495"/>
      <c r="D139" s="406"/>
      <c r="E139" s="496" t="s">
        <v>491</v>
      </c>
      <c r="F139" s="497"/>
    </row>
    <row r="140" spans="1:6" ht="13.5" customHeight="1" x14ac:dyDescent="0.2">
      <c r="A140" s="493"/>
      <c r="B140" s="494"/>
      <c r="C140" s="495"/>
      <c r="D140" s="406"/>
      <c r="E140" s="505" t="s">
        <v>492</v>
      </c>
      <c r="F140" s="497"/>
    </row>
    <row r="141" spans="1:6" ht="25.5" customHeight="1" x14ac:dyDescent="0.2">
      <c r="A141" s="493"/>
      <c r="B141" s="494"/>
      <c r="C141" s="495"/>
      <c r="D141" s="406"/>
      <c r="E141" s="523" t="s">
        <v>493</v>
      </c>
      <c r="F141" s="504"/>
    </row>
    <row r="142" spans="1:6" ht="27.75" customHeight="1" x14ac:dyDescent="0.2">
      <c r="A142" s="493"/>
      <c r="B142" s="494"/>
      <c r="C142" s="495"/>
      <c r="D142" s="406"/>
      <c r="E142" s="496" t="s">
        <v>494</v>
      </c>
      <c r="F142" s="497"/>
    </row>
    <row r="143" spans="1:6" ht="15.75" customHeight="1" x14ac:dyDescent="0.2">
      <c r="A143" s="493"/>
      <c r="B143" s="494"/>
      <c r="C143" s="495"/>
      <c r="D143" s="406"/>
      <c r="E143" s="505" t="s">
        <v>495</v>
      </c>
      <c r="F143" s="497"/>
    </row>
    <row r="144" spans="1:6" ht="15" customHeight="1" x14ac:dyDescent="0.2">
      <c r="A144" s="493"/>
      <c r="B144" s="494"/>
      <c r="C144" s="495"/>
      <c r="D144" s="511"/>
      <c r="E144" s="524" t="s">
        <v>496</v>
      </c>
      <c r="F144" s="497"/>
    </row>
    <row r="145" spans="1:6" ht="15" customHeight="1" x14ac:dyDescent="0.2">
      <c r="A145" s="493"/>
      <c r="B145" s="494"/>
      <c r="C145" s="495"/>
      <c r="D145" s="511"/>
      <c r="E145" s="525" t="s">
        <v>497</v>
      </c>
      <c r="F145" s="504"/>
    </row>
    <row r="146" spans="1:6" ht="15.75" customHeight="1" x14ac:dyDescent="0.2">
      <c r="A146" s="493"/>
      <c r="B146" s="494"/>
      <c r="C146" s="495"/>
      <c r="D146" s="511"/>
      <c r="E146" s="515" t="s">
        <v>498</v>
      </c>
      <c r="F146" s="504"/>
    </row>
    <row r="147" spans="1:6" ht="27" customHeight="1" x14ac:dyDescent="0.2">
      <c r="A147" s="499"/>
      <c r="B147" s="479"/>
      <c r="C147" s="500"/>
      <c r="D147" s="401"/>
      <c r="E147" s="506" t="s">
        <v>499</v>
      </c>
      <c r="F147" s="468"/>
    </row>
    <row r="148" spans="1:6" ht="24.75" customHeight="1" x14ac:dyDescent="0.2">
      <c r="A148" s="380">
        <v>7</v>
      </c>
      <c r="B148" s="380">
        <v>801</v>
      </c>
      <c r="C148" s="380">
        <v>80117</v>
      </c>
      <c r="D148" s="384" t="s">
        <v>479</v>
      </c>
      <c r="E148" s="470" t="s">
        <v>48</v>
      </c>
      <c r="F148" s="378">
        <f>1606616+1004162-150000-50000</f>
        <v>2410778</v>
      </c>
    </row>
    <row r="149" spans="1:6" ht="28.5" customHeight="1" x14ac:dyDescent="0.2">
      <c r="A149" s="485"/>
      <c r="B149" s="507"/>
      <c r="C149" s="520"/>
      <c r="D149" s="381"/>
      <c r="E149" s="526" t="s">
        <v>500</v>
      </c>
      <c r="F149" s="378"/>
    </row>
    <row r="150" spans="1:6" ht="26.25" customHeight="1" x14ac:dyDescent="0.2">
      <c r="A150" s="493"/>
      <c r="B150" s="494"/>
      <c r="C150" s="495"/>
      <c r="D150" s="406"/>
      <c r="E150" s="527" t="s">
        <v>501</v>
      </c>
      <c r="F150" s="504"/>
    </row>
    <row r="151" spans="1:6" ht="25.5" customHeight="1" x14ac:dyDescent="0.2">
      <c r="A151" s="493"/>
      <c r="B151" s="494"/>
      <c r="C151" s="495"/>
      <c r="D151" s="406"/>
      <c r="E151" s="506" t="s">
        <v>430</v>
      </c>
      <c r="F151" s="519"/>
    </row>
    <row r="152" spans="1:6" ht="27" customHeight="1" x14ac:dyDescent="0.2">
      <c r="A152" s="380">
        <v>8</v>
      </c>
      <c r="B152" s="380">
        <v>801</v>
      </c>
      <c r="C152" s="380">
        <v>80120</v>
      </c>
      <c r="D152" s="384" t="s">
        <v>479</v>
      </c>
      <c r="E152" s="470" t="s">
        <v>49</v>
      </c>
      <c r="F152" s="330">
        <f>3353811+3084625-100000-110000+70000+350000+33534.45</f>
        <v>6681970.4500000002</v>
      </c>
    </row>
    <row r="153" spans="1:6" ht="15" customHeight="1" x14ac:dyDescent="0.2">
      <c r="A153" s="493"/>
      <c r="B153" s="494"/>
      <c r="C153" s="495"/>
      <c r="D153" s="406"/>
      <c r="E153" s="496" t="s">
        <v>502</v>
      </c>
      <c r="F153" s="497"/>
    </row>
    <row r="154" spans="1:6" ht="24.75" customHeight="1" x14ac:dyDescent="0.2">
      <c r="A154" s="493"/>
      <c r="B154" s="494"/>
      <c r="C154" s="495"/>
      <c r="D154" s="511"/>
      <c r="E154" s="496" t="s">
        <v>503</v>
      </c>
      <c r="F154" s="497"/>
    </row>
    <row r="155" spans="1:6" ht="24" customHeight="1" x14ac:dyDescent="0.2">
      <c r="A155" s="493"/>
      <c r="B155" s="494"/>
      <c r="C155" s="495"/>
      <c r="D155" s="511"/>
      <c r="E155" s="528" t="s">
        <v>504</v>
      </c>
      <c r="F155" s="497"/>
    </row>
    <row r="156" spans="1:6" ht="25.5" customHeight="1" x14ac:dyDescent="0.2">
      <c r="A156" s="493"/>
      <c r="B156" s="494"/>
      <c r="C156" s="495"/>
      <c r="D156" s="406"/>
      <c r="E156" s="496" t="s">
        <v>505</v>
      </c>
      <c r="F156" s="497"/>
    </row>
    <row r="157" spans="1:6" ht="25.5" customHeight="1" x14ac:dyDescent="0.2">
      <c r="A157" s="493"/>
      <c r="B157" s="494"/>
      <c r="C157" s="495"/>
      <c r="D157" s="406"/>
      <c r="E157" s="510" t="s">
        <v>506</v>
      </c>
      <c r="F157" s="497"/>
    </row>
    <row r="158" spans="1:6" ht="25.5" customHeight="1" x14ac:dyDescent="0.2">
      <c r="A158" s="493"/>
      <c r="B158" s="494"/>
      <c r="C158" s="495"/>
      <c r="D158" s="406"/>
      <c r="E158" s="503" t="s">
        <v>507</v>
      </c>
      <c r="F158" s="504"/>
    </row>
    <row r="159" spans="1:6" ht="26.25" customHeight="1" x14ac:dyDescent="0.2">
      <c r="A159" s="493"/>
      <c r="B159" s="494"/>
      <c r="C159" s="495"/>
      <c r="D159" s="406"/>
      <c r="E159" s="513" t="s">
        <v>508</v>
      </c>
      <c r="F159" s="497"/>
    </row>
    <row r="160" spans="1:6" ht="15" customHeight="1" x14ac:dyDescent="0.2">
      <c r="A160" s="493"/>
      <c r="B160" s="494"/>
      <c r="C160" s="495"/>
      <c r="D160" s="406"/>
      <c r="E160" s="505" t="s">
        <v>509</v>
      </c>
      <c r="F160" s="497"/>
    </row>
    <row r="161" spans="1:6" ht="15.75" customHeight="1" x14ac:dyDescent="0.2">
      <c r="A161" s="499"/>
      <c r="B161" s="479"/>
      <c r="C161" s="500"/>
      <c r="D161" s="401"/>
      <c r="E161" s="516" t="s">
        <v>440</v>
      </c>
      <c r="F161" s="468"/>
    </row>
    <row r="162" spans="1:6" ht="51" customHeight="1" x14ac:dyDescent="0.2">
      <c r="A162" s="380">
        <v>9</v>
      </c>
      <c r="B162" s="380">
        <v>801</v>
      </c>
      <c r="C162" s="380">
        <v>80149</v>
      </c>
      <c r="D162" s="384" t="s">
        <v>479</v>
      </c>
      <c r="E162" s="517" t="s">
        <v>441</v>
      </c>
      <c r="F162" s="330">
        <f>2272895+24507+59523.68+280000+500000</f>
        <v>3136925.68</v>
      </c>
    </row>
    <row r="163" spans="1:6" ht="28.5" customHeight="1" x14ac:dyDescent="0.2">
      <c r="A163" s="488"/>
      <c r="B163" s="489"/>
      <c r="C163" s="490"/>
      <c r="D163" s="529"/>
      <c r="E163" s="530" t="s">
        <v>510</v>
      </c>
      <c r="F163" s="492"/>
    </row>
    <row r="164" spans="1:6" ht="15.2" customHeight="1" x14ac:dyDescent="0.2">
      <c r="A164" s="493"/>
      <c r="B164" s="494"/>
      <c r="C164" s="495"/>
      <c r="D164" s="406"/>
      <c r="E164" s="513" t="s">
        <v>403</v>
      </c>
      <c r="F164" s="497"/>
    </row>
    <row r="165" spans="1:6" ht="15.2" customHeight="1" x14ac:dyDescent="0.2">
      <c r="A165" s="493"/>
      <c r="B165" s="494"/>
      <c r="C165" s="495"/>
      <c r="D165" s="406"/>
      <c r="E165" s="513" t="s">
        <v>511</v>
      </c>
      <c r="F165" s="497"/>
    </row>
    <row r="166" spans="1:6" ht="15.2" customHeight="1" x14ac:dyDescent="0.2">
      <c r="A166" s="493"/>
      <c r="B166" s="494"/>
      <c r="C166" s="495"/>
      <c r="D166" s="406"/>
      <c r="E166" s="531" t="s">
        <v>402</v>
      </c>
      <c r="F166" s="504"/>
    </row>
    <row r="167" spans="1:6" ht="15.2" customHeight="1" x14ac:dyDescent="0.2">
      <c r="A167" s="493"/>
      <c r="B167" s="494"/>
      <c r="C167" s="495"/>
      <c r="D167" s="406"/>
      <c r="E167" s="509" t="s">
        <v>401</v>
      </c>
      <c r="F167" s="497"/>
    </row>
    <row r="168" spans="1:6" ht="15.2" customHeight="1" x14ac:dyDescent="0.2">
      <c r="A168" s="493"/>
      <c r="B168" s="494"/>
      <c r="C168" s="495"/>
      <c r="D168" s="406"/>
      <c r="E168" s="513" t="s">
        <v>443</v>
      </c>
      <c r="F168" s="497"/>
    </row>
    <row r="169" spans="1:6" ht="15.2" customHeight="1" x14ac:dyDescent="0.2">
      <c r="A169" s="493"/>
      <c r="B169" s="494"/>
      <c r="C169" s="495"/>
      <c r="D169" s="406"/>
      <c r="E169" s="513" t="s">
        <v>442</v>
      </c>
      <c r="F169" s="497"/>
    </row>
    <row r="170" spans="1:6" ht="15.2" customHeight="1" x14ac:dyDescent="0.2">
      <c r="A170" s="493"/>
      <c r="B170" s="494"/>
      <c r="C170" s="495"/>
      <c r="D170" s="406"/>
      <c r="E170" s="513" t="s">
        <v>484</v>
      </c>
      <c r="F170" s="497"/>
    </row>
    <row r="171" spans="1:6" ht="15.2" customHeight="1" x14ac:dyDescent="0.2">
      <c r="A171" s="493"/>
      <c r="B171" s="494"/>
      <c r="C171" s="495"/>
      <c r="D171" s="532"/>
      <c r="E171" s="509" t="s">
        <v>404</v>
      </c>
      <c r="F171" s="497"/>
    </row>
    <row r="172" spans="1:6" ht="15.2" customHeight="1" x14ac:dyDescent="0.2">
      <c r="A172" s="493"/>
      <c r="B172" s="494"/>
      <c r="C172" s="495"/>
      <c r="D172" s="406"/>
      <c r="E172" s="509" t="s">
        <v>400</v>
      </c>
      <c r="F172" s="497"/>
    </row>
    <row r="173" spans="1:6" ht="15.2" customHeight="1" x14ac:dyDescent="0.2">
      <c r="A173" s="493"/>
      <c r="B173" s="494"/>
      <c r="C173" s="495"/>
      <c r="D173" s="406"/>
      <c r="E173" s="503" t="s">
        <v>413</v>
      </c>
      <c r="F173" s="504"/>
    </row>
    <row r="174" spans="1:6" ht="15.2" customHeight="1" x14ac:dyDescent="0.2">
      <c r="A174" s="493"/>
      <c r="B174" s="494"/>
      <c r="C174" s="495"/>
      <c r="D174" s="406"/>
      <c r="E174" s="513" t="s">
        <v>407</v>
      </c>
      <c r="F174" s="497"/>
    </row>
    <row r="175" spans="1:6" ht="15.2" customHeight="1" x14ac:dyDescent="0.2">
      <c r="A175" s="499"/>
      <c r="B175" s="479"/>
      <c r="C175" s="500"/>
      <c r="D175" s="401"/>
      <c r="E175" s="533" t="s">
        <v>486</v>
      </c>
      <c r="F175" s="468"/>
    </row>
    <row r="176" spans="1:6" ht="39" customHeight="1" x14ac:dyDescent="0.2">
      <c r="A176" s="380">
        <v>10</v>
      </c>
      <c r="B176" s="380">
        <v>801</v>
      </c>
      <c r="C176" s="380">
        <v>80150</v>
      </c>
      <c r="D176" s="384" t="s">
        <v>479</v>
      </c>
      <c r="E176" s="517" t="s">
        <v>55</v>
      </c>
      <c r="F176" s="330">
        <f>158853+90670+100000+100000+100000+30000</f>
        <v>579523</v>
      </c>
    </row>
    <row r="177" spans="1:7" ht="25.5" customHeight="1" x14ac:dyDescent="0.2">
      <c r="A177" s="493"/>
      <c r="B177" s="494"/>
      <c r="C177" s="495"/>
      <c r="D177" s="406"/>
      <c r="E177" s="496" t="s">
        <v>512</v>
      </c>
      <c r="F177" s="497"/>
    </row>
    <row r="178" spans="1:7" ht="16.5" customHeight="1" x14ac:dyDescent="0.2">
      <c r="A178" s="493"/>
      <c r="B178" s="494"/>
      <c r="C178" s="495"/>
      <c r="D178" s="534"/>
      <c r="E178" s="535" t="s">
        <v>396</v>
      </c>
      <c r="F178" s="497"/>
    </row>
    <row r="179" spans="1:7" ht="16.5" customHeight="1" x14ac:dyDescent="0.2">
      <c r="A179" s="493"/>
      <c r="B179" s="494"/>
      <c r="C179" s="495"/>
      <c r="D179" s="406"/>
      <c r="E179" s="503" t="s">
        <v>480</v>
      </c>
      <c r="F179" s="504"/>
    </row>
    <row r="180" spans="1:7" ht="15.75" customHeight="1" x14ac:dyDescent="0.2">
      <c r="A180" s="499"/>
      <c r="B180" s="479"/>
      <c r="C180" s="500"/>
      <c r="D180" s="401"/>
      <c r="E180" s="506" t="s">
        <v>398</v>
      </c>
      <c r="F180" s="468"/>
      <c r="G180" s="498"/>
    </row>
    <row r="181" spans="1:7" ht="13.5" customHeight="1" x14ac:dyDescent="0.2">
      <c r="A181" s="480">
        <v>11</v>
      </c>
      <c r="B181" s="480">
        <v>801</v>
      </c>
      <c r="C181" s="480">
        <v>80151</v>
      </c>
      <c r="D181" s="381">
        <v>2540</v>
      </c>
      <c r="E181" s="507" t="s">
        <v>205</v>
      </c>
      <c r="F181" s="378">
        <f>60410-50000</f>
        <v>10410</v>
      </c>
    </row>
    <row r="182" spans="1:7" ht="15.2" customHeight="1" x14ac:dyDescent="0.2">
      <c r="A182" s="488"/>
      <c r="B182" s="489"/>
      <c r="C182" s="490"/>
      <c r="D182" s="529"/>
      <c r="E182" s="522" t="s">
        <v>513</v>
      </c>
      <c r="F182" s="492"/>
    </row>
    <row r="183" spans="1:7" ht="15.2" customHeight="1" x14ac:dyDescent="0.2">
      <c r="A183" s="499"/>
      <c r="B183" s="479"/>
      <c r="C183" s="500"/>
      <c r="D183" s="536"/>
      <c r="E183" s="516" t="s">
        <v>514</v>
      </c>
      <c r="F183" s="468"/>
    </row>
    <row r="184" spans="1:7" ht="98.25" customHeight="1" x14ac:dyDescent="0.2">
      <c r="A184" s="380">
        <v>12</v>
      </c>
      <c r="B184" s="380">
        <v>801</v>
      </c>
      <c r="C184" s="380">
        <v>80152</v>
      </c>
      <c r="D184" s="384" t="s">
        <v>479</v>
      </c>
      <c r="E184" s="517" t="s">
        <v>515</v>
      </c>
      <c r="F184" s="330">
        <f>221339+382609+100000+100000+40000+120000+40000</f>
        <v>1003948</v>
      </c>
    </row>
    <row r="185" spans="1:7" ht="15" customHeight="1" x14ac:dyDescent="0.2">
      <c r="A185" s="488"/>
      <c r="B185" s="489"/>
      <c r="C185" s="490"/>
      <c r="D185" s="404"/>
      <c r="E185" s="537" t="s">
        <v>516</v>
      </c>
      <c r="F185" s="492"/>
    </row>
    <row r="186" spans="1:7" ht="24.75" customHeight="1" x14ac:dyDescent="0.2">
      <c r="A186" s="493"/>
      <c r="B186" s="494"/>
      <c r="C186" s="495"/>
      <c r="D186" s="406"/>
      <c r="E186" s="523" t="s">
        <v>500</v>
      </c>
      <c r="F186" s="504"/>
    </row>
    <row r="187" spans="1:7" ht="15" customHeight="1" x14ac:dyDescent="0.2">
      <c r="A187" s="493"/>
      <c r="B187" s="494"/>
      <c r="C187" s="495"/>
      <c r="D187" s="406"/>
      <c r="E187" s="509" t="s">
        <v>440</v>
      </c>
      <c r="F187" s="497"/>
    </row>
    <row r="188" spans="1:7" ht="22.9" customHeight="1" x14ac:dyDescent="0.2">
      <c r="A188" s="493"/>
      <c r="B188" s="494"/>
      <c r="C188" s="495"/>
      <c r="D188" s="406"/>
      <c r="E188" s="538" t="s">
        <v>489</v>
      </c>
      <c r="F188" s="497"/>
    </row>
    <row r="189" spans="1:7" ht="24.75" customHeight="1" x14ac:dyDescent="0.2">
      <c r="A189" s="493"/>
      <c r="B189" s="494"/>
      <c r="C189" s="495"/>
      <c r="D189" s="406"/>
      <c r="E189" s="513" t="s">
        <v>508</v>
      </c>
      <c r="F189" s="497"/>
    </row>
    <row r="190" spans="1:7" ht="24" customHeight="1" x14ac:dyDescent="0.2">
      <c r="A190" s="499"/>
      <c r="B190" s="479"/>
      <c r="C190" s="500"/>
      <c r="D190" s="401"/>
      <c r="E190" s="506" t="s">
        <v>430</v>
      </c>
      <c r="F190" s="468"/>
    </row>
    <row r="191" spans="1:7" ht="15.75" customHeight="1" x14ac:dyDescent="0.2">
      <c r="A191" s="539">
        <v>13</v>
      </c>
      <c r="B191" s="539">
        <v>853</v>
      </c>
      <c r="C191" s="539">
        <v>85311</v>
      </c>
      <c r="D191" s="481">
        <v>2580</v>
      </c>
      <c r="E191" s="479" t="s">
        <v>517</v>
      </c>
      <c r="F191" s="468">
        <f>230801+15000</f>
        <v>245801</v>
      </c>
    </row>
    <row r="192" spans="1:7" ht="18" customHeight="1" x14ac:dyDescent="0.2">
      <c r="A192" s="485"/>
      <c r="B192" s="507"/>
      <c r="C192" s="500"/>
      <c r="D192" s="401"/>
      <c r="E192" s="479" t="s">
        <v>518</v>
      </c>
      <c r="F192" s="468"/>
    </row>
    <row r="193" spans="1:6" ht="15.75" customHeight="1" x14ac:dyDescent="0.2">
      <c r="A193" s="480">
        <v>14</v>
      </c>
      <c r="B193" s="480">
        <v>854</v>
      </c>
      <c r="C193" s="540">
        <v>85402</v>
      </c>
      <c r="D193" s="481">
        <v>2540</v>
      </c>
      <c r="E193" s="541" t="s">
        <v>241</v>
      </c>
      <c r="F193" s="378">
        <f>984049+10000</f>
        <v>994049</v>
      </c>
    </row>
    <row r="194" spans="1:6" ht="22.5" customHeight="1" x14ac:dyDescent="0.2">
      <c r="A194" s="485"/>
      <c r="B194" s="507"/>
      <c r="C194" s="520"/>
      <c r="D194" s="381"/>
      <c r="E194" s="517" t="s">
        <v>519</v>
      </c>
      <c r="F194" s="378"/>
    </row>
    <row r="195" spans="1:6" ht="15.75" customHeight="1" x14ac:dyDescent="0.2">
      <c r="A195" s="480">
        <v>15</v>
      </c>
      <c r="B195" s="480">
        <v>854</v>
      </c>
      <c r="C195" s="480">
        <v>85404</v>
      </c>
      <c r="D195" s="328">
        <v>2540</v>
      </c>
      <c r="E195" s="507" t="s">
        <v>242</v>
      </c>
      <c r="F195" s="378">
        <f>534790+50000+30000</f>
        <v>614790</v>
      </c>
    </row>
    <row r="196" spans="1:6" ht="15" customHeight="1" x14ac:dyDescent="0.2">
      <c r="A196" s="493"/>
      <c r="B196" s="494"/>
      <c r="C196" s="495"/>
      <c r="D196" s="406"/>
      <c r="E196" s="505" t="s">
        <v>486</v>
      </c>
      <c r="F196" s="504"/>
    </row>
    <row r="197" spans="1:6" ht="13.5" customHeight="1" x14ac:dyDescent="0.2">
      <c r="A197" s="493"/>
      <c r="B197" s="494"/>
      <c r="C197" s="495"/>
      <c r="D197" s="406"/>
      <c r="E197" s="542" t="s">
        <v>401</v>
      </c>
      <c r="F197" s="497"/>
    </row>
    <row r="198" spans="1:6" ht="24.75" customHeight="1" x14ac:dyDescent="0.2">
      <c r="A198" s="493"/>
      <c r="B198" s="494"/>
      <c r="C198" s="495"/>
      <c r="D198" s="511"/>
      <c r="E198" s="512" t="s">
        <v>510</v>
      </c>
      <c r="F198" s="497"/>
    </row>
    <row r="199" spans="1:6" ht="13.5" customHeight="1" x14ac:dyDescent="0.2">
      <c r="A199" s="493"/>
      <c r="B199" s="494"/>
      <c r="C199" s="495"/>
      <c r="D199" s="406"/>
      <c r="E199" s="513" t="s">
        <v>511</v>
      </c>
      <c r="F199" s="497"/>
    </row>
    <row r="200" spans="1:6" ht="13.5" customHeight="1" x14ac:dyDescent="0.2">
      <c r="A200" s="493"/>
      <c r="B200" s="494"/>
      <c r="C200" s="495"/>
      <c r="D200" s="406"/>
      <c r="E200" s="509" t="s">
        <v>404</v>
      </c>
      <c r="F200" s="497"/>
    </row>
    <row r="201" spans="1:6" ht="13.5" customHeight="1" x14ac:dyDescent="0.2">
      <c r="A201" s="493"/>
      <c r="B201" s="494"/>
      <c r="C201" s="495"/>
      <c r="D201" s="406"/>
      <c r="E201" s="513" t="s">
        <v>443</v>
      </c>
      <c r="F201" s="497"/>
    </row>
    <row r="202" spans="1:6" ht="13.5" customHeight="1" x14ac:dyDescent="0.2">
      <c r="A202" s="493"/>
      <c r="B202" s="494"/>
      <c r="C202" s="495"/>
      <c r="D202" s="406"/>
      <c r="E202" s="513" t="s">
        <v>484</v>
      </c>
      <c r="F202" s="497"/>
    </row>
    <row r="203" spans="1:6" ht="13.5" customHeight="1" x14ac:dyDescent="0.2">
      <c r="A203" s="493"/>
      <c r="B203" s="494"/>
      <c r="C203" s="495"/>
      <c r="D203" s="406"/>
      <c r="E203" s="531" t="s">
        <v>402</v>
      </c>
      <c r="F203" s="504"/>
    </row>
    <row r="204" spans="1:6" ht="14.25" customHeight="1" x14ac:dyDescent="0.2">
      <c r="A204" s="493"/>
      <c r="B204" s="494"/>
      <c r="C204" s="495"/>
      <c r="D204" s="406"/>
      <c r="E204" s="513" t="s">
        <v>442</v>
      </c>
      <c r="F204" s="497"/>
    </row>
    <row r="205" spans="1:6" ht="14.25" customHeight="1" x14ac:dyDescent="0.2">
      <c r="A205" s="499"/>
      <c r="B205" s="479"/>
      <c r="C205" s="500"/>
      <c r="D205" s="406"/>
      <c r="E205" s="531" t="s">
        <v>400</v>
      </c>
      <c r="F205" s="468"/>
    </row>
    <row r="206" spans="1:6" ht="25.5" customHeight="1" x14ac:dyDescent="0.2">
      <c r="A206" s="464">
        <v>16</v>
      </c>
      <c r="B206" s="464">
        <v>854</v>
      </c>
      <c r="C206" s="464">
        <v>85406</v>
      </c>
      <c r="D206" s="381">
        <v>2540</v>
      </c>
      <c r="E206" s="543" t="s">
        <v>463</v>
      </c>
      <c r="F206" s="378">
        <f>60974+10000+8000</f>
        <v>78974</v>
      </c>
    </row>
    <row r="207" spans="1:6" ht="15.75" customHeight="1" x14ac:dyDescent="0.2">
      <c r="A207" s="488"/>
      <c r="B207" s="489"/>
      <c r="C207" s="490"/>
      <c r="D207" s="404"/>
      <c r="E207" s="544" t="s">
        <v>464</v>
      </c>
      <c r="F207" s="492"/>
    </row>
    <row r="208" spans="1:6" ht="37.5" customHeight="1" x14ac:dyDescent="0.2">
      <c r="A208" s="499"/>
      <c r="B208" s="479"/>
      <c r="C208" s="500"/>
      <c r="D208" s="401"/>
      <c r="E208" s="545" t="s">
        <v>520</v>
      </c>
      <c r="F208" s="468"/>
    </row>
    <row r="209" spans="1:6" ht="16.5" customHeight="1" x14ac:dyDescent="0.2">
      <c r="A209" s="373">
        <v>17</v>
      </c>
      <c r="B209" s="373">
        <v>854</v>
      </c>
      <c r="C209" s="373">
        <v>85410</v>
      </c>
      <c r="D209" s="328">
        <v>2590</v>
      </c>
      <c r="E209" s="546" t="s">
        <v>245</v>
      </c>
      <c r="F209" s="330">
        <f>911326+200000-10000+50000+8598.6</f>
        <v>1159924.6000000001</v>
      </c>
    </row>
    <row r="210" spans="1:6" ht="13.5" customHeight="1" x14ac:dyDescent="0.2">
      <c r="A210" s="485"/>
      <c r="B210" s="507"/>
      <c r="C210" s="520"/>
      <c r="D210" s="401"/>
      <c r="E210" s="479" t="s">
        <v>465</v>
      </c>
      <c r="F210" s="378"/>
    </row>
    <row r="211" spans="1:6" ht="14.25" customHeight="1" x14ac:dyDescent="0.2">
      <c r="A211" s="652"/>
      <c r="B211" s="653"/>
      <c r="C211" s="653"/>
      <c r="D211" s="372"/>
      <c r="E211" s="653" t="s">
        <v>477</v>
      </c>
      <c r="F211" s="654">
        <f>SUM(F107:F210)</f>
        <v>47508845.780000001</v>
      </c>
    </row>
    <row r="212" spans="1:6" ht="15.75" customHeight="1" x14ac:dyDescent="0.2">
      <c r="A212" s="547"/>
      <c r="B212" s="548"/>
      <c r="C212" s="548"/>
      <c r="D212" s="372"/>
      <c r="E212" s="548" t="s">
        <v>343</v>
      </c>
      <c r="F212" s="549">
        <f>F211+F104</f>
        <v>71439905.140000001</v>
      </c>
    </row>
    <row r="214" spans="1:6" ht="12.6" customHeight="1" x14ac:dyDescent="0.2">
      <c r="A214" s="655"/>
      <c r="F214" s="550"/>
    </row>
    <row r="216" spans="1:6" x14ac:dyDescent="0.2">
      <c r="F216" s="550"/>
    </row>
  </sheetData>
  <pageMargins left="0.51181102362204722" right="0.51181102362204722" top="0.70866141732283472" bottom="0.74803149606299213" header="0.31496062992125984" footer="0.31496062992125984"/>
  <pageSetup paperSize="9" orientation="portrait" useFirstPageNumber="1" r:id="rId1"/>
  <headerFooter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82B3-B62E-4663-B0B3-670BA8BC6949}">
  <dimension ref="A1:G37"/>
  <sheetViews>
    <sheetView zoomScale="110" zoomScaleNormal="110" workbookViewId="0"/>
  </sheetViews>
  <sheetFormatPr defaultRowHeight="15" x14ac:dyDescent="0.25"/>
  <cols>
    <col min="1" max="1" width="5.140625" customWidth="1"/>
    <col min="2" max="2" width="9" customWidth="1"/>
    <col min="3" max="3" width="47.42578125" customWidth="1"/>
    <col min="4" max="4" width="17" customWidth="1"/>
    <col min="5" max="5" width="15" customWidth="1"/>
    <col min="6" max="6" width="15.85546875" customWidth="1"/>
    <col min="7" max="7" width="16.14062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3" t="s">
        <v>521</v>
      </c>
    </row>
    <row r="2" spans="1:7" x14ac:dyDescent="0.25">
      <c r="F2" s="3" t="s">
        <v>289</v>
      </c>
    </row>
    <row r="3" spans="1:7" x14ac:dyDescent="0.25">
      <c r="F3" s="3" t="s">
        <v>0</v>
      </c>
    </row>
    <row r="4" spans="1:7" x14ac:dyDescent="0.25">
      <c r="F4" s="3" t="s">
        <v>290</v>
      </c>
    </row>
    <row r="6" spans="1:7" s="552" customFormat="1" ht="12.75" x14ac:dyDescent="0.2">
      <c r="A6" s="551" t="s">
        <v>522</v>
      </c>
      <c r="B6" s="551"/>
      <c r="C6" s="551"/>
      <c r="D6" s="551"/>
      <c r="E6" s="551"/>
      <c r="F6" s="551"/>
      <c r="G6" s="551"/>
    </row>
    <row r="7" spans="1:7" s="552" customFormat="1" ht="12.75" x14ac:dyDescent="0.2">
      <c r="A7" s="551" t="s">
        <v>523</v>
      </c>
      <c r="B7" s="551"/>
      <c r="C7" s="551"/>
      <c r="D7" s="551"/>
      <c r="E7" s="551"/>
      <c r="F7" s="551"/>
      <c r="G7" s="551"/>
    </row>
    <row r="8" spans="1:7" x14ac:dyDescent="0.25">
      <c r="A8" s="553" t="s">
        <v>524</v>
      </c>
      <c r="B8" s="553"/>
      <c r="C8" s="553"/>
      <c r="D8" s="553"/>
      <c r="E8" s="553"/>
      <c r="F8" s="553"/>
      <c r="G8" s="553"/>
    </row>
    <row r="9" spans="1:7" x14ac:dyDescent="0.25">
      <c r="A9" s="630"/>
      <c r="B9" s="630"/>
      <c r="C9" s="630"/>
      <c r="D9" s="630"/>
      <c r="E9" s="630"/>
      <c r="F9" s="630"/>
      <c r="G9" s="554" t="s">
        <v>2</v>
      </c>
    </row>
    <row r="10" spans="1:7" ht="15" customHeight="1" x14ac:dyDescent="0.25">
      <c r="A10" s="555"/>
      <c r="B10" s="556"/>
      <c r="C10" s="556"/>
      <c r="D10" s="557" t="s">
        <v>525</v>
      </c>
      <c r="E10" s="558"/>
      <c r="F10" s="559"/>
      <c r="G10" s="557" t="s">
        <v>526</v>
      </c>
    </row>
    <row r="11" spans="1:7" x14ac:dyDescent="0.25">
      <c r="A11" s="560" t="s">
        <v>358</v>
      </c>
      <c r="B11" s="561" t="s">
        <v>4</v>
      </c>
      <c r="C11" s="561" t="s">
        <v>527</v>
      </c>
      <c r="D11" s="562" t="s">
        <v>528</v>
      </c>
      <c r="E11" s="562"/>
      <c r="F11" s="562"/>
      <c r="G11" s="562" t="s">
        <v>528</v>
      </c>
    </row>
    <row r="12" spans="1:7" x14ac:dyDescent="0.25">
      <c r="A12" s="560"/>
      <c r="B12" s="563"/>
      <c r="C12" s="561"/>
      <c r="D12" s="562" t="s">
        <v>529</v>
      </c>
      <c r="E12" s="562" t="s">
        <v>530</v>
      </c>
      <c r="F12" s="562" t="s">
        <v>350</v>
      </c>
      <c r="G12" s="562" t="s">
        <v>531</v>
      </c>
    </row>
    <row r="13" spans="1:7" x14ac:dyDescent="0.25">
      <c r="A13" s="564"/>
      <c r="B13" s="563" t="s">
        <v>5</v>
      </c>
      <c r="C13" s="563"/>
      <c r="D13" s="565"/>
      <c r="E13" s="565"/>
      <c r="F13" s="565"/>
      <c r="G13" s="565"/>
    </row>
    <row r="14" spans="1:7" s="567" customFormat="1" ht="9.75" x14ac:dyDescent="0.15">
      <c r="A14" s="566">
        <v>1</v>
      </c>
      <c r="B14" s="566">
        <v>2</v>
      </c>
      <c r="C14" s="566">
        <v>3</v>
      </c>
      <c r="D14" s="566">
        <v>4</v>
      </c>
      <c r="E14" s="566">
        <v>5</v>
      </c>
      <c r="F14" s="566">
        <v>6</v>
      </c>
      <c r="G14" s="566">
        <v>7</v>
      </c>
    </row>
    <row r="15" spans="1:7" s="630" customFormat="1" x14ac:dyDescent="0.25">
      <c r="A15" s="568"/>
      <c r="B15" s="569">
        <v>801</v>
      </c>
      <c r="C15" s="644"/>
      <c r="D15" s="570"/>
      <c r="E15" s="570"/>
      <c r="F15" s="570"/>
      <c r="G15" s="570"/>
    </row>
    <row r="16" spans="1:7" ht="13.5" customHeight="1" x14ac:dyDescent="0.25">
      <c r="A16" s="571" t="s">
        <v>532</v>
      </c>
      <c r="B16" s="572">
        <v>80101</v>
      </c>
      <c r="C16" s="573" t="s">
        <v>41</v>
      </c>
      <c r="D16" s="574">
        <v>6324.7</v>
      </c>
      <c r="E16" s="574">
        <v>940922.34</v>
      </c>
      <c r="F16" s="574">
        <v>947247.04</v>
      </c>
      <c r="G16" s="574">
        <v>0</v>
      </c>
    </row>
    <row r="17" spans="1:7" ht="13.5" customHeight="1" x14ac:dyDescent="0.25">
      <c r="A17" s="571" t="s">
        <v>533</v>
      </c>
      <c r="B17" s="572">
        <v>80102</v>
      </c>
      <c r="C17" s="575" t="s">
        <v>44</v>
      </c>
      <c r="D17" s="576">
        <v>0</v>
      </c>
      <c r="E17" s="576">
        <v>26943</v>
      </c>
      <c r="F17" s="576">
        <v>26943</v>
      </c>
      <c r="G17" s="576">
        <v>0</v>
      </c>
    </row>
    <row r="18" spans="1:7" ht="13.5" customHeight="1" x14ac:dyDescent="0.25">
      <c r="A18" s="571" t="s">
        <v>534</v>
      </c>
      <c r="B18" s="572">
        <v>80104</v>
      </c>
      <c r="C18" s="575" t="s">
        <v>45</v>
      </c>
      <c r="D18" s="576">
        <v>5972.12</v>
      </c>
      <c r="E18" s="576">
        <v>5127504.87</v>
      </c>
      <c r="F18" s="576">
        <v>5133476.99</v>
      </c>
      <c r="G18" s="576">
        <v>0</v>
      </c>
    </row>
    <row r="19" spans="1:7" ht="13.5" customHeight="1" x14ac:dyDescent="0.25">
      <c r="A19" s="571" t="s">
        <v>535</v>
      </c>
      <c r="B19" s="572">
        <v>80115</v>
      </c>
      <c r="C19" s="575" t="s">
        <v>47</v>
      </c>
      <c r="D19" s="576">
        <v>8.06</v>
      </c>
      <c r="E19" s="576">
        <v>1204629.7</v>
      </c>
      <c r="F19" s="576">
        <v>1204637.76</v>
      </c>
      <c r="G19" s="576">
        <v>0</v>
      </c>
    </row>
    <row r="20" spans="1:7" ht="13.5" customHeight="1" x14ac:dyDescent="0.25">
      <c r="A20" s="571" t="s">
        <v>536</v>
      </c>
      <c r="B20" s="572">
        <v>80120</v>
      </c>
      <c r="C20" s="575" t="s">
        <v>49</v>
      </c>
      <c r="D20" s="577">
        <v>342.39</v>
      </c>
      <c r="E20" s="576">
        <v>315790</v>
      </c>
      <c r="F20" s="576">
        <v>316132.39</v>
      </c>
      <c r="G20" s="576">
        <v>0</v>
      </c>
    </row>
    <row r="21" spans="1:7" ht="13.5" customHeight="1" x14ac:dyDescent="0.25">
      <c r="A21" s="571" t="s">
        <v>537</v>
      </c>
      <c r="B21" s="572">
        <v>80132</v>
      </c>
      <c r="C21" s="575" t="s">
        <v>538</v>
      </c>
      <c r="D21" s="576">
        <v>0</v>
      </c>
      <c r="E21" s="576">
        <v>42900</v>
      </c>
      <c r="F21" s="576">
        <v>42900</v>
      </c>
      <c r="G21" s="578">
        <v>0</v>
      </c>
    </row>
    <row r="22" spans="1:7" ht="13.5" customHeight="1" x14ac:dyDescent="0.25">
      <c r="A22" s="571" t="s">
        <v>539</v>
      </c>
      <c r="B22" s="572">
        <v>80134</v>
      </c>
      <c r="C22" s="575" t="s">
        <v>51</v>
      </c>
      <c r="D22" s="576">
        <v>0</v>
      </c>
      <c r="E22" s="576">
        <v>1300</v>
      </c>
      <c r="F22" s="576">
        <v>1300</v>
      </c>
      <c r="G22" s="576">
        <v>0</v>
      </c>
    </row>
    <row r="23" spans="1:7" ht="25.5" customHeight="1" x14ac:dyDescent="0.25">
      <c r="A23" s="579" t="s">
        <v>540</v>
      </c>
      <c r="B23" s="580">
        <v>80140</v>
      </c>
      <c r="C23" s="581" t="s">
        <v>541</v>
      </c>
      <c r="D23" s="582">
        <v>67.19</v>
      </c>
      <c r="E23" s="582">
        <v>159270</v>
      </c>
      <c r="F23" s="582">
        <v>159337.19</v>
      </c>
      <c r="G23" s="582">
        <v>0</v>
      </c>
    </row>
    <row r="24" spans="1:7" ht="13.5" customHeight="1" x14ac:dyDescent="0.25">
      <c r="A24" s="579" t="s">
        <v>542</v>
      </c>
      <c r="B24" s="580">
        <v>80142</v>
      </c>
      <c r="C24" s="581" t="s">
        <v>543</v>
      </c>
      <c r="D24" s="576">
        <v>109.5</v>
      </c>
      <c r="E24" s="576">
        <v>369147</v>
      </c>
      <c r="F24" s="576">
        <v>369256.5</v>
      </c>
      <c r="G24" s="576">
        <v>0</v>
      </c>
    </row>
    <row r="25" spans="1:7" ht="13.5" customHeight="1" x14ac:dyDescent="0.25">
      <c r="A25" s="579" t="s">
        <v>544</v>
      </c>
      <c r="B25" s="580">
        <v>80144</v>
      </c>
      <c r="C25" s="581" t="s">
        <v>545</v>
      </c>
      <c r="D25" s="576">
        <v>319.77</v>
      </c>
      <c r="E25" s="576">
        <v>74800</v>
      </c>
      <c r="F25" s="576">
        <v>75119.77</v>
      </c>
      <c r="G25" s="576">
        <v>0</v>
      </c>
    </row>
    <row r="26" spans="1:7" ht="13.5" customHeight="1" x14ac:dyDescent="0.25">
      <c r="A26" s="579" t="s">
        <v>546</v>
      </c>
      <c r="B26" s="580">
        <v>80148</v>
      </c>
      <c r="C26" s="575" t="s">
        <v>54</v>
      </c>
      <c r="D26" s="577">
        <v>1146.97</v>
      </c>
      <c r="E26" s="577">
        <v>3345515</v>
      </c>
      <c r="F26" s="577">
        <v>3346661.97</v>
      </c>
      <c r="G26" s="577">
        <v>0</v>
      </c>
    </row>
    <row r="27" spans="1:7" ht="13.5" customHeight="1" x14ac:dyDescent="0.25">
      <c r="A27" s="583"/>
      <c r="B27" s="584">
        <v>854</v>
      </c>
      <c r="C27" s="585"/>
      <c r="D27" s="586"/>
      <c r="E27" s="586"/>
      <c r="F27" s="586"/>
      <c r="G27" s="586"/>
    </row>
    <row r="28" spans="1:7" ht="13.5" customHeight="1" x14ac:dyDescent="0.25">
      <c r="A28" s="571" t="s">
        <v>532</v>
      </c>
      <c r="B28" s="572">
        <v>85410</v>
      </c>
      <c r="C28" s="575" t="s">
        <v>245</v>
      </c>
      <c r="D28" s="576">
        <v>763.66</v>
      </c>
      <c r="E28" s="576">
        <v>592700</v>
      </c>
      <c r="F28" s="576">
        <v>593463.66</v>
      </c>
      <c r="G28" s="576">
        <v>0</v>
      </c>
    </row>
    <row r="29" spans="1:7" ht="13.5" customHeight="1" x14ac:dyDescent="0.25">
      <c r="A29" s="571" t="s">
        <v>533</v>
      </c>
      <c r="B29" s="572">
        <v>85412</v>
      </c>
      <c r="C29" s="575" t="s">
        <v>547</v>
      </c>
      <c r="D29" s="576"/>
      <c r="E29" s="576"/>
      <c r="F29" s="576"/>
      <c r="G29" s="576"/>
    </row>
    <row r="30" spans="1:7" ht="13.5" customHeight="1" x14ac:dyDescent="0.25">
      <c r="A30" s="571"/>
      <c r="B30" s="572"/>
      <c r="C30" s="575" t="s">
        <v>548</v>
      </c>
      <c r="D30" s="576">
        <v>0</v>
      </c>
      <c r="E30" s="576">
        <v>15100</v>
      </c>
      <c r="F30" s="576">
        <v>15100</v>
      </c>
      <c r="G30" s="576">
        <v>0</v>
      </c>
    </row>
    <row r="31" spans="1:7" ht="13.5" customHeight="1" x14ac:dyDescent="0.25">
      <c r="A31" s="571" t="s">
        <v>534</v>
      </c>
      <c r="B31" s="572">
        <v>85417</v>
      </c>
      <c r="C31" s="587" t="s">
        <v>549</v>
      </c>
      <c r="D31" s="576">
        <v>0</v>
      </c>
      <c r="E31" s="576">
        <v>80400</v>
      </c>
      <c r="F31" s="576">
        <v>80400</v>
      </c>
      <c r="G31" s="576">
        <v>0</v>
      </c>
    </row>
    <row r="32" spans="1:7" ht="13.5" customHeight="1" x14ac:dyDescent="0.25">
      <c r="A32" s="588" t="s">
        <v>535</v>
      </c>
      <c r="B32" s="589">
        <v>85420</v>
      </c>
      <c r="C32" s="590" t="s">
        <v>248</v>
      </c>
      <c r="D32" s="591">
        <v>73.81</v>
      </c>
      <c r="E32" s="591">
        <v>22980</v>
      </c>
      <c r="F32" s="591">
        <v>23053.81</v>
      </c>
      <c r="G32" s="592">
        <v>0</v>
      </c>
    </row>
    <row r="33" spans="1:7" s="647" customFormat="1" ht="22.5" customHeight="1" x14ac:dyDescent="0.25">
      <c r="A33" s="593"/>
      <c r="B33" s="594"/>
      <c r="C33" s="645" t="s">
        <v>550</v>
      </c>
      <c r="D33" s="646">
        <f>SUM(D16:D32)</f>
        <v>15128.169999999998</v>
      </c>
      <c r="E33" s="646">
        <f>SUM(E16:E32)</f>
        <v>12319901.91</v>
      </c>
      <c r="F33" s="646">
        <f>SUM(F16:F32)</f>
        <v>12335030.08</v>
      </c>
      <c r="G33" s="646">
        <f>SUM(G16:G32)</f>
        <v>0</v>
      </c>
    </row>
    <row r="35" spans="1:7" x14ac:dyDescent="0.25">
      <c r="A35" s="648"/>
      <c r="B35" s="648"/>
      <c r="C35" s="595"/>
    </row>
    <row r="36" spans="1:7" x14ac:dyDescent="0.25">
      <c r="A36" s="648"/>
      <c r="B36" s="648"/>
      <c r="C36" s="595"/>
    </row>
    <row r="37" spans="1:7" x14ac:dyDescent="0.25">
      <c r="A37" s="648"/>
      <c r="B37" s="648"/>
      <c r="C37" s="595"/>
    </row>
  </sheetData>
  <pageMargins left="0.70866141732283472" right="0.51181102362204722" top="0.74803149606299213" bottom="0.55118110236220474" header="0.31496062992125984" footer="0.31496062992125984"/>
  <pageSetup paperSize="9" firstPageNumber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63787-5043-4027-B259-AA6225ECE14A}">
  <sheetPr>
    <tabColor rgb="FF00FF00"/>
  </sheetPr>
  <dimension ref="A1:WVO224"/>
  <sheetViews>
    <sheetView zoomScale="140" zoomScaleNormal="140" workbookViewId="0"/>
  </sheetViews>
  <sheetFormatPr defaultRowHeight="15" x14ac:dyDescent="0.25"/>
  <cols>
    <col min="1" max="1" width="4.85546875" style="630" customWidth="1"/>
    <col min="2" max="2" width="33.42578125" style="630" customWidth="1"/>
    <col min="3" max="3" width="8.5703125" style="630" customWidth="1"/>
    <col min="4" max="4" width="9.42578125" style="630" customWidth="1"/>
    <col min="5" max="5" width="8.140625" style="630" customWidth="1"/>
    <col min="6" max="6" width="13" customWidth="1"/>
    <col min="7" max="7" width="12.85546875" customWidth="1"/>
    <col min="9" max="9" width="12.42578125" customWidth="1"/>
    <col min="77" max="253" width="9.140625" style="630"/>
    <col min="254" max="254" width="5.28515625" style="630" customWidth="1"/>
    <col min="255" max="255" width="8" style="630" customWidth="1"/>
    <col min="256" max="256" width="5.85546875" style="630" customWidth="1"/>
    <col min="257" max="257" width="9.42578125" style="630" customWidth="1"/>
    <col min="258" max="258" width="11.28515625" style="630" customWidth="1"/>
    <col min="259" max="259" width="11" style="630" customWidth="1"/>
    <col min="260" max="260" width="13.140625" style="630" customWidth="1"/>
    <col min="261" max="261" width="11.7109375" style="630" customWidth="1"/>
    <col min="262" max="262" width="11.140625" style="630" customWidth="1"/>
    <col min="263" max="263" width="11.7109375" style="630" customWidth="1"/>
    <col min="264" max="509" width="9.140625" style="630"/>
    <col min="510" max="510" width="5.28515625" style="630" customWidth="1"/>
    <col min="511" max="511" width="8" style="630" customWidth="1"/>
    <col min="512" max="512" width="5.85546875" style="630" customWidth="1"/>
    <col min="513" max="513" width="9.42578125" style="630" customWidth="1"/>
    <col min="514" max="514" width="11.28515625" style="630" customWidth="1"/>
    <col min="515" max="515" width="11" style="630" customWidth="1"/>
    <col min="516" max="516" width="13.140625" style="630" customWidth="1"/>
    <col min="517" max="517" width="11.7109375" style="630" customWidth="1"/>
    <col min="518" max="518" width="11.140625" style="630" customWidth="1"/>
    <col min="519" max="519" width="11.7109375" style="630" customWidth="1"/>
    <col min="520" max="765" width="9.140625" style="630"/>
    <col min="766" max="766" width="5.28515625" style="630" customWidth="1"/>
    <col min="767" max="767" width="8" style="630" customWidth="1"/>
    <col min="768" max="768" width="5.85546875" style="630" customWidth="1"/>
    <col min="769" max="769" width="9.42578125" style="630" customWidth="1"/>
    <col min="770" max="770" width="11.28515625" style="630" customWidth="1"/>
    <col min="771" max="771" width="11" style="630" customWidth="1"/>
    <col min="772" max="772" width="13.140625" style="630" customWidth="1"/>
    <col min="773" max="773" width="11.7109375" style="630" customWidth="1"/>
    <col min="774" max="774" width="11.140625" style="630" customWidth="1"/>
    <col min="775" max="775" width="11.7109375" style="630" customWidth="1"/>
    <col min="776" max="1021" width="9.140625" style="630"/>
    <col min="1022" max="1022" width="5.28515625" style="630" customWidth="1"/>
    <col min="1023" max="1023" width="8" style="630" customWidth="1"/>
    <col min="1024" max="1024" width="5.85546875" style="630" customWidth="1"/>
    <col min="1025" max="1025" width="9.42578125" style="630" customWidth="1"/>
    <col min="1026" max="1026" width="11.28515625" style="630" customWidth="1"/>
    <col min="1027" max="1027" width="11" style="630" customWidth="1"/>
    <col min="1028" max="1028" width="13.140625" style="630" customWidth="1"/>
    <col min="1029" max="1029" width="11.7109375" style="630" customWidth="1"/>
    <col min="1030" max="1030" width="11.140625" style="630" customWidth="1"/>
    <col min="1031" max="1031" width="11.7109375" style="630" customWidth="1"/>
    <col min="1032" max="1277" width="9.140625" style="630"/>
    <col min="1278" max="1278" width="5.28515625" style="630" customWidth="1"/>
    <col min="1279" max="1279" width="8" style="630" customWidth="1"/>
    <col min="1280" max="1280" width="5.85546875" style="630" customWidth="1"/>
    <col min="1281" max="1281" width="9.42578125" style="630" customWidth="1"/>
    <col min="1282" max="1282" width="11.28515625" style="630" customWidth="1"/>
    <col min="1283" max="1283" width="11" style="630" customWidth="1"/>
    <col min="1284" max="1284" width="13.140625" style="630" customWidth="1"/>
    <col min="1285" max="1285" width="11.7109375" style="630" customWidth="1"/>
    <col min="1286" max="1286" width="11.140625" style="630" customWidth="1"/>
    <col min="1287" max="1287" width="11.7109375" style="630" customWidth="1"/>
    <col min="1288" max="1533" width="9.140625" style="630"/>
    <col min="1534" max="1534" width="5.28515625" style="630" customWidth="1"/>
    <col min="1535" max="1535" width="8" style="630" customWidth="1"/>
    <col min="1536" max="1536" width="5.85546875" style="630" customWidth="1"/>
    <col min="1537" max="1537" width="9.42578125" style="630" customWidth="1"/>
    <col min="1538" max="1538" width="11.28515625" style="630" customWidth="1"/>
    <col min="1539" max="1539" width="11" style="630" customWidth="1"/>
    <col min="1540" max="1540" width="13.140625" style="630" customWidth="1"/>
    <col min="1541" max="1541" width="11.7109375" style="630" customWidth="1"/>
    <col min="1542" max="1542" width="11.140625" style="630" customWidth="1"/>
    <col min="1543" max="1543" width="11.7109375" style="630" customWidth="1"/>
    <col min="1544" max="1789" width="9.140625" style="630"/>
    <col min="1790" max="1790" width="5.28515625" style="630" customWidth="1"/>
    <col min="1791" max="1791" width="8" style="630" customWidth="1"/>
    <col min="1792" max="1792" width="5.85546875" style="630" customWidth="1"/>
    <col min="1793" max="1793" width="9.42578125" style="630" customWidth="1"/>
    <col min="1794" max="1794" width="11.28515625" style="630" customWidth="1"/>
    <col min="1795" max="1795" width="11" style="630" customWidth="1"/>
    <col min="1796" max="1796" width="13.140625" style="630" customWidth="1"/>
    <col min="1797" max="1797" width="11.7109375" style="630" customWidth="1"/>
    <col min="1798" max="1798" width="11.140625" style="630" customWidth="1"/>
    <col min="1799" max="1799" width="11.7109375" style="630" customWidth="1"/>
    <col min="1800" max="2045" width="9.140625" style="630"/>
    <col min="2046" max="2046" width="5.28515625" style="630" customWidth="1"/>
    <col min="2047" max="2047" width="8" style="630" customWidth="1"/>
    <col min="2048" max="2048" width="5.85546875" style="630" customWidth="1"/>
    <col min="2049" max="2049" width="9.42578125" style="630" customWidth="1"/>
    <col min="2050" max="2050" width="11.28515625" style="630" customWidth="1"/>
    <col min="2051" max="2051" width="11" style="630" customWidth="1"/>
    <col min="2052" max="2052" width="13.140625" style="630" customWidth="1"/>
    <col min="2053" max="2053" width="11.7109375" style="630" customWidth="1"/>
    <col min="2054" max="2054" width="11.140625" style="630" customWidth="1"/>
    <col min="2055" max="2055" width="11.7109375" style="630" customWidth="1"/>
    <col min="2056" max="2301" width="9.140625" style="630"/>
    <col min="2302" max="2302" width="5.28515625" style="630" customWidth="1"/>
    <col min="2303" max="2303" width="8" style="630" customWidth="1"/>
    <col min="2304" max="2304" width="5.85546875" style="630" customWidth="1"/>
    <col min="2305" max="2305" width="9.42578125" style="630" customWidth="1"/>
    <col min="2306" max="2306" width="11.28515625" style="630" customWidth="1"/>
    <col min="2307" max="2307" width="11" style="630" customWidth="1"/>
    <col min="2308" max="2308" width="13.140625" style="630" customWidth="1"/>
    <col min="2309" max="2309" width="11.7109375" style="630" customWidth="1"/>
    <col min="2310" max="2310" width="11.140625" style="630" customWidth="1"/>
    <col min="2311" max="2311" width="11.7109375" style="630" customWidth="1"/>
    <col min="2312" max="2557" width="9.140625" style="630"/>
    <col min="2558" max="2558" width="5.28515625" style="630" customWidth="1"/>
    <col min="2559" max="2559" width="8" style="630" customWidth="1"/>
    <col min="2560" max="2560" width="5.85546875" style="630" customWidth="1"/>
    <col min="2561" max="2561" width="9.42578125" style="630" customWidth="1"/>
    <col min="2562" max="2562" width="11.28515625" style="630" customWidth="1"/>
    <col min="2563" max="2563" width="11" style="630" customWidth="1"/>
    <col min="2564" max="2564" width="13.140625" style="630" customWidth="1"/>
    <col min="2565" max="2565" width="11.7109375" style="630" customWidth="1"/>
    <col min="2566" max="2566" width="11.140625" style="630" customWidth="1"/>
    <col min="2567" max="2567" width="11.7109375" style="630" customWidth="1"/>
    <col min="2568" max="2813" width="9.140625" style="630"/>
    <col min="2814" max="2814" width="5.28515625" style="630" customWidth="1"/>
    <col min="2815" max="2815" width="8" style="630" customWidth="1"/>
    <col min="2816" max="2816" width="5.85546875" style="630" customWidth="1"/>
    <col min="2817" max="2817" width="9.42578125" style="630" customWidth="1"/>
    <col min="2818" max="2818" width="11.28515625" style="630" customWidth="1"/>
    <col min="2819" max="2819" width="11" style="630" customWidth="1"/>
    <col min="2820" max="2820" width="13.140625" style="630" customWidth="1"/>
    <col min="2821" max="2821" width="11.7109375" style="630" customWidth="1"/>
    <col min="2822" max="2822" width="11.140625" style="630" customWidth="1"/>
    <col min="2823" max="2823" width="11.7109375" style="630" customWidth="1"/>
    <col min="2824" max="3069" width="9.140625" style="630"/>
    <col min="3070" max="3070" width="5.28515625" style="630" customWidth="1"/>
    <col min="3071" max="3071" width="8" style="630" customWidth="1"/>
    <col min="3072" max="3072" width="5.85546875" style="630" customWidth="1"/>
    <col min="3073" max="3073" width="9.42578125" style="630" customWidth="1"/>
    <col min="3074" max="3074" width="11.28515625" style="630" customWidth="1"/>
    <col min="3075" max="3075" width="11" style="630" customWidth="1"/>
    <col min="3076" max="3076" width="13.140625" style="630" customWidth="1"/>
    <col min="3077" max="3077" width="11.7109375" style="630" customWidth="1"/>
    <col min="3078" max="3078" width="11.140625" style="630" customWidth="1"/>
    <col min="3079" max="3079" width="11.7109375" style="630" customWidth="1"/>
    <col min="3080" max="3325" width="9.140625" style="630"/>
    <col min="3326" max="3326" width="5.28515625" style="630" customWidth="1"/>
    <col min="3327" max="3327" width="8" style="630" customWidth="1"/>
    <col min="3328" max="3328" width="5.85546875" style="630" customWidth="1"/>
    <col min="3329" max="3329" width="9.42578125" style="630" customWidth="1"/>
    <col min="3330" max="3330" width="11.28515625" style="630" customWidth="1"/>
    <col min="3331" max="3331" width="11" style="630" customWidth="1"/>
    <col min="3332" max="3332" width="13.140625" style="630" customWidth="1"/>
    <col min="3333" max="3333" width="11.7109375" style="630" customWidth="1"/>
    <col min="3334" max="3334" width="11.140625" style="630" customWidth="1"/>
    <col min="3335" max="3335" width="11.7109375" style="630" customWidth="1"/>
    <col min="3336" max="3581" width="9.140625" style="630"/>
    <col min="3582" max="3582" width="5.28515625" style="630" customWidth="1"/>
    <col min="3583" max="3583" width="8" style="630" customWidth="1"/>
    <col min="3584" max="3584" width="5.85546875" style="630" customWidth="1"/>
    <col min="3585" max="3585" width="9.42578125" style="630" customWidth="1"/>
    <col min="3586" max="3586" width="11.28515625" style="630" customWidth="1"/>
    <col min="3587" max="3587" width="11" style="630" customWidth="1"/>
    <col min="3588" max="3588" width="13.140625" style="630" customWidth="1"/>
    <col min="3589" max="3589" width="11.7109375" style="630" customWidth="1"/>
    <col min="3590" max="3590" width="11.140625" style="630" customWidth="1"/>
    <col min="3591" max="3591" width="11.7109375" style="630" customWidth="1"/>
    <col min="3592" max="3837" width="9.140625" style="630"/>
    <col min="3838" max="3838" width="5.28515625" style="630" customWidth="1"/>
    <col min="3839" max="3839" width="8" style="630" customWidth="1"/>
    <col min="3840" max="3840" width="5.85546875" style="630" customWidth="1"/>
    <col min="3841" max="3841" width="9.42578125" style="630" customWidth="1"/>
    <col min="3842" max="3842" width="11.28515625" style="630" customWidth="1"/>
    <col min="3843" max="3843" width="11" style="630" customWidth="1"/>
    <col min="3844" max="3844" width="13.140625" style="630" customWidth="1"/>
    <col min="3845" max="3845" width="11.7109375" style="630" customWidth="1"/>
    <col min="3846" max="3846" width="11.140625" style="630" customWidth="1"/>
    <col min="3847" max="3847" width="11.7109375" style="630" customWidth="1"/>
    <col min="3848" max="4093" width="9.140625" style="630"/>
    <col min="4094" max="4094" width="5.28515625" style="630" customWidth="1"/>
    <col min="4095" max="4095" width="8" style="630" customWidth="1"/>
    <col min="4096" max="4096" width="5.85546875" style="630" customWidth="1"/>
    <col min="4097" max="4097" width="9.42578125" style="630" customWidth="1"/>
    <col min="4098" max="4098" width="11.28515625" style="630" customWidth="1"/>
    <col min="4099" max="4099" width="11" style="630" customWidth="1"/>
    <col min="4100" max="4100" width="13.140625" style="630" customWidth="1"/>
    <col min="4101" max="4101" width="11.7109375" style="630" customWidth="1"/>
    <col min="4102" max="4102" width="11.140625" style="630" customWidth="1"/>
    <col min="4103" max="4103" width="11.7109375" style="630" customWidth="1"/>
    <col min="4104" max="4349" width="9.140625" style="630"/>
    <col min="4350" max="4350" width="5.28515625" style="630" customWidth="1"/>
    <col min="4351" max="4351" width="8" style="630" customWidth="1"/>
    <col min="4352" max="4352" width="5.85546875" style="630" customWidth="1"/>
    <col min="4353" max="4353" width="9.42578125" style="630" customWidth="1"/>
    <col min="4354" max="4354" width="11.28515625" style="630" customWidth="1"/>
    <col min="4355" max="4355" width="11" style="630" customWidth="1"/>
    <col min="4356" max="4356" width="13.140625" style="630" customWidth="1"/>
    <col min="4357" max="4357" width="11.7109375" style="630" customWidth="1"/>
    <col min="4358" max="4358" width="11.140625" style="630" customWidth="1"/>
    <col min="4359" max="4359" width="11.7109375" style="630" customWidth="1"/>
    <col min="4360" max="4605" width="9.140625" style="630"/>
    <col min="4606" max="4606" width="5.28515625" style="630" customWidth="1"/>
    <col min="4607" max="4607" width="8" style="630" customWidth="1"/>
    <col min="4608" max="4608" width="5.85546875" style="630" customWidth="1"/>
    <col min="4609" max="4609" width="9.42578125" style="630" customWidth="1"/>
    <col min="4610" max="4610" width="11.28515625" style="630" customWidth="1"/>
    <col min="4611" max="4611" width="11" style="630" customWidth="1"/>
    <col min="4612" max="4612" width="13.140625" style="630" customWidth="1"/>
    <col min="4613" max="4613" width="11.7109375" style="630" customWidth="1"/>
    <col min="4614" max="4614" width="11.140625" style="630" customWidth="1"/>
    <col min="4615" max="4615" width="11.7109375" style="630" customWidth="1"/>
    <col min="4616" max="4861" width="9.140625" style="630"/>
    <col min="4862" max="4862" width="5.28515625" style="630" customWidth="1"/>
    <col min="4863" max="4863" width="8" style="630" customWidth="1"/>
    <col min="4864" max="4864" width="5.85546875" style="630" customWidth="1"/>
    <col min="4865" max="4865" width="9.42578125" style="630" customWidth="1"/>
    <col min="4866" max="4866" width="11.28515625" style="630" customWidth="1"/>
    <col min="4867" max="4867" width="11" style="630" customWidth="1"/>
    <col min="4868" max="4868" width="13.140625" style="630" customWidth="1"/>
    <col min="4869" max="4869" width="11.7109375" style="630" customWidth="1"/>
    <col min="4870" max="4870" width="11.140625" style="630" customWidth="1"/>
    <col min="4871" max="4871" width="11.7109375" style="630" customWidth="1"/>
    <col min="4872" max="5117" width="9.140625" style="630"/>
    <col min="5118" max="5118" width="5.28515625" style="630" customWidth="1"/>
    <col min="5119" max="5119" width="8" style="630" customWidth="1"/>
    <col min="5120" max="5120" width="5.85546875" style="630" customWidth="1"/>
    <col min="5121" max="5121" width="9.42578125" style="630" customWidth="1"/>
    <col min="5122" max="5122" width="11.28515625" style="630" customWidth="1"/>
    <col min="5123" max="5123" width="11" style="630" customWidth="1"/>
    <col min="5124" max="5124" width="13.140625" style="630" customWidth="1"/>
    <col min="5125" max="5125" width="11.7109375" style="630" customWidth="1"/>
    <col min="5126" max="5126" width="11.140625" style="630" customWidth="1"/>
    <col min="5127" max="5127" width="11.7109375" style="630" customWidth="1"/>
    <col min="5128" max="5373" width="9.140625" style="630"/>
    <col min="5374" max="5374" width="5.28515625" style="630" customWidth="1"/>
    <col min="5375" max="5375" width="8" style="630" customWidth="1"/>
    <col min="5376" max="5376" width="5.85546875" style="630" customWidth="1"/>
    <col min="5377" max="5377" width="9.42578125" style="630" customWidth="1"/>
    <col min="5378" max="5378" width="11.28515625" style="630" customWidth="1"/>
    <col min="5379" max="5379" width="11" style="630" customWidth="1"/>
    <col min="5380" max="5380" width="13.140625" style="630" customWidth="1"/>
    <col min="5381" max="5381" width="11.7109375" style="630" customWidth="1"/>
    <col min="5382" max="5382" width="11.140625" style="630" customWidth="1"/>
    <col min="5383" max="5383" width="11.7109375" style="630" customWidth="1"/>
    <col min="5384" max="5629" width="9.140625" style="630"/>
    <col min="5630" max="5630" width="5.28515625" style="630" customWidth="1"/>
    <col min="5631" max="5631" width="8" style="630" customWidth="1"/>
    <col min="5632" max="5632" width="5.85546875" style="630" customWidth="1"/>
    <col min="5633" max="5633" width="9.42578125" style="630" customWidth="1"/>
    <col min="5634" max="5634" width="11.28515625" style="630" customWidth="1"/>
    <col min="5635" max="5635" width="11" style="630" customWidth="1"/>
    <col min="5636" max="5636" width="13.140625" style="630" customWidth="1"/>
    <col min="5637" max="5637" width="11.7109375" style="630" customWidth="1"/>
    <col min="5638" max="5638" width="11.140625" style="630" customWidth="1"/>
    <col min="5639" max="5639" width="11.7109375" style="630" customWidth="1"/>
    <col min="5640" max="5885" width="9.140625" style="630"/>
    <col min="5886" max="5886" width="5.28515625" style="630" customWidth="1"/>
    <col min="5887" max="5887" width="8" style="630" customWidth="1"/>
    <col min="5888" max="5888" width="5.85546875" style="630" customWidth="1"/>
    <col min="5889" max="5889" width="9.42578125" style="630" customWidth="1"/>
    <col min="5890" max="5890" width="11.28515625" style="630" customWidth="1"/>
    <col min="5891" max="5891" width="11" style="630" customWidth="1"/>
    <col min="5892" max="5892" width="13.140625" style="630" customWidth="1"/>
    <col min="5893" max="5893" width="11.7109375" style="630" customWidth="1"/>
    <col min="5894" max="5894" width="11.140625" style="630" customWidth="1"/>
    <col min="5895" max="5895" width="11.7109375" style="630" customWidth="1"/>
    <col min="5896" max="6141" width="9.140625" style="630"/>
    <col min="6142" max="6142" width="5.28515625" style="630" customWidth="1"/>
    <col min="6143" max="6143" width="8" style="630" customWidth="1"/>
    <col min="6144" max="6144" width="5.85546875" style="630" customWidth="1"/>
    <col min="6145" max="6145" width="9.42578125" style="630" customWidth="1"/>
    <col min="6146" max="6146" width="11.28515625" style="630" customWidth="1"/>
    <col min="6147" max="6147" width="11" style="630" customWidth="1"/>
    <col min="6148" max="6148" width="13.140625" style="630" customWidth="1"/>
    <col min="6149" max="6149" width="11.7109375" style="630" customWidth="1"/>
    <col min="6150" max="6150" width="11.140625" style="630" customWidth="1"/>
    <col min="6151" max="6151" width="11.7109375" style="630" customWidth="1"/>
    <col min="6152" max="6397" width="9.140625" style="630"/>
    <col min="6398" max="6398" width="5.28515625" style="630" customWidth="1"/>
    <col min="6399" max="6399" width="8" style="630" customWidth="1"/>
    <col min="6400" max="6400" width="5.85546875" style="630" customWidth="1"/>
    <col min="6401" max="6401" width="9.42578125" style="630" customWidth="1"/>
    <col min="6402" max="6402" width="11.28515625" style="630" customWidth="1"/>
    <col min="6403" max="6403" width="11" style="630" customWidth="1"/>
    <col min="6404" max="6404" width="13.140625" style="630" customWidth="1"/>
    <col min="6405" max="6405" width="11.7109375" style="630" customWidth="1"/>
    <col min="6406" max="6406" width="11.140625" style="630" customWidth="1"/>
    <col min="6407" max="6407" width="11.7109375" style="630" customWidth="1"/>
    <col min="6408" max="6653" width="9.140625" style="630"/>
    <col min="6654" max="6654" width="5.28515625" style="630" customWidth="1"/>
    <col min="6655" max="6655" width="8" style="630" customWidth="1"/>
    <col min="6656" max="6656" width="5.85546875" style="630" customWidth="1"/>
    <col min="6657" max="6657" width="9.42578125" style="630" customWidth="1"/>
    <col min="6658" max="6658" width="11.28515625" style="630" customWidth="1"/>
    <col min="6659" max="6659" width="11" style="630" customWidth="1"/>
    <col min="6660" max="6660" width="13.140625" style="630" customWidth="1"/>
    <col min="6661" max="6661" width="11.7109375" style="630" customWidth="1"/>
    <col min="6662" max="6662" width="11.140625" style="630" customWidth="1"/>
    <col min="6663" max="6663" width="11.7109375" style="630" customWidth="1"/>
    <col min="6664" max="6909" width="9.140625" style="630"/>
    <col min="6910" max="6910" width="5.28515625" style="630" customWidth="1"/>
    <col min="6911" max="6911" width="8" style="630" customWidth="1"/>
    <col min="6912" max="6912" width="5.85546875" style="630" customWidth="1"/>
    <col min="6913" max="6913" width="9.42578125" style="630" customWidth="1"/>
    <col min="6914" max="6914" width="11.28515625" style="630" customWidth="1"/>
    <col min="6915" max="6915" width="11" style="630" customWidth="1"/>
    <col min="6916" max="6916" width="13.140625" style="630" customWidth="1"/>
    <col min="6917" max="6917" width="11.7109375" style="630" customWidth="1"/>
    <col min="6918" max="6918" width="11.140625" style="630" customWidth="1"/>
    <col min="6919" max="6919" width="11.7109375" style="630" customWidth="1"/>
    <col min="6920" max="7165" width="9.140625" style="630"/>
    <col min="7166" max="7166" width="5.28515625" style="630" customWidth="1"/>
    <col min="7167" max="7167" width="8" style="630" customWidth="1"/>
    <col min="7168" max="7168" width="5.85546875" style="630" customWidth="1"/>
    <col min="7169" max="7169" width="9.42578125" style="630" customWidth="1"/>
    <col min="7170" max="7170" width="11.28515625" style="630" customWidth="1"/>
    <col min="7171" max="7171" width="11" style="630" customWidth="1"/>
    <col min="7172" max="7172" width="13.140625" style="630" customWidth="1"/>
    <col min="7173" max="7173" width="11.7109375" style="630" customWidth="1"/>
    <col min="7174" max="7174" width="11.140625" style="630" customWidth="1"/>
    <col min="7175" max="7175" width="11.7109375" style="630" customWidth="1"/>
    <col min="7176" max="7421" width="9.140625" style="630"/>
    <col min="7422" max="7422" width="5.28515625" style="630" customWidth="1"/>
    <col min="7423" max="7423" width="8" style="630" customWidth="1"/>
    <col min="7424" max="7424" width="5.85546875" style="630" customWidth="1"/>
    <col min="7425" max="7425" width="9.42578125" style="630" customWidth="1"/>
    <col min="7426" max="7426" width="11.28515625" style="630" customWidth="1"/>
    <col min="7427" max="7427" width="11" style="630" customWidth="1"/>
    <col min="7428" max="7428" width="13.140625" style="630" customWidth="1"/>
    <col min="7429" max="7429" width="11.7109375" style="630" customWidth="1"/>
    <col min="7430" max="7430" width="11.140625" style="630" customWidth="1"/>
    <col min="7431" max="7431" width="11.7109375" style="630" customWidth="1"/>
    <col min="7432" max="7677" width="9.140625" style="630"/>
    <col min="7678" max="7678" width="5.28515625" style="630" customWidth="1"/>
    <col min="7679" max="7679" width="8" style="630" customWidth="1"/>
    <col min="7680" max="7680" width="5.85546875" style="630" customWidth="1"/>
    <col min="7681" max="7681" width="9.42578125" style="630" customWidth="1"/>
    <col min="7682" max="7682" width="11.28515625" style="630" customWidth="1"/>
    <col min="7683" max="7683" width="11" style="630" customWidth="1"/>
    <col min="7684" max="7684" width="13.140625" style="630" customWidth="1"/>
    <col min="7685" max="7685" width="11.7109375" style="630" customWidth="1"/>
    <col min="7686" max="7686" width="11.140625" style="630" customWidth="1"/>
    <col min="7687" max="7687" width="11.7109375" style="630" customWidth="1"/>
    <col min="7688" max="7933" width="9.140625" style="630"/>
    <col min="7934" max="7934" width="5.28515625" style="630" customWidth="1"/>
    <col min="7935" max="7935" width="8" style="630" customWidth="1"/>
    <col min="7936" max="7936" width="5.85546875" style="630" customWidth="1"/>
    <col min="7937" max="7937" width="9.42578125" style="630" customWidth="1"/>
    <col min="7938" max="7938" width="11.28515625" style="630" customWidth="1"/>
    <col min="7939" max="7939" width="11" style="630" customWidth="1"/>
    <col min="7940" max="7940" width="13.140625" style="630" customWidth="1"/>
    <col min="7941" max="7941" width="11.7109375" style="630" customWidth="1"/>
    <col min="7942" max="7942" width="11.140625" style="630" customWidth="1"/>
    <col min="7943" max="7943" width="11.7109375" style="630" customWidth="1"/>
    <col min="7944" max="8189" width="9.140625" style="630"/>
    <col min="8190" max="8190" width="5.28515625" style="630" customWidth="1"/>
    <col min="8191" max="8191" width="8" style="630" customWidth="1"/>
    <col min="8192" max="8192" width="5.85546875" style="630" customWidth="1"/>
    <col min="8193" max="8193" width="9.42578125" style="630" customWidth="1"/>
    <col min="8194" max="8194" width="11.28515625" style="630" customWidth="1"/>
    <col min="8195" max="8195" width="11" style="630" customWidth="1"/>
    <col min="8196" max="8196" width="13.140625" style="630" customWidth="1"/>
    <col min="8197" max="8197" width="11.7109375" style="630" customWidth="1"/>
    <col min="8198" max="8198" width="11.140625" style="630" customWidth="1"/>
    <col min="8199" max="8199" width="11.7109375" style="630" customWidth="1"/>
    <col min="8200" max="8445" width="9.140625" style="630"/>
    <col min="8446" max="8446" width="5.28515625" style="630" customWidth="1"/>
    <col min="8447" max="8447" width="8" style="630" customWidth="1"/>
    <col min="8448" max="8448" width="5.85546875" style="630" customWidth="1"/>
    <col min="8449" max="8449" width="9.42578125" style="630" customWidth="1"/>
    <col min="8450" max="8450" width="11.28515625" style="630" customWidth="1"/>
    <col min="8451" max="8451" width="11" style="630" customWidth="1"/>
    <col min="8452" max="8452" width="13.140625" style="630" customWidth="1"/>
    <col min="8453" max="8453" width="11.7109375" style="630" customWidth="1"/>
    <col min="8454" max="8454" width="11.140625" style="630" customWidth="1"/>
    <col min="8455" max="8455" width="11.7109375" style="630" customWidth="1"/>
    <col min="8456" max="8701" width="9.140625" style="630"/>
    <col min="8702" max="8702" width="5.28515625" style="630" customWidth="1"/>
    <col min="8703" max="8703" width="8" style="630" customWidth="1"/>
    <col min="8704" max="8704" width="5.85546875" style="630" customWidth="1"/>
    <col min="8705" max="8705" width="9.42578125" style="630" customWidth="1"/>
    <col min="8706" max="8706" width="11.28515625" style="630" customWidth="1"/>
    <col min="8707" max="8707" width="11" style="630" customWidth="1"/>
    <col min="8708" max="8708" width="13.140625" style="630" customWidth="1"/>
    <col min="8709" max="8709" width="11.7109375" style="630" customWidth="1"/>
    <col min="8710" max="8710" width="11.140625" style="630" customWidth="1"/>
    <col min="8711" max="8711" width="11.7109375" style="630" customWidth="1"/>
    <col min="8712" max="8957" width="9.140625" style="630"/>
    <col min="8958" max="8958" width="5.28515625" style="630" customWidth="1"/>
    <col min="8959" max="8959" width="8" style="630" customWidth="1"/>
    <col min="8960" max="8960" width="5.85546875" style="630" customWidth="1"/>
    <col min="8961" max="8961" width="9.42578125" style="630" customWidth="1"/>
    <col min="8962" max="8962" width="11.28515625" style="630" customWidth="1"/>
    <col min="8963" max="8963" width="11" style="630" customWidth="1"/>
    <col min="8964" max="8964" width="13.140625" style="630" customWidth="1"/>
    <col min="8965" max="8965" width="11.7109375" style="630" customWidth="1"/>
    <col min="8966" max="8966" width="11.140625" style="630" customWidth="1"/>
    <col min="8967" max="8967" width="11.7109375" style="630" customWidth="1"/>
    <col min="8968" max="9213" width="9.140625" style="630"/>
    <col min="9214" max="9214" width="5.28515625" style="630" customWidth="1"/>
    <col min="9215" max="9215" width="8" style="630" customWidth="1"/>
    <col min="9216" max="9216" width="5.85546875" style="630" customWidth="1"/>
    <col min="9217" max="9217" width="9.42578125" style="630" customWidth="1"/>
    <col min="9218" max="9218" width="11.28515625" style="630" customWidth="1"/>
    <col min="9219" max="9219" width="11" style="630" customWidth="1"/>
    <col min="9220" max="9220" width="13.140625" style="630" customWidth="1"/>
    <col min="9221" max="9221" width="11.7109375" style="630" customWidth="1"/>
    <col min="9222" max="9222" width="11.140625" style="630" customWidth="1"/>
    <col min="9223" max="9223" width="11.7109375" style="630" customWidth="1"/>
    <col min="9224" max="9469" width="9.140625" style="630"/>
    <col min="9470" max="9470" width="5.28515625" style="630" customWidth="1"/>
    <col min="9471" max="9471" width="8" style="630" customWidth="1"/>
    <col min="9472" max="9472" width="5.85546875" style="630" customWidth="1"/>
    <col min="9473" max="9473" width="9.42578125" style="630" customWidth="1"/>
    <col min="9474" max="9474" width="11.28515625" style="630" customWidth="1"/>
    <col min="9475" max="9475" width="11" style="630" customWidth="1"/>
    <col min="9476" max="9476" width="13.140625" style="630" customWidth="1"/>
    <col min="9477" max="9477" width="11.7109375" style="630" customWidth="1"/>
    <col min="9478" max="9478" width="11.140625" style="630" customWidth="1"/>
    <col min="9479" max="9479" width="11.7109375" style="630" customWidth="1"/>
    <col min="9480" max="9725" width="9.140625" style="630"/>
    <col min="9726" max="9726" width="5.28515625" style="630" customWidth="1"/>
    <col min="9727" max="9727" width="8" style="630" customWidth="1"/>
    <col min="9728" max="9728" width="5.85546875" style="630" customWidth="1"/>
    <col min="9729" max="9729" width="9.42578125" style="630" customWidth="1"/>
    <col min="9730" max="9730" width="11.28515625" style="630" customWidth="1"/>
    <col min="9731" max="9731" width="11" style="630" customWidth="1"/>
    <col min="9732" max="9732" width="13.140625" style="630" customWidth="1"/>
    <col min="9733" max="9733" width="11.7109375" style="630" customWidth="1"/>
    <col min="9734" max="9734" width="11.140625" style="630" customWidth="1"/>
    <col min="9735" max="9735" width="11.7109375" style="630" customWidth="1"/>
    <col min="9736" max="9981" width="9.140625" style="630"/>
    <col min="9982" max="9982" width="5.28515625" style="630" customWidth="1"/>
    <col min="9983" max="9983" width="8" style="630" customWidth="1"/>
    <col min="9984" max="9984" width="5.85546875" style="630" customWidth="1"/>
    <col min="9985" max="9985" width="9.42578125" style="630" customWidth="1"/>
    <col min="9986" max="9986" width="11.28515625" style="630" customWidth="1"/>
    <col min="9987" max="9987" width="11" style="630" customWidth="1"/>
    <col min="9988" max="9988" width="13.140625" style="630" customWidth="1"/>
    <col min="9989" max="9989" width="11.7109375" style="630" customWidth="1"/>
    <col min="9990" max="9990" width="11.140625" style="630" customWidth="1"/>
    <col min="9991" max="9991" width="11.7109375" style="630" customWidth="1"/>
    <col min="9992" max="10237" width="9.140625" style="630"/>
    <col min="10238" max="10238" width="5.28515625" style="630" customWidth="1"/>
    <col min="10239" max="10239" width="8" style="630" customWidth="1"/>
    <col min="10240" max="10240" width="5.85546875" style="630" customWidth="1"/>
    <col min="10241" max="10241" width="9.42578125" style="630" customWidth="1"/>
    <col min="10242" max="10242" width="11.28515625" style="630" customWidth="1"/>
    <col min="10243" max="10243" width="11" style="630" customWidth="1"/>
    <col min="10244" max="10244" width="13.140625" style="630" customWidth="1"/>
    <col min="10245" max="10245" width="11.7109375" style="630" customWidth="1"/>
    <col min="10246" max="10246" width="11.140625" style="630" customWidth="1"/>
    <col min="10247" max="10247" width="11.7109375" style="630" customWidth="1"/>
    <col min="10248" max="10493" width="9.140625" style="630"/>
    <col min="10494" max="10494" width="5.28515625" style="630" customWidth="1"/>
    <col min="10495" max="10495" width="8" style="630" customWidth="1"/>
    <col min="10496" max="10496" width="5.85546875" style="630" customWidth="1"/>
    <col min="10497" max="10497" width="9.42578125" style="630" customWidth="1"/>
    <col min="10498" max="10498" width="11.28515625" style="630" customWidth="1"/>
    <col min="10499" max="10499" width="11" style="630" customWidth="1"/>
    <col min="10500" max="10500" width="13.140625" style="630" customWidth="1"/>
    <col min="10501" max="10501" width="11.7109375" style="630" customWidth="1"/>
    <col min="10502" max="10502" width="11.140625" style="630" customWidth="1"/>
    <col min="10503" max="10503" width="11.7109375" style="630" customWidth="1"/>
    <col min="10504" max="10749" width="9.140625" style="630"/>
    <col min="10750" max="10750" width="5.28515625" style="630" customWidth="1"/>
    <col min="10751" max="10751" width="8" style="630" customWidth="1"/>
    <col min="10752" max="10752" width="5.85546875" style="630" customWidth="1"/>
    <col min="10753" max="10753" width="9.42578125" style="630" customWidth="1"/>
    <col min="10754" max="10754" width="11.28515625" style="630" customWidth="1"/>
    <col min="10755" max="10755" width="11" style="630" customWidth="1"/>
    <col min="10756" max="10756" width="13.140625" style="630" customWidth="1"/>
    <col min="10757" max="10757" width="11.7109375" style="630" customWidth="1"/>
    <col min="10758" max="10758" width="11.140625" style="630" customWidth="1"/>
    <col min="10759" max="10759" width="11.7109375" style="630" customWidth="1"/>
    <col min="10760" max="11005" width="9.140625" style="630"/>
    <col min="11006" max="11006" width="5.28515625" style="630" customWidth="1"/>
    <col min="11007" max="11007" width="8" style="630" customWidth="1"/>
    <col min="11008" max="11008" width="5.85546875" style="630" customWidth="1"/>
    <col min="11009" max="11009" width="9.42578125" style="630" customWidth="1"/>
    <col min="11010" max="11010" width="11.28515625" style="630" customWidth="1"/>
    <col min="11011" max="11011" width="11" style="630" customWidth="1"/>
    <col min="11012" max="11012" width="13.140625" style="630" customWidth="1"/>
    <col min="11013" max="11013" width="11.7109375" style="630" customWidth="1"/>
    <col min="11014" max="11014" width="11.140625" style="630" customWidth="1"/>
    <col min="11015" max="11015" width="11.7109375" style="630" customWidth="1"/>
    <col min="11016" max="11261" width="9.140625" style="630"/>
    <col min="11262" max="11262" width="5.28515625" style="630" customWidth="1"/>
    <col min="11263" max="11263" width="8" style="630" customWidth="1"/>
    <col min="11264" max="11264" width="5.85546875" style="630" customWidth="1"/>
    <col min="11265" max="11265" width="9.42578125" style="630" customWidth="1"/>
    <col min="11266" max="11266" width="11.28515625" style="630" customWidth="1"/>
    <col min="11267" max="11267" width="11" style="630" customWidth="1"/>
    <col min="11268" max="11268" width="13.140625" style="630" customWidth="1"/>
    <col min="11269" max="11269" width="11.7109375" style="630" customWidth="1"/>
    <col min="11270" max="11270" width="11.140625" style="630" customWidth="1"/>
    <col min="11271" max="11271" width="11.7109375" style="630" customWidth="1"/>
    <col min="11272" max="11517" width="9.140625" style="630"/>
    <col min="11518" max="11518" width="5.28515625" style="630" customWidth="1"/>
    <col min="11519" max="11519" width="8" style="630" customWidth="1"/>
    <col min="11520" max="11520" width="5.85546875" style="630" customWidth="1"/>
    <col min="11521" max="11521" width="9.42578125" style="630" customWidth="1"/>
    <col min="11522" max="11522" width="11.28515625" style="630" customWidth="1"/>
    <col min="11523" max="11523" width="11" style="630" customWidth="1"/>
    <col min="11524" max="11524" width="13.140625" style="630" customWidth="1"/>
    <col min="11525" max="11525" width="11.7109375" style="630" customWidth="1"/>
    <col min="11526" max="11526" width="11.140625" style="630" customWidth="1"/>
    <col min="11527" max="11527" width="11.7109375" style="630" customWidth="1"/>
    <col min="11528" max="11773" width="9.140625" style="630"/>
    <col min="11774" max="11774" width="5.28515625" style="630" customWidth="1"/>
    <col min="11775" max="11775" width="8" style="630" customWidth="1"/>
    <col min="11776" max="11776" width="5.85546875" style="630" customWidth="1"/>
    <col min="11777" max="11777" width="9.42578125" style="630" customWidth="1"/>
    <col min="11778" max="11778" width="11.28515625" style="630" customWidth="1"/>
    <col min="11779" max="11779" width="11" style="630" customWidth="1"/>
    <col min="11780" max="11780" width="13.140625" style="630" customWidth="1"/>
    <col min="11781" max="11781" width="11.7109375" style="630" customWidth="1"/>
    <col min="11782" max="11782" width="11.140625" style="630" customWidth="1"/>
    <col min="11783" max="11783" width="11.7109375" style="630" customWidth="1"/>
    <col min="11784" max="12029" width="9.140625" style="630"/>
    <col min="12030" max="12030" width="5.28515625" style="630" customWidth="1"/>
    <col min="12031" max="12031" width="8" style="630" customWidth="1"/>
    <col min="12032" max="12032" width="5.85546875" style="630" customWidth="1"/>
    <col min="12033" max="12033" width="9.42578125" style="630" customWidth="1"/>
    <col min="12034" max="12034" width="11.28515625" style="630" customWidth="1"/>
    <col min="12035" max="12035" width="11" style="630" customWidth="1"/>
    <col min="12036" max="12036" width="13.140625" style="630" customWidth="1"/>
    <col min="12037" max="12037" width="11.7109375" style="630" customWidth="1"/>
    <col min="12038" max="12038" width="11.140625" style="630" customWidth="1"/>
    <col min="12039" max="12039" width="11.7109375" style="630" customWidth="1"/>
    <col min="12040" max="12285" width="9.140625" style="630"/>
    <col min="12286" max="12286" width="5.28515625" style="630" customWidth="1"/>
    <col min="12287" max="12287" width="8" style="630" customWidth="1"/>
    <col min="12288" max="12288" width="5.85546875" style="630" customWidth="1"/>
    <col min="12289" max="12289" width="9.42578125" style="630" customWidth="1"/>
    <col min="12290" max="12290" width="11.28515625" style="630" customWidth="1"/>
    <col min="12291" max="12291" width="11" style="630" customWidth="1"/>
    <col min="12292" max="12292" width="13.140625" style="630" customWidth="1"/>
    <col min="12293" max="12293" width="11.7109375" style="630" customWidth="1"/>
    <col min="12294" max="12294" width="11.140625" style="630" customWidth="1"/>
    <col min="12295" max="12295" width="11.7109375" style="630" customWidth="1"/>
    <col min="12296" max="12541" width="9.140625" style="630"/>
    <col min="12542" max="12542" width="5.28515625" style="630" customWidth="1"/>
    <col min="12543" max="12543" width="8" style="630" customWidth="1"/>
    <col min="12544" max="12544" width="5.85546875" style="630" customWidth="1"/>
    <col min="12545" max="12545" width="9.42578125" style="630" customWidth="1"/>
    <col min="12546" max="12546" width="11.28515625" style="630" customWidth="1"/>
    <col min="12547" max="12547" width="11" style="630" customWidth="1"/>
    <col min="12548" max="12548" width="13.140625" style="630" customWidth="1"/>
    <col min="12549" max="12549" width="11.7109375" style="630" customWidth="1"/>
    <col min="12550" max="12550" width="11.140625" style="630" customWidth="1"/>
    <col min="12551" max="12551" width="11.7109375" style="630" customWidth="1"/>
    <col min="12552" max="12797" width="9.140625" style="630"/>
    <col min="12798" max="12798" width="5.28515625" style="630" customWidth="1"/>
    <col min="12799" max="12799" width="8" style="630" customWidth="1"/>
    <col min="12800" max="12800" width="5.85546875" style="630" customWidth="1"/>
    <col min="12801" max="12801" width="9.42578125" style="630" customWidth="1"/>
    <col min="12802" max="12802" width="11.28515625" style="630" customWidth="1"/>
    <col min="12803" max="12803" width="11" style="630" customWidth="1"/>
    <col min="12804" max="12804" width="13.140625" style="630" customWidth="1"/>
    <col min="12805" max="12805" width="11.7109375" style="630" customWidth="1"/>
    <col min="12806" max="12806" width="11.140625" style="630" customWidth="1"/>
    <col min="12807" max="12807" width="11.7109375" style="630" customWidth="1"/>
    <col min="12808" max="13053" width="9.140625" style="630"/>
    <col min="13054" max="13054" width="5.28515625" style="630" customWidth="1"/>
    <col min="13055" max="13055" width="8" style="630" customWidth="1"/>
    <col min="13056" max="13056" width="5.85546875" style="630" customWidth="1"/>
    <col min="13057" max="13057" width="9.42578125" style="630" customWidth="1"/>
    <col min="13058" max="13058" width="11.28515625" style="630" customWidth="1"/>
    <col min="13059" max="13059" width="11" style="630" customWidth="1"/>
    <col min="13060" max="13060" width="13.140625" style="630" customWidth="1"/>
    <col min="13061" max="13061" width="11.7109375" style="630" customWidth="1"/>
    <col min="13062" max="13062" width="11.140625" style="630" customWidth="1"/>
    <col min="13063" max="13063" width="11.7109375" style="630" customWidth="1"/>
    <col min="13064" max="13309" width="9.140625" style="630"/>
    <col min="13310" max="13310" width="5.28515625" style="630" customWidth="1"/>
    <col min="13311" max="13311" width="8" style="630" customWidth="1"/>
    <col min="13312" max="13312" width="5.85546875" style="630" customWidth="1"/>
    <col min="13313" max="13313" width="9.42578125" style="630" customWidth="1"/>
    <col min="13314" max="13314" width="11.28515625" style="630" customWidth="1"/>
    <col min="13315" max="13315" width="11" style="630" customWidth="1"/>
    <col min="13316" max="13316" width="13.140625" style="630" customWidth="1"/>
    <col min="13317" max="13317" width="11.7109375" style="630" customWidth="1"/>
    <col min="13318" max="13318" width="11.140625" style="630" customWidth="1"/>
    <col min="13319" max="13319" width="11.7109375" style="630" customWidth="1"/>
    <col min="13320" max="13565" width="9.140625" style="630"/>
    <col min="13566" max="13566" width="5.28515625" style="630" customWidth="1"/>
    <col min="13567" max="13567" width="8" style="630" customWidth="1"/>
    <col min="13568" max="13568" width="5.85546875" style="630" customWidth="1"/>
    <col min="13569" max="13569" width="9.42578125" style="630" customWidth="1"/>
    <col min="13570" max="13570" width="11.28515625" style="630" customWidth="1"/>
    <col min="13571" max="13571" width="11" style="630" customWidth="1"/>
    <col min="13572" max="13572" width="13.140625" style="630" customWidth="1"/>
    <col min="13573" max="13573" width="11.7109375" style="630" customWidth="1"/>
    <col min="13574" max="13574" width="11.140625" style="630" customWidth="1"/>
    <col min="13575" max="13575" width="11.7109375" style="630" customWidth="1"/>
    <col min="13576" max="13821" width="9.140625" style="630"/>
    <col min="13822" max="13822" width="5.28515625" style="630" customWidth="1"/>
    <col min="13823" max="13823" width="8" style="630" customWidth="1"/>
    <col min="13824" max="13824" width="5.85546875" style="630" customWidth="1"/>
    <col min="13825" max="13825" width="9.42578125" style="630" customWidth="1"/>
    <col min="13826" max="13826" width="11.28515625" style="630" customWidth="1"/>
    <col min="13827" max="13827" width="11" style="630" customWidth="1"/>
    <col min="13828" max="13828" width="13.140625" style="630" customWidth="1"/>
    <col min="13829" max="13829" width="11.7109375" style="630" customWidth="1"/>
    <col min="13830" max="13830" width="11.140625" style="630" customWidth="1"/>
    <col min="13831" max="13831" width="11.7109375" style="630" customWidth="1"/>
    <col min="13832" max="14077" width="9.140625" style="630"/>
    <col min="14078" max="14078" width="5.28515625" style="630" customWidth="1"/>
    <col min="14079" max="14079" width="8" style="630" customWidth="1"/>
    <col min="14080" max="14080" width="5.85546875" style="630" customWidth="1"/>
    <col min="14081" max="14081" width="9.42578125" style="630" customWidth="1"/>
    <col min="14082" max="14082" width="11.28515625" style="630" customWidth="1"/>
    <col min="14083" max="14083" width="11" style="630" customWidth="1"/>
    <col min="14084" max="14084" width="13.140625" style="630" customWidth="1"/>
    <col min="14085" max="14085" width="11.7109375" style="630" customWidth="1"/>
    <col min="14086" max="14086" width="11.140625" style="630" customWidth="1"/>
    <col min="14087" max="14087" width="11.7109375" style="630" customWidth="1"/>
    <col min="14088" max="14333" width="9.140625" style="630"/>
    <col min="14334" max="14334" width="5.28515625" style="630" customWidth="1"/>
    <col min="14335" max="14335" width="8" style="630" customWidth="1"/>
    <col min="14336" max="14336" width="5.85546875" style="630" customWidth="1"/>
    <col min="14337" max="14337" width="9.42578125" style="630" customWidth="1"/>
    <col min="14338" max="14338" width="11.28515625" style="630" customWidth="1"/>
    <col min="14339" max="14339" width="11" style="630" customWidth="1"/>
    <col min="14340" max="14340" width="13.140625" style="630" customWidth="1"/>
    <col min="14341" max="14341" width="11.7109375" style="630" customWidth="1"/>
    <col min="14342" max="14342" width="11.140625" style="630" customWidth="1"/>
    <col min="14343" max="14343" width="11.7109375" style="630" customWidth="1"/>
    <col min="14344" max="14589" width="9.140625" style="630"/>
    <col min="14590" max="14590" width="5.28515625" style="630" customWidth="1"/>
    <col min="14591" max="14591" width="8" style="630" customWidth="1"/>
    <col min="14592" max="14592" width="5.85546875" style="630" customWidth="1"/>
    <col min="14593" max="14593" width="9.42578125" style="630" customWidth="1"/>
    <col min="14594" max="14594" width="11.28515625" style="630" customWidth="1"/>
    <col min="14595" max="14595" width="11" style="630" customWidth="1"/>
    <col min="14596" max="14596" width="13.140625" style="630" customWidth="1"/>
    <col min="14597" max="14597" width="11.7109375" style="630" customWidth="1"/>
    <col min="14598" max="14598" width="11.140625" style="630" customWidth="1"/>
    <col min="14599" max="14599" width="11.7109375" style="630" customWidth="1"/>
    <col min="14600" max="14845" width="9.140625" style="630"/>
    <col min="14846" max="14846" width="5.28515625" style="630" customWidth="1"/>
    <col min="14847" max="14847" width="8" style="630" customWidth="1"/>
    <col min="14848" max="14848" width="5.85546875" style="630" customWidth="1"/>
    <col min="14849" max="14849" width="9.42578125" style="630" customWidth="1"/>
    <col min="14850" max="14850" width="11.28515625" style="630" customWidth="1"/>
    <col min="14851" max="14851" width="11" style="630" customWidth="1"/>
    <col min="14852" max="14852" width="13.140625" style="630" customWidth="1"/>
    <col min="14853" max="14853" width="11.7109375" style="630" customWidth="1"/>
    <col min="14854" max="14854" width="11.140625" style="630" customWidth="1"/>
    <col min="14855" max="14855" width="11.7109375" style="630" customWidth="1"/>
    <col min="14856" max="15101" width="9.140625" style="630"/>
    <col min="15102" max="15102" width="5.28515625" style="630" customWidth="1"/>
    <col min="15103" max="15103" width="8" style="630" customWidth="1"/>
    <col min="15104" max="15104" width="5.85546875" style="630" customWidth="1"/>
    <col min="15105" max="15105" width="9.42578125" style="630" customWidth="1"/>
    <col min="15106" max="15106" width="11.28515625" style="630" customWidth="1"/>
    <col min="15107" max="15107" width="11" style="630" customWidth="1"/>
    <col min="15108" max="15108" width="13.140625" style="630" customWidth="1"/>
    <col min="15109" max="15109" width="11.7109375" style="630" customWidth="1"/>
    <col min="15110" max="15110" width="11.140625" style="630" customWidth="1"/>
    <col min="15111" max="15111" width="11.7109375" style="630" customWidth="1"/>
    <col min="15112" max="15357" width="9.140625" style="630"/>
    <col min="15358" max="15358" width="5.28515625" style="630" customWidth="1"/>
    <col min="15359" max="15359" width="8" style="630" customWidth="1"/>
    <col min="15360" max="15360" width="5.85546875" style="630" customWidth="1"/>
    <col min="15361" max="15361" width="9.42578125" style="630" customWidth="1"/>
    <col min="15362" max="15362" width="11.28515625" style="630" customWidth="1"/>
    <col min="15363" max="15363" width="11" style="630" customWidth="1"/>
    <col min="15364" max="15364" width="13.140625" style="630" customWidth="1"/>
    <col min="15365" max="15365" width="11.7109375" style="630" customWidth="1"/>
    <col min="15366" max="15366" width="11.140625" style="630" customWidth="1"/>
    <col min="15367" max="15367" width="11.7109375" style="630" customWidth="1"/>
    <col min="15368" max="15613" width="9.140625" style="630"/>
    <col min="15614" max="15614" width="5.28515625" style="630" customWidth="1"/>
    <col min="15615" max="15615" width="8" style="630" customWidth="1"/>
    <col min="15616" max="15616" width="5.85546875" style="630" customWidth="1"/>
    <col min="15617" max="15617" width="9.42578125" style="630" customWidth="1"/>
    <col min="15618" max="15618" width="11.28515625" style="630" customWidth="1"/>
    <col min="15619" max="15619" width="11" style="630" customWidth="1"/>
    <col min="15620" max="15620" width="13.140625" style="630" customWidth="1"/>
    <col min="15621" max="15621" width="11.7109375" style="630" customWidth="1"/>
    <col min="15622" max="15622" width="11.140625" style="630" customWidth="1"/>
    <col min="15623" max="15623" width="11.7109375" style="630" customWidth="1"/>
    <col min="15624" max="15869" width="9.140625" style="630"/>
    <col min="15870" max="15870" width="5.28515625" style="630" customWidth="1"/>
    <col min="15871" max="15871" width="8" style="630" customWidth="1"/>
    <col min="15872" max="15872" width="5.85546875" style="630" customWidth="1"/>
    <col min="15873" max="15873" width="9.42578125" style="630" customWidth="1"/>
    <col min="15874" max="15874" width="11.28515625" style="630" customWidth="1"/>
    <col min="15875" max="15875" width="11" style="630" customWidth="1"/>
    <col min="15876" max="15876" width="13.140625" style="630" customWidth="1"/>
    <col min="15877" max="15877" width="11.7109375" style="630" customWidth="1"/>
    <col min="15878" max="15878" width="11.140625" style="630" customWidth="1"/>
    <col min="15879" max="15879" width="11.7109375" style="630" customWidth="1"/>
    <col min="15880" max="16125" width="9.140625" style="630"/>
    <col min="16126" max="16126" width="5.28515625" style="630" customWidth="1"/>
    <col min="16127" max="16127" width="8" style="630" customWidth="1"/>
    <col min="16128" max="16128" width="5.85546875" style="630" customWidth="1"/>
    <col min="16129" max="16129" width="9.42578125" style="630" customWidth="1"/>
    <col min="16130" max="16130" width="11.28515625" style="630" customWidth="1"/>
    <col min="16131" max="16131" width="11" style="630" customWidth="1"/>
    <col min="16132" max="16132" width="13.140625" style="630" customWidth="1"/>
    <col min="16133" max="16133" width="11.7109375" style="630" customWidth="1"/>
    <col min="16134" max="16134" width="11.140625" style="630" customWidth="1"/>
    <col min="16135" max="16135" width="11.7109375" style="630" customWidth="1"/>
    <col min="16136" max="16384" width="9.140625" style="630"/>
  </cols>
  <sheetData>
    <row r="1" spans="1:72" ht="12.75" customHeight="1" x14ac:dyDescent="0.25">
      <c r="A1" s="596"/>
      <c r="F1" s="3" t="s">
        <v>551</v>
      </c>
    </row>
    <row r="2" spans="1:72" ht="12.75" customHeight="1" x14ac:dyDescent="0.25">
      <c r="F2" s="3" t="s">
        <v>289</v>
      </c>
    </row>
    <row r="3" spans="1:72" ht="12.75" customHeight="1" x14ac:dyDescent="0.25">
      <c r="F3" s="3" t="s">
        <v>0</v>
      </c>
    </row>
    <row r="4" spans="1:72" ht="12.75" customHeight="1" x14ac:dyDescent="0.25">
      <c r="F4" s="3" t="s">
        <v>290</v>
      </c>
    </row>
    <row r="5" spans="1:72" ht="12.75" customHeight="1" x14ac:dyDescent="0.25"/>
    <row r="6" spans="1:72" ht="13.5" customHeight="1" x14ac:dyDescent="0.25">
      <c r="A6" s="551" t="s">
        <v>552</v>
      </c>
      <c r="B6" s="551"/>
      <c r="C6" s="551"/>
      <c r="D6" s="551"/>
      <c r="E6" s="551"/>
      <c r="F6" s="551"/>
      <c r="G6" s="551"/>
      <c r="J6" s="1"/>
    </row>
    <row r="7" spans="1:72" ht="12.75" customHeight="1" x14ac:dyDescent="0.25">
      <c r="A7" s="551" t="s">
        <v>553</v>
      </c>
      <c r="B7" s="597"/>
      <c r="C7" s="597"/>
      <c r="D7" s="597"/>
      <c r="E7" s="597"/>
      <c r="F7" s="597"/>
      <c r="G7" s="597"/>
      <c r="J7" s="1"/>
    </row>
    <row r="8" spans="1:72" ht="9" customHeight="1" x14ac:dyDescent="0.25">
      <c r="A8" s="598"/>
      <c r="B8" s="599"/>
      <c r="C8" s="599"/>
      <c r="D8" s="599"/>
      <c r="E8" s="599"/>
      <c r="F8" s="599"/>
      <c r="G8" s="599"/>
      <c r="J8" s="1"/>
    </row>
    <row r="9" spans="1:72" ht="11.25" customHeight="1" x14ac:dyDescent="0.25">
      <c r="G9" s="600" t="s">
        <v>2</v>
      </c>
    </row>
    <row r="10" spans="1:72" s="604" customFormat="1" ht="36.75" customHeight="1" x14ac:dyDescent="0.2">
      <c r="A10" s="601" t="s">
        <v>358</v>
      </c>
      <c r="B10" s="601" t="s">
        <v>360</v>
      </c>
      <c r="C10" s="601" t="s">
        <v>554</v>
      </c>
      <c r="D10" s="601" t="s">
        <v>335</v>
      </c>
      <c r="E10" s="602" t="s">
        <v>6</v>
      </c>
      <c r="F10" s="602" t="s">
        <v>555</v>
      </c>
      <c r="G10" s="602" t="s">
        <v>556</v>
      </c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603"/>
      <c r="AO10" s="603"/>
      <c r="AP10" s="603"/>
      <c r="AQ10" s="603"/>
      <c r="AR10" s="603"/>
      <c r="AS10" s="603"/>
      <c r="AT10" s="603"/>
      <c r="AU10" s="603"/>
      <c r="AV10" s="603"/>
      <c r="AW10" s="603"/>
      <c r="AX10" s="603"/>
      <c r="AY10" s="603"/>
      <c r="AZ10" s="603"/>
      <c r="BA10" s="603"/>
      <c r="BB10" s="603"/>
      <c r="BC10" s="603"/>
      <c r="BD10" s="603"/>
      <c r="BE10" s="603"/>
      <c r="BF10" s="603"/>
      <c r="BG10" s="603"/>
      <c r="BH10" s="603"/>
      <c r="BI10" s="603"/>
      <c r="BJ10" s="603"/>
      <c r="BK10" s="603"/>
      <c r="BL10" s="603"/>
      <c r="BM10" s="603"/>
      <c r="BN10" s="603"/>
      <c r="BO10" s="603"/>
      <c r="BP10" s="603"/>
      <c r="BQ10" s="603"/>
      <c r="BR10" s="603"/>
      <c r="BS10" s="603"/>
      <c r="BT10" s="603"/>
    </row>
    <row r="11" spans="1:72" s="607" customFormat="1" ht="10.5" customHeight="1" x14ac:dyDescent="0.2">
      <c r="A11" s="605">
        <v>1</v>
      </c>
      <c r="B11" s="605">
        <v>2</v>
      </c>
      <c r="C11" s="605">
        <v>3</v>
      </c>
      <c r="D11" s="605">
        <v>4</v>
      </c>
      <c r="E11" s="605">
        <v>5</v>
      </c>
      <c r="F11" s="605">
        <v>6</v>
      </c>
      <c r="G11" s="605">
        <v>7</v>
      </c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6"/>
      <c r="AH11" s="606"/>
      <c r="AI11" s="606"/>
      <c r="AJ11" s="606"/>
      <c r="AK11" s="606"/>
      <c r="AL11" s="606"/>
      <c r="AM11" s="606"/>
      <c r="AN11" s="606"/>
      <c r="AO11" s="606"/>
      <c r="AP11" s="606"/>
      <c r="AQ11" s="606"/>
      <c r="AR11" s="606"/>
      <c r="AS11" s="606"/>
      <c r="AT11" s="606"/>
      <c r="AU11" s="606"/>
      <c r="AV11" s="606"/>
      <c r="AW11" s="606"/>
      <c r="AX11" s="606"/>
      <c r="AY11" s="606"/>
      <c r="AZ11" s="606"/>
      <c r="BA11" s="606"/>
      <c r="BB11" s="606"/>
      <c r="BC11" s="606"/>
      <c r="BD11" s="606"/>
      <c r="BE11" s="606"/>
      <c r="BF11" s="606"/>
      <c r="BG11" s="606"/>
      <c r="BH11" s="606"/>
      <c r="BI11" s="606"/>
      <c r="BJ11" s="606"/>
      <c r="BK11" s="606"/>
      <c r="BL11" s="606"/>
      <c r="BM11" s="606"/>
      <c r="BN11" s="606"/>
      <c r="BO11" s="606"/>
      <c r="BP11" s="606"/>
      <c r="BQ11" s="606"/>
      <c r="BR11" s="606"/>
      <c r="BS11" s="606"/>
      <c r="BT11" s="606"/>
    </row>
    <row r="12" spans="1:72" s="631" customFormat="1" ht="15.75" customHeight="1" x14ac:dyDescent="0.2">
      <c r="A12" s="608"/>
      <c r="B12" s="609"/>
      <c r="C12" s="610"/>
      <c r="D12" s="610"/>
      <c r="E12" s="611" t="s">
        <v>86</v>
      </c>
      <c r="F12" s="612">
        <f>6300+1461+2140+3935+683+1698+1959+1276</f>
        <v>19452</v>
      </c>
      <c r="G12" s="613" t="s">
        <v>325</v>
      </c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5"/>
      <c r="BC12" s="595"/>
      <c r="BD12" s="595"/>
      <c r="BE12" s="595"/>
      <c r="BF12" s="595"/>
      <c r="BG12" s="595"/>
      <c r="BH12" s="595"/>
      <c r="BI12" s="595"/>
      <c r="BJ12" s="595"/>
      <c r="BK12" s="595"/>
      <c r="BL12" s="595"/>
      <c r="BM12" s="595"/>
      <c r="BN12" s="595"/>
      <c r="BO12" s="595"/>
      <c r="BP12" s="595"/>
      <c r="BQ12" s="595"/>
      <c r="BR12" s="595"/>
      <c r="BS12" s="595"/>
      <c r="BT12" s="595"/>
    </row>
    <row r="13" spans="1:72" s="631" customFormat="1" ht="24" x14ac:dyDescent="0.2">
      <c r="A13" s="614" t="s">
        <v>532</v>
      </c>
      <c r="B13" s="615" t="s">
        <v>557</v>
      </c>
      <c r="C13" s="610" t="s">
        <v>229</v>
      </c>
      <c r="D13" s="610" t="s">
        <v>558</v>
      </c>
      <c r="E13" s="616" t="s">
        <v>325</v>
      </c>
      <c r="F13" s="617" t="s">
        <v>325</v>
      </c>
      <c r="G13" s="618">
        <f>SUM(G15)</f>
        <v>19452</v>
      </c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595"/>
      <c r="AW13" s="595"/>
      <c r="AX13" s="595"/>
      <c r="AY13" s="595"/>
      <c r="AZ13" s="595"/>
      <c r="BA13" s="595"/>
      <c r="BB13" s="595"/>
      <c r="BC13" s="595"/>
      <c r="BD13" s="595"/>
      <c r="BE13" s="595"/>
      <c r="BF13" s="595"/>
      <c r="BG13" s="595"/>
      <c r="BH13" s="595"/>
      <c r="BI13" s="595"/>
      <c r="BJ13" s="595"/>
      <c r="BK13" s="595"/>
      <c r="BL13" s="595"/>
      <c r="BM13" s="595"/>
      <c r="BN13" s="595"/>
      <c r="BO13" s="595"/>
      <c r="BP13" s="595"/>
      <c r="BQ13" s="595"/>
      <c r="BR13" s="595"/>
      <c r="BS13" s="595"/>
      <c r="BT13" s="595"/>
    </row>
    <row r="14" spans="1:72" s="631" customFormat="1" ht="9" customHeight="1" x14ac:dyDescent="0.2">
      <c r="A14" s="608"/>
      <c r="B14" s="619"/>
      <c r="C14" s="610"/>
      <c r="D14" s="610"/>
      <c r="E14" s="610"/>
      <c r="F14" s="620"/>
      <c r="G14" s="632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595"/>
      <c r="AW14" s="595"/>
      <c r="AX14" s="595"/>
      <c r="AY14" s="595"/>
      <c r="AZ14" s="595"/>
      <c r="BA14" s="595"/>
      <c r="BB14" s="595"/>
      <c r="BC14" s="595"/>
      <c r="BD14" s="595"/>
      <c r="BE14" s="595"/>
      <c r="BF14" s="595"/>
      <c r="BG14" s="595"/>
      <c r="BH14" s="595"/>
      <c r="BI14" s="595"/>
      <c r="BJ14" s="595"/>
      <c r="BK14" s="595"/>
      <c r="BL14" s="595"/>
      <c r="BM14" s="595"/>
      <c r="BN14" s="595"/>
      <c r="BO14" s="595"/>
      <c r="BP14" s="595"/>
      <c r="BQ14" s="595"/>
      <c r="BR14" s="595"/>
      <c r="BS14" s="595"/>
      <c r="BT14" s="595"/>
    </row>
    <row r="15" spans="1:72" s="631" customFormat="1" ht="15.75" customHeight="1" x14ac:dyDescent="0.2">
      <c r="A15" s="608"/>
      <c r="B15" s="633" t="s">
        <v>64</v>
      </c>
      <c r="C15" s="610"/>
      <c r="D15" s="610"/>
      <c r="E15" s="610"/>
      <c r="F15" s="620"/>
      <c r="G15" s="632">
        <f>SUM(G16:G16)</f>
        <v>19452</v>
      </c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595"/>
      <c r="AW15" s="595"/>
      <c r="AX15" s="595"/>
      <c r="AY15" s="595"/>
      <c r="AZ15" s="595"/>
      <c r="BA15" s="595"/>
      <c r="BB15" s="595"/>
      <c r="BC15" s="595"/>
      <c r="BD15" s="595"/>
      <c r="BE15" s="595"/>
      <c r="BF15" s="595"/>
      <c r="BG15" s="595"/>
      <c r="BH15" s="595"/>
      <c r="BI15" s="595"/>
      <c r="BJ15" s="595"/>
      <c r="BK15" s="595"/>
      <c r="BL15" s="595"/>
      <c r="BM15" s="595"/>
      <c r="BN15" s="595"/>
      <c r="BO15" s="595"/>
      <c r="BP15" s="595"/>
      <c r="BQ15" s="595"/>
      <c r="BR15" s="595"/>
      <c r="BS15" s="595"/>
      <c r="BT15" s="595"/>
    </row>
    <row r="16" spans="1:72" s="631" customFormat="1" ht="15.75" customHeight="1" x14ac:dyDescent="0.2">
      <c r="A16" s="608"/>
      <c r="B16" s="633"/>
      <c r="C16" s="610"/>
      <c r="D16" s="610"/>
      <c r="E16" s="610" t="s">
        <v>559</v>
      </c>
      <c r="F16" s="620" t="s">
        <v>325</v>
      </c>
      <c r="G16" s="621">
        <f>6300+1461+2140+3935+683+1698+1959+1276</f>
        <v>19452</v>
      </c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95"/>
      <c r="AB16" s="595"/>
      <c r="AC16" s="595"/>
      <c r="AD16" s="595"/>
      <c r="AE16" s="595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595"/>
      <c r="AW16" s="595"/>
      <c r="AX16" s="595"/>
      <c r="AY16" s="595"/>
      <c r="AZ16" s="595"/>
      <c r="BA16" s="595"/>
      <c r="BB16" s="595"/>
      <c r="BC16" s="595"/>
      <c r="BD16" s="595"/>
      <c r="BE16" s="595"/>
      <c r="BF16" s="595"/>
      <c r="BG16" s="595"/>
      <c r="BH16" s="595"/>
      <c r="BI16" s="595"/>
      <c r="BJ16" s="595"/>
      <c r="BK16" s="595"/>
      <c r="BL16" s="595"/>
      <c r="BM16" s="595"/>
      <c r="BN16" s="595"/>
      <c r="BO16" s="595"/>
      <c r="BP16" s="595"/>
      <c r="BQ16" s="595"/>
      <c r="BR16" s="595"/>
      <c r="BS16" s="595"/>
      <c r="BT16" s="595"/>
    </row>
    <row r="17" spans="1:72" s="631" customFormat="1" ht="15.75" customHeight="1" x14ac:dyDescent="0.2">
      <c r="A17" s="622"/>
      <c r="B17" s="623"/>
      <c r="C17" s="624"/>
      <c r="D17" s="611"/>
      <c r="E17" s="611"/>
      <c r="F17" s="613"/>
      <c r="G17" s="62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595"/>
      <c r="AW17" s="595"/>
      <c r="AX17" s="595"/>
      <c r="AY17" s="595"/>
      <c r="AZ17" s="595"/>
      <c r="BA17" s="595"/>
      <c r="BB17" s="595"/>
      <c r="BC17" s="595"/>
      <c r="BD17" s="595"/>
      <c r="BE17" s="595"/>
      <c r="BF17" s="595"/>
      <c r="BG17" s="595"/>
      <c r="BH17" s="595"/>
      <c r="BI17" s="595"/>
      <c r="BJ17" s="595"/>
      <c r="BK17" s="595"/>
      <c r="BL17" s="595"/>
      <c r="BM17" s="595"/>
      <c r="BN17" s="595"/>
      <c r="BO17" s="595"/>
      <c r="BP17" s="595"/>
      <c r="BQ17" s="595"/>
      <c r="BR17" s="595"/>
      <c r="BS17" s="595"/>
      <c r="BT17" s="595"/>
    </row>
    <row r="18" spans="1:72" s="631" customFormat="1" ht="15.75" customHeight="1" x14ac:dyDescent="0.2">
      <c r="A18" s="608"/>
      <c r="B18" s="609"/>
      <c r="C18" s="610"/>
      <c r="D18" s="610"/>
      <c r="E18" s="611" t="s">
        <v>86</v>
      </c>
      <c r="F18" s="612">
        <f>12806+18072+15851+15093+22120+19181+37648+19309+29928+28321</f>
        <v>218329</v>
      </c>
      <c r="G18" s="613" t="s">
        <v>325</v>
      </c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595"/>
      <c r="AW18" s="595"/>
      <c r="AX18" s="595"/>
      <c r="AY18" s="595"/>
      <c r="AZ18" s="595"/>
      <c r="BA18" s="595"/>
      <c r="BB18" s="595"/>
      <c r="BC18" s="595"/>
      <c r="BD18" s="595"/>
      <c r="BE18" s="595"/>
      <c r="BF18" s="595"/>
      <c r="BG18" s="595"/>
      <c r="BH18" s="595"/>
      <c r="BI18" s="595"/>
      <c r="BJ18" s="595"/>
      <c r="BK18" s="595"/>
      <c r="BL18" s="595"/>
      <c r="BM18" s="595"/>
      <c r="BN18" s="595"/>
      <c r="BO18" s="595"/>
      <c r="BP18" s="595"/>
      <c r="BQ18" s="595"/>
      <c r="BR18" s="595"/>
      <c r="BS18" s="595"/>
      <c r="BT18" s="595"/>
    </row>
    <row r="19" spans="1:72" s="631" customFormat="1" ht="20.25" customHeight="1" x14ac:dyDescent="0.2">
      <c r="A19" s="614" t="s">
        <v>533</v>
      </c>
      <c r="B19" s="626" t="s">
        <v>560</v>
      </c>
      <c r="C19" s="610" t="s">
        <v>561</v>
      </c>
      <c r="D19" s="610" t="s">
        <v>562</v>
      </c>
      <c r="E19" s="616" t="s">
        <v>325</v>
      </c>
      <c r="F19" s="617" t="s">
        <v>325</v>
      </c>
      <c r="G19" s="618">
        <f>SUM(G21)</f>
        <v>218329</v>
      </c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595"/>
      <c r="AW19" s="595"/>
      <c r="AX19" s="595"/>
      <c r="AY19" s="595"/>
      <c r="AZ19" s="595"/>
      <c r="BA19" s="595"/>
      <c r="BB19" s="595"/>
      <c r="BC19" s="595"/>
      <c r="BD19" s="595"/>
      <c r="BE19" s="595"/>
      <c r="BF19" s="595"/>
      <c r="BG19" s="595"/>
      <c r="BH19" s="595"/>
      <c r="BI19" s="595"/>
      <c r="BJ19" s="595"/>
      <c r="BK19" s="595"/>
      <c r="BL19" s="595"/>
      <c r="BM19" s="595"/>
      <c r="BN19" s="595"/>
      <c r="BO19" s="595"/>
      <c r="BP19" s="595"/>
      <c r="BQ19" s="595"/>
      <c r="BR19" s="595"/>
      <c r="BS19" s="595"/>
      <c r="BT19" s="595"/>
    </row>
    <row r="20" spans="1:72" s="631" customFormat="1" ht="10.5" customHeight="1" x14ac:dyDescent="0.2">
      <c r="A20" s="608"/>
      <c r="B20" s="619"/>
      <c r="C20" s="610"/>
      <c r="D20" s="610"/>
      <c r="E20" s="610"/>
      <c r="F20" s="620"/>
      <c r="G20" s="632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595"/>
      <c r="AW20" s="595"/>
      <c r="AX20" s="595"/>
      <c r="AY20" s="595"/>
      <c r="AZ20" s="595"/>
      <c r="BA20" s="595"/>
      <c r="BB20" s="595"/>
      <c r="BC20" s="595"/>
      <c r="BD20" s="595"/>
      <c r="BE20" s="595"/>
      <c r="BF20" s="595"/>
      <c r="BG20" s="595"/>
      <c r="BH20" s="595"/>
      <c r="BI20" s="595"/>
      <c r="BJ20" s="595"/>
      <c r="BK20" s="595"/>
      <c r="BL20" s="595"/>
      <c r="BM20" s="595"/>
      <c r="BN20" s="595"/>
      <c r="BO20" s="595"/>
      <c r="BP20" s="595"/>
      <c r="BQ20" s="595"/>
      <c r="BR20" s="595"/>
      <c r="BS20" s="595"/>
      <c r="BT20" s="595"/>
    </row>
    <row r="21" spans="1:72" s="631" customFormat="1" ht="15.75" customHeight="1" x14ac:dyDescent="0.2">
      <c r="A21" s="608"/>
      <c r="B21" s="633" t="s">
        <v>64</v>
      </c>
      <c r="C21" s="610"/>
      <c r="D21" s="610"/>
      <c r="E21" s="610"/>
      <c r="F21" s="620"/>
      <c r="G21" s="632">
        <f>SUM(G22:G24)</f>
        <v>218329</v>
      </c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595"/>
      <c r="AW21" s="595"/>
      <c r="AX21" s="595"/>
      <c r="AY21" s="595"/>
      <c r="AZ21" s="595"/>
      <c r="BA21" s="595"/>
      <c r="BB21" s="595"/>
      <c r="BC21" s="595"/>
      <c r="BD21" s="595"/>
      <c r="BE21" s="595"/>
      <c r="BF21" s="595"/>
      <c r="BG21" s="595"/>
      <c r="BH21" s="595"/>
      <c r="BI21" s="595"/>
      <c r="BJ21" s="595"/>
      <c r="BK21" s="595"/>
      <c r="BL21" s="595"/>
      <c r="BM21" s="595"/>
      <c r="BN21" s="595"/>
      <c r="BO21" s="595"/>
      <c r="BP21" s="595"/>
      <c r="BQ21" s="595"/>
      <c r="BR21" s="595"/>
      <c r="BS21" s="595"/>
      <c r="BT21" s="595"/>
    </row>
    <row r="22" spans="1:72" s="631" customFormat="1" ht="15.75" customHeight="1" x14ac:dyDescent="0.2">
      <c r="A22" s="608"/>
      <c r="B22" s="609"/>
      <c r="C22" s="610"/>
      <c r="D22" s="610"/>
      <c r="E22" s="610" t="s">
        <v>559</v>
      </c>
      <c r="F22" s="620" t="s">
        <v>325</v>
      </c>
      <c r="G22" s="621">
        <f>12439+17903+15395+14738+21702+18455+36830+19037+29155+27702</f>
        <v>213356</v>
      </c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5"/>
      <c r="AB22" s="595"/>
      <c r="AC22" s="595"/>
      <c r="AD22" s="595"/>
      <c r="AE22" s="595"/>
      <c r="AF22" s="595"/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595"/>
      <c r="AW22" s="595"/>
      <c r="AX22" s="595"/>
      <c r="AY22" s="595"/>
      <c r="AZ22" s="595"/>
      <c r="BA22" s="595"/>
      <c r="BB22" s="595"/>
      <c r="BC22" s="595"/>
      <c r="BD22" s="595"/>
      <c r="BE22" s="595"/>
      <c r="BF22" s="595"/>
      <c r="BG22" s="595"/>
      <c r="BH22" s="595"/>
      <c r="BI22" s="595"/>
      <c r="BJ22" s="595"/>
      <c r="BK22" s="595"/>
      <c r="BL22" s="595"/>
      <c r="BM22" s="595"/>
      <c r="BN22" s="595"/>
      <c r="BO22" s="595"/>
      <c r="BP22" s="595"/>
      <c r="BQ22" s="595"/>
      <c r="BR22" s="595"/>
      <c r="BS22" s="595"/>
      <c r="BT22" s="595"/>
    </row>
    <row r="23" spans="1:72" s="631" customFormat="1" ht="15.75" customHeight="1" x14ac:dyDescent="0.2">
      <c r="A23" s="608"/>
      <c r="B23" s="609"/>
      <c r="C23" s="610"/>
      <c r="D23" s="610"/>
      <c r="E23" s="610" t="s">
        <v>563</v>
      </c>
      <c r="F23" s="620" t="s">
        <v>325</v>
      </c>
      <c r="G23" s="621">
        <f>306+141+380+296+348+606+682+227+644+516</f>
        <v>4146</v>
      </c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95"/>
      <c r="AB23" s="595"/>
      <c r="AC23" s="595"/>
      <c r="AD23" s="595"/>
      <c r="AE23" s="595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595"/>
      <c r="AW23" s="595"/>
      <c r="AX23" s="595"/>
      <c r="AY23" s="595"/>
      <c r="AZ23" s="595"/>
      <c r="BA23" s="595"/>
      <c r="BB23" s="595"/>
      <c r="BC23" s="595"/>
      <c r="BD23" s="595"/>
      <c r="BE23" s="595"/>
      <c r="BF23" s="595"/>
      <c r="BG23" s="595"/>
      <c r="BH23" s="595"/>
      <c r="BI23" s="595"/>
      <c r="BJ23" s="595"/>
      <c r="BK23" s="595"/>
      <c r="BL23" s="595"/>
      <c r="BM23" s="595"/>
      <c r="BN23" s="595"/>
      <c r="BO23" s="595"/>
      <c r="BP23" s="595"/>
      <c r="BQ23" s="595"/>
      <c r="BR23" s="595"/>
      <c r="BS23" s="595"/>
      <c r="BT23" s="595"/>
    </row>
    <row r="24" spans="1:72" s="631" customFormat="1" ht="15.75" customHeight="1" x14ac:dyDescent="0.2">
      <c r="A24" s="608"/>
      <c r="B24" s="609"/>
      <c r="C24" s="627"/>
      <c r="D24" s="610"/>
      <c r="E24" s="610" t="s">
        <v>564</v>
      </c>
      <c r="F24" s="620" t="s">
        <v>325</v>
      </c>
      <c r="G24" s="621">
        <f>61+28+76+59+70+120+136+45+129+103</f>
        <v>827</v>
      </c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595"/>
      <c r="AW24" s="595"/>
      <c r="AX24" s="595"/>
      <c r="AY24" s="595"/>
      <c r="AZ24" s="595"/>
      <c r="BA24" s="595"/>
      <c r="BB24" s="595"/>
      <c r="BC24" s="595"/>
      <c r="BD24" s="595"/>
      <c r="BE24" s="595"/>
      <c r="BF24" s="595"/>
      <c r="BG24" s="595"/>
      <c r="BH24" s="595"/>
      <c r="BI24" s="595"/>
      <c r="BJ24" s="595"/>
      <c r="BK24" s="595"/>
      <c r="BL24" s="595"/>
      <c r="BM24" s="595"/>
      <c r="BN24" s="595"/>
      <c r="BO24" s="595"/>
      <c r="BP24" s="595"/>
      <c r="BQ24" s="595"/>
      <c r="BR24" s="595"/>
      <c r="BS24" s="595"/>
      <c r="BT24" s="595"/>
    </row>
    <row r="25" spans="1:72" s="631" customFormat="1" ht="15.75" customHeight="1" x14ac:dyDescent="0.2">
      <c r="A25" s="622"/>
      <c r="B25" s="623"/>
      <c r="C25" s="624"/>
      <c r="D25" s="611"/>
      <c r="E25" s="611"/>
      <c r="F25" s="613"/>
      <c r="G25" s="62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595"/>
      <c r="AW25" s="595"/>
      <c r="AX25" s="595"/>
      <c r="AY25" s="595"/>
      <c r="AZ25" s="595"/>
      <c r="BA25" s="595"/>
      <c r="BB25" s="595"/>
      <c r="BC25" s="595"/>
      <c r="BD25" s="595"/>
      <c r="BE25" s="595"/>
      <c r="BF25" s="595"/>
      <c r="BG25" s="595"/>
      <c r="BH25" s="595"/>
      <c r="BI25" s="595"/>
      <c r="BJ25" s="595"/>
      <c r="BK25" s="595"/>
      <c r="BL25" s="595"/>
      <c r="BM25" s="595"/>
      <c r="BN25" s="595"/>
      <c r="BO25" s="595"/>
      <c r="BP25" s="595"/>
      <c r="BQ25" s="595"/>
      <c r="BR25" s="595"/>
      <c r="BS25" s="595"/>
      <c r="BT25" s="595"/>
    </row>
    <row r="26" spans="1:72" s="631" customFormat="1" ht="15.75" customHeight="1" x14ac:dyDescent="0.2">
      <c r="A26" s="608"/>
      <c r="B26" s="609"/>
      <c r="C26" s="610"/>
      <c r="D26" s="610"/>
      <c r="E26" s="611" t="s">
        <v>86</v>
      </c>
      <c r="F26" s="612">
        <f>7956+3060+2142+1530+4896+612+2754+3978+3366+4284</f>
        <v>34578</v>
      </c>
      <c r="G26" s="613" t="s">
        <v>325</v>
      </c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595"/>
      <c r="AW26" s="595"/>
      <c r="AX26" s="595"/>
      <c r="AY26" s="595"/>
      <c r="AZ26" s="595"/>
      <c r="BA26" s="595"/>
      <c r="BB26" s="595"/>
      <c r="BC26" s="595"/>
      <c r="BD26" s="595"/>
      <c r="BE26" s="595"/>
      <c r="BF26" s="595"/>
      <c r="BG26" s="595"/>
      <c r="BH26" s="595"/>
      <c r="BI26" s="595"/>
      <c r="BJ26" s="595"/>
      <c r="BK26" s="595"/>
      <c r="BL26" s="595"/>
      <c r="BM26" s="595"/>
      <c r="BN26" s="595"/>
      <c r="BO26" s="595"/>
      <c r="BP26" s="595"/>
      <c r="BQ26" s="595"/>
      <c r="BR26" s="595"/>
      <c r="BS26" s="595"/>
      <c r="BT26" s="595"/>
    </row>
    <row r="27" spans="1:72" s="631" customFormat="1" ht="24" x14ac:dyDescent="0.2">
      <c r="A27" s="614" t="s">
        <v>534</v>
      </c>
      <c r="B27" s="615" t="s">
        <v>565</v>
      </c>
      <c r="C27" s="610" t="s">
        <v>566</v>
      </c>
      <c r="D27" s="610" t="s">
        <v>567</v>
      </c>
      <c r="E27" s="616" t="s">
        <v>325</v>
      </c>
      <c r="F27" s="617" t="s">
        <v>325</v>
      </c>
      <c r="G27" s="618">
        <f>SUM(G29)</f>
        <v>34578</v>
      </c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595"/>
      <c r="AW27" s="595"/>
      <c r="AX27" s="595"/>
      <c r="AY27" s="595"/>
      <c r="AZ27" s="595"/>
      <c r="BA27" s="595"/>
      <c r="BB27" s="595"/>
      <c r="BC27" s="595"/>
      <c r="BD27" s="595"/>
      <c r="BE27" s="595"/>
      <c r="BF27" s="595"/>
      <c r="BG27" s="595"/>
      <c r="BH27" s="595"/>
      <c r="BI27" s="595"/>
      <c r="BJ27" s="595"/>
      <c r="BK27" s="595"/>
      <c r="BL27" s="595"/>
      <c r="BM27" s="595"/>
      <c r="BN27" s="595"/>
      <c r="BO27" s="595"/>
      <c r="BP27" s="595"/>
      <c r="BQ27" s="595"/>
      <c r="BR27" s="595"/>
      <c r="BS27" s="595"/>
      <c r="BT27" s="595"/>
    </row>
    <row r="28" spans="1:72" s="631" customFormat="1" ht="10.5" customHeight="1" x14ac:dyDescent="0.2">
      <c r="A28" s="608"/>
      <c r="B28" s="619"/>
      <c r="C28" s="610"/>
      <c r="D28" s="610"/>
      <c r="E28" s="610"/>
      <c r="F28" s="620"/>
      <c r="G28" s="632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595"/>
      <c r="AW28" s="595"/>
      <c r="AX28" s="595"/>
      <c r="AY28" s="595"/>
      <c r="AZ28" s="595"/>
      <c r="BA28" s="595"/>
      <c r="BB28" s="595"/>
      <c r="BC28" s="595"/>
      <c r="BD28" s="595"/>
      <c r="BE28" s="595"/>
      <c r="BF28" s="595"/>
      <c r="BG28" s="595"/>
      <c r="BH28" s="595"/>
      <c r="BI28" s="595"/>
      <c r="BJ28" s="595"/>
      <c r="BK28" s="595"/>
      <c r="BL28" s="595"/>
      <c r="BM28" s="595"/>
      <c r="BN28" s="595"/>
      <c r="BO28" s="595"/>
      <c r="BP28" s="595"/>
      <c r="BQ28" s="595"/>
      <c r="BR28" s="595"/>
      <c r="BS28" s="595"/>
      <c r="BT28" s="595"/>
    </row>
    <row r="29" spans="1:72" s="631" customFormat="1" ht="15.75" customHeight="1" x14ac:dyDescent="0.2">
      <c r="A29" s="608"/>
      <c r="B29" s="633" t="s">
        <v>64</v>
      </c>
      <c r="C29" s="610"/>
      <c r="D29" s="610"/>
      <c r="E29" s="610"/>
      <c r="F29" s="620"/>
      <c r="G29" s="632">
        <f>SUM(G30:G32)</f>
        <v>34578</v>
      </c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595"/>
      <c r="AW29" s="595"/>
      <c r="AX29" s="595"/>
      <c r="AY29" s="595"/>
      <c r="AZ29" s="595"/>
      <c r="BA29" s="595"/>
      <c r="BB29" s="595"/>
      <c r="BC29" s="595"/>
      <c r="BD29" s="595"/>
      <c r="BE29" s="595"/>
      <c r="BF29" s="595"/>
      <c r="BG29" s="595"/>
      <c r="BH29" s="595"/>
      <c r="BI29" s="595"/>
      <c r="BJ29" s="595"/>
      <c r="BK29" s="595"/>
      <c r="BL29" s="595"/>
      <c r="BM29" s="595"/>
      <c r="BN29" s="595"/>
      <c r="BO29" s="595"/>
      <c r="BP29" s="595"/>
      <c r="BQ29" s="595"/>
      <c r="BR29" s="595"/>
      <c r="BS29" s="595"/>
      <c r="BT29" s="595"/>
    </row>
    <row r="30" spans="1:72" s="631" customFormat="1" ht="15.75" customHeight="1" x14ac:dyDescent="0.2">
      <c r="A30" s="608"/>
      <c r="B30" s="609"/>
      <c r="C30" s="610"/>
      <c r="D30" s="610"/>
      <c r="E30" s="610" t="s">
        <v>559</v>
      </c>
      <c r="F30" s="620" t="s">
        <v>325</v>
      </c>
      <c r="G30" s="621">
        <f>7800+3000+2100+1500+4800+600+2700+3900+3300+4200</f>
        <v>33900</v>
      </c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95"/>
      <c r="AS30" s="595"/>
      <c r="AT30" s="595"/>
      <c r="AU30" s="595"/>
      <c r="AV30" s="595"/>
      <c r="AW30" s="595"/>
      <c r="AX30" s="595"/>
      <c r="AY30" s="595"/>
      <c r="AZ30" s="595"/>
      <c r="BA30" s="595"/>
      <c r="BB30" s="595"/>
      <c r="BC30" s="595"/>
      <c r="BD30" s="595"/>
      <c r="BE30" s="595"/>
      <c r="BF30" s="595"/>
      <c r="BG30" s="595"/>
      <c r="BH30" s="595"/>
      <c r="BI30" s="595"/>
      <c r="BJ30" s="595"/>
      <c r="BK30" s="595"/>
      <c r="BL30" s="595"/>
      <c r="BM30" s="595"/>
      <c r="BN30" s="595"/>
      <c r="BO30" s="595"/>
      <c r="BP30" s="595"/>
      <c r="BQ30" s="595"/>
      <c r="BR30" s="595"/>
      <c r="BS30" s="595"/>
      <c r="BT30" s="595"/>
    </row>
    <row r="31" spans="1:72" s="631" customFormat="1" ht="15.75" customHeight="1" x14ac:dyDescent="0.2">
      <c r="A31" s="608"/>
      <c r="B31" s="609"/>
      <c r="C31" s="610"/>
      <c r="D31" s="610"/>
      <c r="E31" s="610" t="s">
        <v>563</v>
      </c>
      <c r="F31" s="620" t="s">
        <v>325</v>
      </c>
      <c r="G31" s="621">
        <f>130+50+35+25+80+10+45+65+55+70</f>
        <v>565</v>
      </c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95"/>
      <c r="AB31" s="595"/>
      <c r="AC31" s="595"/>
      <c r="AD31" s="595"/>
      <c r="AE31" s="595"/>
      <c r="AF31" s="595"/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595"/>
      <c r="AW31" s="595"/>
      <c r="AX31" s="595"/>
      <c r="AY31" s="595"/>
      <c r="AZ31" s="595"/>
      <c r="BA31" s="595"/>
      <c r="BB31" s="595"/>
      <c r="BC31" s="595"/>
      <c r="BD31" s="595"/>
      <c r="BE31" s="595"/>
      <c r="BF31" s="595"/>
      <c r="BG31" s="595"/>
      <c r="BH31" s="595"/>
      <c r="BI31" s="595"/>
      <c r="BJ31" s="595"/>
      <c r="BK31" s="595"/>
      <c r="BL31" s="595"/>
      <c r="BM31" s="595"/>
      <c r="BN31" s="595"/>
      <c r="BO31" s="595"/>
      <c r="BP31" s="595"/>
      <c r="BQ31" s="595"/>
      <c r="BR31" s="595"/>
      <c r="BS31" s="595"/>
      <c r="BT31" s="595"/>
    </row>
    <row r="32" spans="1:72" s="631" customFormat="1" ht="15.75" customHeight="1" x14ac:dyDescent="0.2">
      <c r="A32" s="608"/>
      <c r="B32" s="609"/>
      <c r="C32" s="610"/>
      <c r="D32" s="610"/>
      <c r="E32" s="610" t="s">
        <v>564</v>
      </c>
      <c r="F32" s="620" t="s">
        <v>325</v>
      </c>
      <c r="G32" s="621">
        <f>26+10+7+5+16+2+9+13+11+14</f>
        <v>113</v>
      </c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95"/>
      <c r="AB32" s="595"/>
      <c r="AC32" s="595"/>
      <c r="AD32" s="595"/>
      <c r="AE32" s="595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595"/>
      <c r="AW32" s="595"/>
      <c r="AX32" s="595"/>
      <c r="AY32" s="595"/>
      <c r="AZ32" s="595"/>
      <c r="BA32" s="595"/>
      <c r="BB32" s="595"/>
      <c r="BC32" s="595"/>
      <c r="BD32" s="595"/>
      <c r="BE32" s="595"/>
      <c r="BF32" s="595"/>
      <c r="BG32" s="595"/>
      <c r="BH32" s="595"/>
      <c r="BI32" s="595"/>
      <c r="BJ32" s="595"/>
      <c r="BK32" s="595"/>
      <c r="BL32" s="595"/>
      <c r="BM32" s="595"/>
      <c r="BN32" s="595"/>
      <c r="BO32" s="595"/>
      <c r="BP32" s="595"/>
      <c r="BQ32" s="595"/>
      <c r="BR32" s="595"/>
      <c r="BS32" s="595"/>
      <c r="BT32" s="595"/>
    </row>
    <row r="33" spans="1:72" s="631" customFormat="1" ht="15.75" customHeight="1" x14ac:dyDescent="0.2">
      <c r="A33" s="622"/>
      <c r="B33" s="623"/>
      <c r="C33" s="624"/>
      <c r="D33" s="611"/>
      <c r="E33" s="611"/>
      <c r="F33" s="613"/>
      <c r="G33" s="62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95"/>
      <c r="AB33" s="595"/>
      <c r="AC33" s="595"/>
      <c r="AD33" s="595"/>
      <c r="AE33" s="595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595"/>
      <c r="AW33" s="595"/>
      <c r="AX33" s="595"/>
      <c r="AY33" s="595"/>
      <c r="AZ33" s="595"/>
      <c r="BA33" s="595"/>
      <c r="BB33" s="595"/>
      <c r="BC33" s="595"/>
      <c r="BD33" s="595"/>
      <c r="BE33" s="595"/>
      <c r="BF33" s="595"/>
      <c r="BG33" s="595"/>
      <c r="BH33" s="595"/>
      <c r="BI33" s="595"/>
      <c r="BJ33" s="595"/>
      <c r="BK33" s="595"/>
      <c r="BL33" s="595"/>
      <c r="BM33" s="595"/>
      <c r="BN33" s="595"/>
      <c r="BO33" s="595"/>
      <c r="BP33" s="595"/>
      <c r="BQ33" s="595"/>
      <c r="BR33" s="595"/>
      <c r="BS33" s="595"/>
      <c r="BT33" s="595"/>
    </row>
    <row r="34" spans="1:72" s="631" customFormat="1" ht="15.75" customHeight="1" x14ac:dyDescent="0.2">
      <c r="A34" s="608"/>
      <c r="B34" s="609"/>
      <c r="C34" s="610"/>
      <c r="D34" s="610"/>
      <c r="E34" s="611" t="s">
        <v>86</v>
      </c>
      <c r="F34" s="612">
        <f>416+47920+42840+40544+37760+448+38960+256+20720+256+30320+256+9240+96+29360+208+112+13640</f>
        <v>313352</v>
      </c>
      <c r="G34" s="613" t="s">
        <v>325</v>
      </c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95"/>
      <c r="AB34" s="595"/>
      <c r="AC34" s="595"/>
      <c r="AD34" s="595"/>
      <c r="AE34" s="595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595"/>
      <c r="AW34" s="595"/>
      <c r="AX34" s="595"/>
      <c r="AY34" s="595"/>
      <c r="AZ34" s="595"/>
      <c r="BA34" s="595"/>
      <c r="BB34" s="595"/>
      <c r="BC34" s="595"/>
      <c r="BD34" s="595"/>
      <c r="BE34" s="595"/>
      <c r="BF34" s="595"/>
      <c r="BG34" s="595"/>
      <c r="BH34" s="595"/>
      <c r="BI34" s="595"/>
      <c r="BJ34" s="595"/>
      <c r="BK34" s="595"/>
      <c r="BL34" s="595"/>
      <c r="BM34" s="595"/>
      <c r="BN34" s="595"/>
      <c r="BO34" s="595"/>
      <c r="BP34" s="595"/>
      <c r="BQ34" s="595"/>
      <c r="BR34" s="595"/>
      <c r="BS34" s="595"/>
      <c r="BT34" s="595"/>
    </row>
    <row r="35" spans="1:72" s="631" customFormat="1" ht="25.5" customHeight="1" x14ac:dyDescent="0.2">
      <c r="A35" s="614" t="s">
        <v>535</v>
      </c>
      <c r="B35" s="615" t="s">
        <v>568</v>
      </c>
      <c r="C35" s="610" t="s">
        <v>569</v>
      </c>
      <c r="D35" s="610" t="s">
        <v>570</v>
      </c>
      <c r="E35" s="616" t="s">
        <v>325</v>
      </c>
      <c r="F35" s="617" t="s">
        <v>325</v>
      </c>
      <c r="G35" s="618">
        <f>SUM(G37)</f>
        <v>313352</v>
      </c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5"/>
      <c r="U35" s="595"/>
      <c r="V35" s="595"/>
      <c r="W35" s="595"/>
      <c r="X35" s="595"/>
      <c r="Y35" s="595"/>
      <c r="Z35" s="595"/>
      <c r="AA35" s="595"/>
      <c r="AB35" s="595"/>
      <c r="AC35" s="595"/>
      <c r="AD35" s="595"/>
      <c r="AE35" s="595"/>
      <c r="AF35" s="595"/>
      <c r="AG35" s="595"/>
      <c r="AH35" s="595"/>
      <c r="AI35" s="595"/>
      <c r="AJ35" s="595"/>
      <c r="AK35" s="595"/>
      <c r="AL35" s="595"/>
      <c r="AM35" s="595"/>
      <c r="AN35" s="595"/>
      <c r="AO35" s="595"/>
      <c r="AP35" s="595"/>
      <c r="AQ35" s="595"/>
      <c r="AR35" s="595"/>
      <c r="AS35" s="595"/>
      <c r="AT35" s="595"/>
      <c r="AU35" s="595"/>
      <c r="AV35" s="595"/>
      <c r="AW35" s="595"/>
      <c r="AX35" s="595"/>
      <c r="AY35" s="595"/>
      <c r="AZ35" s="595"/>
      <c r="BA35" s="595"/>
      <c r="BB35" s="595"/>
      <c r="BC35" s="595"/>
      <c r="BD35" s="595"/>
      <c r="BE35" s="595"/>
      <c r="BF35" s="595"/>
      <c r="BG35" s="595"/>
      <c r="BH35" s="595"/>
      <c r="BI35" s="595"/>
      <c r="BJ35" s="595"/>
      <c r="BK35" s="595"/>
      <c r="BL35" s="595"/>
      <c r="BM35" s="595"/>
      <c r="BN35" s="595"/>
      <c r="BO35" s="595"/>
      <c r="BP35" s="595"/>
      <c r="BQ35" s="595"/>
      <c r="BR35" s="595"/>
      <c r="BS35" s="595"/>
      <c r="BT35" s="595"/>
    </row>
    <row r="36" spans="1:72" s="631" customFormat="1" ht="10.5" customHeight="1" x14ac:dyDescent="0.2">
      <c r="A36" s="608"/>
      <c r="B36" s="619"/>
      <c r="C36" s="610"/>
      <c r="D36" s="610"/>
      <c r="E36" s="610"/>
      <c r="F36" s="620"/>
      <c r="G36" s="632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5"/>
      <c r="T36" s="595"/>
      <c r="U36" s="595"/>
      <c r="V36" s="595"/>
      <c r="W36" s="595"/>
      <c r="X36" s="595"/>
      <c r="Y36" s="595"/>
      <c r="Z36" s="595"/>
      <c r="AA36" s="595"/>
      <c r="AB36" s="595"/>
      <c r="AC36" s="595"/>
      <c r="AD36" s="595"/>
      <c r="AE36" s="595"/>
      <c r="AF36" s="595"/>
      <c r="AG36" s="595"/>
      <c r="AH36" s="595"/>
      <c r="AI36" s="595"/>
      <c r="AJ36" s="595"/>
      <c r="AK36" s="595"/>
      <c r="AL36" s="595"/>
      <c r="AM36" s="595"/>
      <c r="AN36" s="595"/>
      <c r="AO36" s="595"/>
      <c r="AP36" s="595"/>
      <c r="AQ36" s="595"/>
      <c r="AR36" s="595"/>
      <c r="AS36" s="595"/>
      <c r="AT36" s="595"/>
      <c r="AU36" s="595"/>
      <c r="AV36" s="595"/>
      <c r="AW36" s="595"/>
      <c r="AX36" s="595"/>
      <c r="AY36" s="595"/>
      <c r="AZ36" s="595"/>
      <c r="BA36" s="595"/>
      <c r="BB36" s="595"/>
      <c r="BC36" s="595"/>
      <c r="BD36" s="595"/>
      <c r="BE36" s="595"/>
      <c r="BF36" s="595"/>
      <c r="BG36" s="595"/>
      <c r="BH36" s="595"/>
      <c r="BI36" s="595"/>
      <c r="BJ36" s="595"/>
      <c r="BK36" s="595"/>
      <c r="BL36" s="595"/>
      <c r="BM36" s="595"/>
      <c r="BN36" s="595"/>
      <c r="BO36" s="595"/>
      <c r="BP36" s="595"/>
      <c r="BQ36" s="595"/>
      <c r="BR36" s="595"/>
      <c r="BS36" s="595"/>
      <c r="BT36" s="595"/>
    </row>
    <row r="37" spans="1:72" s="631" customFormat="1" ht="15.75" customHeight="1" x14ac:dyDescent="0.2">
      <c r="A37" s="608"/>
      <c r="B37" s="633" t="s">
        <v>64</v>
      </c>
      <c r="C37" s="610"/>
      <c r="D37" s="610"/>
      <c r="E37" s="610"/>
      <c r="F37" s="620"/>
      <c r="G37" s="632">
        <f>SUM(G38:G40)</f>
        <v>313352</v>
      </c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  <c r="AF37" s="595"/>
      <c r="AG37" s="595"/>
      <c r="AH37" s="595"/>
      <c r="AI37" s="595"/>
      <c r="AJ37" s="595"/>
      <c r="AK37" s="595"/>
      <c r="AL37" s="595"/>
      <c r="AM37" s="595"/>
      <c r="AN37" s="595"/>
      <c r="AO37" s="595"/>
      <c r="AP37" s="595"/>
      <c r="AQ37" s="595"/>
      <c r="AR37" s="595"/>
      <c r="AS37" s="595"/>
      <c r="AT37" s="595"/>
      <c r="AU37" s="595"/>
      <c r="AV37" s="595"/>
      <c r="AW37" s="595"/>
      <c r="AX37" s="595"/>
      <c r="AY37" s="595"/>
      <c r="AZ37" s="595"/>
      <c r="BA37" s="595"/>
      <c r="BB37" s="595"/>
      <c r="BC37" s="595"/>
      <c r="BD37" s="595"/>
      <c r="BE37" s="595"/>
      <c r="BF37" s="595"/>
      <c r="BG37" s="595"/>
      <c r="BH37" s="595"/>
      <c r="BI37" s="595"/>
      <c r="BJ37" s="595"/>
      <c r="BK37" s="595"/>
      <c r="BL37" s="595"/>
      <c r="BM37" s="595"/>
      <c r="BN37" s="595"/>
      <c r="BO37" s="595"/>
      <c r="BP37" s="595"/>
      <c r="BQ37" s="595"/>
      <c r="BR37" s="595"/>
      <c r="BS37" s="595"/>
      <c r="BT37" s="595"/>
    </row>
    <row r="38" spans="1:72" s="631" customFormat="1" ht="15.75" customHeight="1" x14ac:dyDescent="0.2">
      <c r="A38" s="608"/>
      <c r="B38" s="609"/>
      <c r="C38" s="610"/>
      <c r="D38" s="610"/>
      <c r="E38" s="610" t="s">
        <v>571</v>
      </c>
      <c r="F38" s="620" t="s">
        <v>325</v>
      </c>
      <c r="G38" s="621">
        <f>47920+42840+40000+37760+38960+51040+9240+29360+13640</f>
        <v>310760</v>
      </c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5"/>
      <c r="AM38" s="595"/>
      <c r="AN38" s="595"/>
      <c r="AO38" s="595"/>
      <c r="AP38" s="595"/>
      <c r="AQ38" s="595"/>
      <c r="AR38" s="595"/>
      <c r="AS38" s="595"/>
      <c r="AT38" s="595"/>
      <c r="AU38" s="595"/>
      <c r="AV38" s="595"/>
      <c r="AW38" s="595"/>
      <c r="AX38" s="595"/>
      <c r="AY38" s="595"/>
      <c r="AZ38" s="595"/>
      <c r="BA38" s="595"/>
      <c r="BB38" s="595"/>
      <c r="BC38" s="595"/>
      <c r="BD38" s="595"/>
      <c r="BE38" s="595"/>
      <c r="BF38" s="595"/>
      <c r="BG38" s="595"/>
      <c r="BH38" s="595"/>
      <c r="BI38" s="595"/>
      <c r="BJ38" s="595"/>
      <c r="BK38" s="595"/>
      <c r="BL38" s="595"/>
      <c r="BM38" s="595"/>
      <c r="BN38" s="595"/>
      <c r="BO38" s="595"/>
      <c r="BP38" s="595"/>
      <c r="BQ38" s="595"/>
      <c r="BR38" s="595"/>
      <c r="BS38" s="595"/>
      <c r="BT38" s="595"/>
    </row>
    <row r="39" spans="1:72" s="631" customFormat="1" ht="15.75" customHeight="1" x14ac:dyDescent="0.2">
      <c r="A39" s="608"/>
      <c r="B39" s="609"/>
      <c r="C39" s="627"/>
      <c r="D39" s="610"/>
      <c r="E39" s="610" t="s">
        <v>563</v>
      </c>
      <c r="F39" s="620" t="s">
        <v>325</v>
      </c>
      <c r="G39" s="621">
        <f>347+453+374+213+213+213+173+80+93</f>
        <v>2159</v>
      </c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595"/>
      <c r="AB39" s="595"/>
      <c r="AC39" s="595"/>
      <c r="AD39" s="595"/>
      <c r="AE39" s="595"/>
      <c r="AF39" s="595"/>
      <c r="AG39" s="595"/>
      <c r="AH39" s="595"/>
      <c r="AI39" s="595"/>
      <c r="AJ39" s="595"/>
      <c r="AK39" s="595"/>
      <c r="AL39" s="595"/>
      <c r="AM39" s="595"/>
      <c r="AN39" s="595"/>
      <c r="AO39" s="595"/>
      <c r="AP39" s="595"/>
      <c r="AQ39" s="595"/>
      <c r="AR39" s="595"/>
      <c r="AS39" s="595"/>
      <c r="AT39" s="595"/>
      <c r="AU39" s="595"/>
      <c r="AV39" s="595"/>
      <c r="AW39" s="595"/>
      <c r="AX39" s="595"/>
      <c r="AY39" s="595"/>
      <c r="AZ39" s="595"/>
      <c r="BA39" s="595"/>
      <c r="BB39" s="595"/>
      <c r="BC39" s="595"/>
      <c r="BD39" s="595"/>
      <c r="BE39" s="595"/>
      <c r="BF39" s="595"/>
      <c r="BG39" s="595"/>
      <c r="BH39" s="595"/>
      <c r="BI39" s="595"/>
      <c r="BJ39" s="595"/>
      <c r="BK39" s="595"/>
      <c r="BL39" s="595"/>
      <c r="BM39" s="595"/>
      <c r="BN39" s="595"/>
      <c r="BO39" s="595"/>
      <c r="BP39" s="595"/>
      <c r="BQ39" s="595"/>
      <c r="BR39" s="595"/>
      <c r="BS39" s="595"/>
      <c r="BT39" s="595"/>
    </row>
    <row r="40" spans="1:72" s="631" customFormat="1" ht="15.75" customHeight="1" x14ac:dyDescent="0.2">
      <c r="A40" s="608"/>
      <c r="B40" s="609"/>
      <c r="C40" s="627"/>
      <c r="D40" s="610"/>
      <c r="E40" s="610" t="s">
        <v>564</v>
      </c>
      <c r="F40" s="620" t="s">
        <v>325</v>
      </c>
      <c r="G40" s="621">
        <f>69+91+74+43+43+43+35+16+19</f>
        <v>433</v>
      </c>
      <c r="H40" s="595"/>
      <c r="I40" s="595"/>
      <c r="J40" s="595"/>
      <c r="K40" s="595"/>
      <c r="L40" s="595"/>
      <c r="M40" s="595"/>
      <c r="N40" s="595"/>
      <c r="O40" s="595"/>
      <c r="P40" s="595"/>
      <c r="Q40" s="595"/>
      <c r="R40" s="595"/>
      <c r="S40" s="595"/>
      <c r="T40" s="595"/>
      <c r="U40" s="595"/>
      <c r="V40" s="595"/>
      <c r="W40" s="595"/>
      <c r="X40" s="595"/>
      <c r="Y40" s="595"/>
      <c r="Z40" s="595"/>
      <c r="AA40" s="595"/>
      <c r="AB40" s="595"/>
      <c r="AC40" s="595"/>
      <c r="AD40" s="595"/>
      <c r="AE40" s="595"/>
      <c r="AF40" s="595"/>
      <c r="AG40" s="595"/>
      <c r="AH40" s="595"/>
      <c r="AI40" s="595"/>
      <c r="AJ40" s="595"/>
      <c r="AK40" s="595"/>
      <c r="AL40" s="595"/>
      <c r="AM40" s="595"/>
      <c r="AN40" s="595"/>
      <c r="AO40" s="595"/>
      <c r="AP40" s="595"/>
      <c r="AQ40" s="595"/>
      <c r="AR40" s="595"/>
      <c r="AS40" s="595"/>
      <c r="AT40" s="595"/>
      <c r="AU40" s="595"/>
      <c r="AV40" s="595"/>
      <c r="AW40" s="595"/>
      <c r="AX40" s="595"/>
      <c r="AY40" s="595"/>
      <c r="AZ40" s="595"/>
      <c r="BA40" s="595"/>
      <c r="BB40" s="595"/>
      <c r="BC40" s="595"/>
      <c r="BD40" s="595"/>
      <c r="BE40" s="595"/>
      <c r="BF40" s="595"/>
      <c r="BG40" s="595"/>
      <c r="BH40" s="595"/>
      <c r="BI40" s="595"/>
      <c r="BJ40" s="595"/>
      <c r="BK40" s="595"/>
      <c r="BL40" s="595"/>
      <c r="BM40" s="595"/>
      <c r="BN40" s="595"/>
      <c r="BO40" s="595"/>
      <c r="BP40" s="595"/>
      <c r="BQ40" s="595"/>
      <c r="BR40" s="595"/>
      <c r="BS40" s="595"/>
      <c r="BT40" s="595"/>
    </row>
    <row r="41" spans="1:72" s="631" customFormat="1" ht="15.75" customHeight="1" x14ac:dyDescent="0.2">
      <c r="A41" s="622"/>
      <c r="B41" s="623"/>
      <c r="C41" s="624"/>
      <c r="D41" s="611"/>
      <c r="E41" s="611"/>
      <c r="F41" s="613"/>
      <c r="G41" s="625"/>
      <c r="H41" s="595"/>
      <c r="I41" s="595"/>
      <c r="J41" s="595"/>
      <c r="K41" s="595"/>
      <c r="L41" s="595"/>
      <c r="M41" s="595"/>
      <c r="N41" s="595"/>
      <c r="O41" s="595"/>
      <c r="P41" s="595"/>
      <c r="Q41" s="595"/>
      <c r="R41" s="595"/>
      <c r="S41" s="595"/>
      <c r="T41" s="595"/>
      <c r="U41" s="595"/>
      <c r="V41" s="595"/>
      <c r="W41" s="595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/>
      <c r="AJ41" s="595"/>
      <c r="AK41" s="595"/>
      <c r="AL41" s="595"/>
      <c r="AM41" s="595"/>
      <c r="AN41" s="595"/>
      <c r="AO41" s="595"/>
      <c r="AP41" s="595"/>
      <c r="AQ41" s="595"/>
      <c r="AR41" s="595"/>
      <c r="AS41" s="595"/>
      <c r="AT41" s="595"/>
      <c r="AU41" s="595"/>
      <c r="AV41" s="595"/>
      <c r="AW41" s="595"/>
      <c r="AX41" s="595"/>
      <c r="AY41" s="595"/>
      <c r="AZ41" s="595"/>
      <c r="BA41" s="595"/>
      <c r="BB41" s="595"/>
      <c r="BC41" s="595"/>
      <c r="BD41" s="595"/>
      <c r="BE41" s="595"/>
      <c r="BF41" s="595"/>
      <c r="BG41" s="595"/>
      <c r="BH41" s="595"/>
      <c r="BI41" s="595"/>
      <c r="BJ41" s="595"/>
      <c r="BK41" s="595"/>
      <c r="BL41" s="595"/>
      <c r="BM41" s="595"/>
      <c r="BN41" s="595"/>
      <c r="BO41" s="595"/>
      <c r="BP41" s="595"/>
      <c r="BQ41" s="595"/>
      <c r="BR41" s="595"/>
      <c r="BS41" s="595"/>
      <c r="BT41" s="595"/>
    </row>
    <row r="42" spans="1:72" s="631" customFormat="1" ht="15.75" customHeight="1" x14ac:dyDescent="0.2">
      <c r="A42" s="608"/>
      <c r="B42" s="609"/>
      <c r="C42" s="610"/>
      <c r="D42" s="610"/>
      <c r="E42" s="611" t="s">
        <v>86</v>
      </c>
      <c r="F42" s="612">
        <f>237460+241690+210970+202330+184210+181840+167080+138000+124080+127320</f>
        <v>1814980</v>
      </c>
      <c r="G42" s="613" t="s">
        <v>325</v>
      </c>
      <c r="H42" s="595"/>
      <c r="I42" s="595"/>
      <c r="J42" s="595"/>
      <c r="K42" s="595"/>
      <c r="L42" s="595"/>
      <c r="M42" s="595"/>
      <c r="N42" s="595"/>
      <c r="O42" s="595"/>
      <c r="P42" s="595"/>
      <c r="Q42" s="595"/>
      <c r="R42" s="595"/>
      <c r="S42" s="595"/>
      <c r="T42" s="595"/>
      <c r="U42" s="595"/>
      <c r="V42" s="595"/>
      <c r="W42" s="595"/>
      <c r="X42" s="595"/>
      <c r="Y42" s="595"/>
      <c r="Z42" s="595"/>
      <c r="AA42" s="595"/>
      <c r="AB42" s="595"/>
      <c r="AC42" s="595"/>
      <c r="AD42" s="595"/>
      <c r="AE42" s="595"/>
      <c r="AF42" s="595"/>
      <c r="AG42" s="595"/>
      <c r="AH42" s="595"/>
      <c r="AI42" s="595"/>
      <c r="AJ42" s="595"/>
      <c r="AK42" s="595"/>
      <c r="AL42" s="595"/>
      <c r="AM42" s="595"/>
      <c r="AN42" s="595"/>
      <c r="AO42" s="595"/>
      <c r="AP42" s="595"/>
      <c r="AQ42" s="595"/>
      <c r="AR42" s="595"/>
      <c r="AS42" s="595"/>
      <c r="AT42" s="595"/>
      <c r="AU42" s="595"/>
      <c r="AV42" s="595"/>
      <c r="AW42" s="595"/>
      <c r="AX42" s="595"/>
      <c r="AY42" s="595"/>
      <c r="AZ42" s="595"/>
      <c r="BA42" s="595"/>
      <c r="BB42" s="595"/>
      <c r="BC42" s="595"/>
      <c r="BD42" s="595"/>
      <c r="BE42" s="595"/>
      <c r="BF42" s="595"/>
      <c r="BG42" s="595"/>
      <c r="BH42" s="595"/>
      <c r="BI42" s="595"/>
      <c r="BJ42" s="595"/>
      <c r="BK42" s="595"/>
      <c r="BL42" s="595"/>
      <c r="BM42" s="595"/>
      <c r="BN42" s="595"/>
      <c r="BO42" s="595"/>
      <c r="BP42" s="595"/>
      <c r="BQ42" s="595"/>
      <c r="BR42" s="595"/>
      <c r="BS42" s="595"/>
      <c r="BT42" s="595"/>
    </row>
    <row r="43" spans="1:72" s="631" customFormat="1" ht="23.25" customHeight="1" x14ac:dyDescent="0.2">
      <c r="A43" s="614" t="s">
        <v>536</v>
      </c>
      <c r="B43" s="615" t="s">
        <v>572</v>
      </c>
      <c r="C43" s="610" t="s">
        <v>569</v>
      </c>
      <c r="D43" s="610" t="s">
        <v>570</v>
      </c>
      <c r="E43" s="616" t="s">
        <v>325</v>
      </c>
      <c r="F43" s="617" t="s">
        <v>325</v>
      </c>
      <c r="G43" s="618">
        <f>SUM(G45,G48)</f>
        <v>1814980</v>
      </c>
      <c r="H43" s="595"/>
      <c r="I43" s="595"/>
      <c r="J43" s="595"/>
      <c r="K43" s="595"/>
      <c r="L43" s="595"/>
      <c r="M43" s="595"/>
      <c r="N43" s="595"/>
      <c r="O43" s="595"/>
      <c r="P43" s="595"/>
      <c r="Q43" s="595"/>
      <c r="R43" s="595"/>
      <c r="S43" s="595"/>
      <c r="T43" s="595"/>
      <c r="U43" s="595"/>
      <c r="V43" s="595"/>
      <c r="W43" s="595"/>
      <c r="X43" s="595"/>
      <c r="Y43" s="595"/>
      <c r="Z43" s="595"/>
      <c r="AA43" s="595"/>
      <c r="AB43" s="595"/>
      <c r="AC43" s="595"/>
      <c r="AD43" s="595"/>
      <c r="AE43" s="595"/>
      <c r="AF43" s="595"/>
      <c r="AG43" s="595"/>
      <c r="AH43" s="595"/>
      <c r="AI43" s="595"/>
      <c r="AJ43" s="595"/>
      <c r="AK43" s="595"/>
      <c r="AL43" s="595"/>
      <c r="AM43" s="595"/>
      <c r="AN43" s="595"/>
      <c r="AO43" s="595"/>
      <c r="AP43" s="595"/>
      <c r="AQ43" s="595"/>
      <c r="AR43" s="595"/>
      <c r="AS43" s="595"/>
      <c r="AT43" s="595"/>
      <c r="AU43" s="595"/>
      <c r="AV43" s="595"/>
      <c r="AW43" s="595"/>
      <c r="AX43" s="595"/>
      <c r="AY43" s="595"/>
      <c r="AZ43" s="595"/>
      <c r="BA43" s="595"/>
      <c r="BB43" s="595"/>
      <c r="BC43" s="595"/>
      <c r="BD43" s="595"/>
      <c r="BE43" s="595"/>
      <c r="BF43" s="595"/>
      <c r="BG43" s="595"/>
      <c r="BH43" s="595"/>
      <c r="BI43" s="595"/>
      <c r="BJ43" s="595"/>
      <c r="BK43" s="595"/>
      <c r="BL43" s="595"/>
      <c r="BM43" s="595"/>
      <c r="BN43" s="595"/>
      <c r="BO43" s="595"/>
      <c r="BP43" s="595"/>
      <c r="BQ43" s="595"/>
      <c r="BR43" s="595"/>
      <c r="BS43" s="595"/>
      <c r="BT43" s="595"/>
    </row>
    <row r="44" spans="1:72" s="631" customFormat="1" ht="9.75" customHeight="1" x14ac:dyDescent="0.2">
      <c r="A44" s="608"/>
      <c r="B44" s="619"/>
      <c r="C44" s="610"/>
      <c r="D44" s="610"/>
      <c r="E44" s="610"/>
      <c r="F44" s="620"/>
      <c r="G44" s="632"/>
      <c r="H44" s="595"/>
      <c r="I44" s="595"/>
      <c r="J44" s="595"/>
      <c r="K44" s="595"/>
      <c r="L44" s="595"/>
      <c r="M44" s="595"/>
      <c r="N44" s="595"/>
      <c r="O44" s="595"/>
      <c r="P44" s="595"/>
      <c r="Q44" s="595"/>
      <c r="R44" s="595"/>
      <c r="S44" s="595"/>
      <c r="T44" s="595"/>
      <c r="U44" s="595"/>
      <c r="V44" s="595"/>
      <c r="W44" s="595"/>
      <c r="X44" s="595"/>
      <c r="Y44" s="595"/>
      <c r="Z44" s="595"/>
      <c r="AA44" s="595"/>
      <c r="AB44" s="595"/>
      <c r="AC44" s="595"/>
      <c r="AD44" s="595"/>
      <c r="AE44" s="595"/>
      <c r="AF44" s="595"/>
      <c r="AG44" s="595"/>
      <c r="AH44" s="595"/>
      <c r="AI44" s="595"/>
      <c r="AJ44" s="595"/>
      <c r="AK44" s="595"/>
      <c r="AL44" s="595"/>
      <c r="AM44" s="595"/>
      <c r="AN44" s="595"/>
      <c r="AO44" s="595"/>
      <c r="AP44" s="595"/>
      <c r="AQ44" s="595"/>
      <c r="AR44" s="595"/>
      <c r="AS44" s="595"/>
      <c r="AT44" s="595"/>
      <c r="AU44" s="595"/>
      <c r="AV44" s="595"/>
      <c r="AW44" s="595"/>
      <c r="AX44" s="595"/>
      <c r="AY44" s="595"/>
      <c r="AZ44" s="595"/>
      <c r="BA44" s="595"/>
      <c r="BB44" s="595"/>
      <c r="BC44" s="595"/>
      <c r="BD44" s="595"/>
      <c r="BE44" s="595"/>
      <c r="BF44" s="595"/>
      <c r="BG44" s="595"/>
      <c r="BH44" s="595"/>
      <c r="BI44" s="595"/>
      <c r="BJ44" s="595"/>
      <c r="BK44" s="595"/>
      <c r="BL44" s="595"/>
      <c r="BM44" s="595"/>
      <c r="BN44" s="595"/>
      <c r="BO44" s="595"/>
      <c r="BP44" s="595"/>
      <c r="BQ44" s="595"/>
      <c r="BR44" s="595"/>
      <c r="BS44" s="595"/>
      <c r="BT44" s="595"/>
    </row>
    <row r="45" spans="1:72" s="631" customFormat="1" ht="25.5" customHeight="1" x14ac:dyDescent="0.2">
      <c r="A45" s="608"/>
      <c r="B45" s="634" t="s">
        <v>573</v>
      </c>
      <c r="C45" s="610"/>
      <c r="D45" s="610"/>
      <c r="E45" s="610"/>
      <c r="F45" s="620"/>
      <c r="G45" s="632">
        <f>SUM(G46:G46)</f>
        <v>1386018.18</v>
      </c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5"/>
      <c r="U45" s="595"/>
      <c r="V45" s="595"/>
      <c r="W45" s="595"/>
      <c r="X45" s="595"/>
      <c r="Y45" s="595"/>
      <c r="Z45" s="595"/>
      <c r="AA45" s="595"/>
      <c r="AB45" s="595"/>
      <c r="AC45" s="595"/>
      <c r="AD45" s="595"/>
      <c r="AE45" s="595"/>
      <c r="AF45" s="595"/>
      <c r="AG45" s="595"/>
      <c r="AH45" s="595"/>
      <c r="AI45" s="595"/>
      <c r="AJ45" s="595"/>
      <c r="AK45" s="595"/>
      <c r="AL45" s="595"/>
      <c r="AM45" s="595"/>
      <c r="AN45" s="595"/>
      <c r="AO45" s="595"/>
      <c r="AP45" s="595"/>
      <c r="AQ45" s="595"/>
      <c r="AR45" s="595"/>
      <c r="AS45" s="595"/>
      <c r="AT45" s="595"/>
      <c r="AU45" s="595"/>
      <c r="AV45" s="595"/>
      <c r="AW45" s="595"/>
      <c r="AX45" s="595"/>
      <c r="AY45" s="595"/>
      <c r="AZ45" s="595"/>
      <c r="BA45" s="595"/>
      <c r="BB45" s="595"/>
      <c r="BC45" s="595"/>
      <c r="BD45" s="595"/>
      <c r="BE45" s="595"/>
      <c r="BF45" s="595"/>
      <c r="BG45" s="595"/>
      <c r="BH45" s="595"/>
      <c r="BI45" s="595"/>
      <c r="BJ45" s="595"/>
      <c r="BK45" s="595"/>
      <c r="BL45" s="595"/>
      <c r="BM45" s="595"/>
      <c r="BN45" s="595"/>
      <c r="BO45" s="595"/>
      <c r="BP45" s="595"/>
      <c r="BQ45" s="595"/>
      <c r="BR45" s="595"/>
      <c r="BS45" s="595"/>
      <c r="BT45" s="595"/>
    </row>
    <row r="46" spans="1:72" s="631" customFormat="1" ht="15.75" customHeight="1" x14ac:dyDescent="0.2">
      <c r="A46" s="608"/>
      <c r="B46" s="609"/>
      <c r="C46" s="610"/>
      <c r="D46" s="610"/>
      <c r="E46" s="610" t="s">
        <v>574</v>
      </c>
      <c r="F46" s="620" t="s">
        <v>325</v>
      </c>
      <c r="G46" s="621">
        <f>237460-62017.72+241690+210970-72469.91-59334.2+202330+184210-65376.08+181840-50582.89+167080-46032.2+138000-23863.03+124080-32825.3+127320-16460.49</f>
        <v>1386018.18</v>
      </c>
      <c r="H46" s="595"/>
      <c r="I46" s="595"/>
      <c r="J46" s="595"/>
      <c r="K46" s="595"/>
      <c r="L46" s="595"/>
      <c r="M46" s="595"/>
      <c r="N46" s="595"/>
      <c r="O46" s="595"/>
      <c r="P46" s="595"/>
      <c r="Q46" s="595"/>
      <c r="R46" s="595"/>
      <c r="S46" s="595"/>
      <c r="T46" s="595"/>
      <c r="U46" s="595"/>
      <c r="V46" s="595"/>
      <c r="W46" s="595"/>
      <c r="X46" s="595"/>
      <c r="Y46" s="595"/>
      <c r="Z46" s="595"/>
      <c r="AA46" s="595"/>
      <c r="AB46" s="595"/>
      <c r="AC46" s="595"/>
      <c r="AD46" s="595"/>
      <c r="AE46" s="595"/>
      <c r="AF46" s="595"/>
      <c r="AG46" s="595"/>
      <c r="AH46" s="595"/>
      <c r="AI46" s="595"/>
      <c r="AJ46" s="595"/>
      <c r="AK46" s="595"/>
      <c r="AL46" s="595"/>
      <c r="AM46" s="595"/>
      <c r="AN46" s="595"/>
      <c r="AO46" s="595"/>
      <c r="AP46" s="595"/>
      <c r="AQ46" s="595"/>
      <c r="AR46" s="595"/>
      <c r="AS46" s="595"/>
      <c r="AT46" s="595"/>
      <c r="AU46" s="595"/>
      <c r="AV46" s="595"/>
      <c r="AW46" s="595"/>
      <c r="AX46" s="595"/>
      <c r="AY46" s="595"/>
      <c r="AZ46" s="595"/>
      <c r="BA46" s="595"/>
      <c r="BB46" s="595"/>
      <c r="BC46" s="595"/>
      <c r="BD46" s="595"/>
      <c r="BE46" s="595"/>
      <c r="BF46" s="595"/>
      <c r="BG46" s="595"/>
      <c r="BH46" s="595"/>
      <c r="BI46" s="595"/>
      <c r="BJ46" s="595"/>
      <c r="BK46" s="595"/>
      <c r="BL46" s="595"/>
      <c r="BM46" s="595"/>
      <c r="BN46" s="595"/>
      <c r="BO46" s="595"/>
      <c r="BP46" s="595"/>
      <c r="BQ46" s="595"/>
      <c r="BR46" s="595"/>
      <c r="BS46" s="595"/>
      <c r="BT46" s="595"/>
    </row>
    <row r="47" spans="1:72" s="631" customFormat="1" ht="15.75" customHeight="1" x14ac:dyDescent="0.2">
      <c r="A47" s="622"/>
      <c r="B47" s="623"/>
      <c r="C47" s="624"/>
      <c r="D47" s="611"/>
      <c r="E47" s="611"/>
      <c r="F47" s="613"/>
      <c r="G47" s="625"/>
      <c r="H47" s="595"/>
      <c r="I47" s="595"/>
      <c r="J47" s="595"/>
      <c r="K47" s="595"/>
      <c r="L47" s="595"/>
      <c r="M47" s="595"/>
      <c r="N47" s="595"/>
      <c r="O47" s="595"/>
      <c r="P47" s="595"/>
      <c r="Q47" s="595"/>
      <c r="R47" s="595"/>
      <c r="S47" s="595"/>
      <c r="T47" s="595"/>
      <c r="U47" s="595"/>
      <c r="V47" s="595"/>
      <c r="W47" s="595"/>
      <c r="X47" s="595"/>
      <c r="Y47" s="595"/>
      <c r="Z47" s="595"/>
      <c r="AA47" s="595"/>
      <c r="AB47" s="595"/>
      <c r="AC47" s="595"/>
      <c r="AD47" s="595"/>
      <c r="AE47" s="595"/>
      <c r="AF47" s="595"/>
      <c r="AG47" s="595"/>
      <c r="AH47" s="595"/>
      <c r="AI47" s="595"/>
      <c r="AJ47" s="595"/>
      <c r="AK47" s="595"/>
      <c r="AL47" s="595"/>
      <c r="AM47" s="595"/>
      <c r="AN47" s="595"/>
      <c r="AO47" s="595"/>
      <c r="AP47" s="595"/>
      <c r="AQ47" s="595"/>
      <c r="AR47" s="595"/>
      <c r="AS47" s="595"/>
      <c r="AT47" s="595"/>
      <c r="AU47" s="595"/>
      <c r="AV47" s="595"/>
      <c r="AW47" s="595"/>
      <c r="AX47" s="595"/>
      <c r="AY47" s="595"/>
      <c r="AZ47" s="595"/>
      <c r="BA47" s="595"/>
      <c r="BB47" s="595"/>
      <c r="BC47" s="595"/>
      <c r="BD47" s="595"/>
      <c r="BE47" s="595"/>
      <c r="BF47" s="595"/>
      <c r="BG47" s="595"/>
      <c r="BH47" s="595"/>
      <c r="BI47" s="595"/>
      <c r="BJ47" s="595"/>
      <c r="BK47" s="595"/>
      <c r="BL47" s="595"/>
      <c r="BM47" s="595"/>
      <c r="BN47" s="595"/>
      <c r="BO47" s="595"/>
      <c r="BP47" s="595"/>
      <c r="BQ47" s="595"/>
      <c r="BR47" s="595"/>
      <c r="BS47" s="595"/>
      <c r="BT47" s="595"/>
    </row>
    <row r="48" spans="1:72" s="631" customFormat="1" ht="20.25" customHeight="1" x14ac:dyDescent="0.2">
      <c r="A48" s="608"/>
      <c r="B48" s="633" t="s">
        <v>575</v>
      </c>
      <c r="C48" s="610"/>
      <c r="D48" s="610"/>
      <c r="E48" s="610"/>
      <c r="F48" s="620"/>
      <c r="G48" s="632">
        <f>SUM(G49:G50)</f>
        <v>428961.82</v>
      </c>
      <c r="H48" s="595"/>
      <c r="I48" s="595"/>
      <c r="J48" s="595"/>
      <c r="K48" s="595"/>
      <c r="L48" s="595"/>
      <c r="M48" s="595"/>
      <c r="N48" s="595"/>
      <c r="O48" s="595"/>
      <c r="P48" s="595"/>
      <c r="Q48" s="595"/>
      <c r="R48" s="595"/>
      <c r="S48" s="595"/>
      <c r="T48" s="595"/>
      <c r="U48" s="595"/>
      <c r="V48" s="595"/>
      <c r="W48" s="595"/>
      <c r="X48" s="595"/>
      <c r="Y48" s="595"/>
      <c r="Z48" s="595"/>
      <c r="AA48" s="595"/>
      <c r="AB48" s="595"/>
      <c r="AC48" s="595"/>
      <c r="AD48" s="595"/>
      <c r="AE48" s="595"/>
      <c r="AF48" s="595"/>
      <c r="AG48" s="595"/>
      <c r="AH48" s="595"/>
      <c r="AI48" s="595"/>
      <c r="AJ48" s="595"/>
      <c r="AK48" s="595"/>
      <c r="AL48" s="595"/>
      <c r="AM48" s="595"/>
      <c r="AN48" s="595"/>
      <c r="AO48" s="595"/>
      <c r="AP48" s="595"/>
      <c r="AQ48" s="595"/>
      <c r="AR48" s="595"/>
      <c r="AS48" s="595"/>
      <c r="AT48" s="595"/>
      <c r="AU48" s="595"/>
      <c r="AV48" s="595"/>
      <c r="AW48" s="595"/>
      <c r="AX48" s="595"/>
      <c r="AY48" s="595"/>
      <c r="AZ48" s="595"/>
      <c r="BA48" s="595"/>
      <c r="BB48" s="595"/>
      <c r="BC48" s="595"/>
      <c r="BD48" s="595"/>
      <c r="BE48" s="595"/>
      <c r="BF48" s="595"/>
      <c r="BG48" s="595"/>
      <c r="BH48" s="595"/>
      <c r="BI48" s="595"/>
      <c r="BJ48" s="595"/>
      <c r="BK48" s="595"/>
      <c r="BL48" s="595"/>
      <c r="BM48" s="595"/>
      <c r="BN48" s="595"/>
      <c r="BO48" s="595"/>
      <c r="BP48" s="595"/>
      <c r="BQ48" s="595"/>
      <c r="BR48" s="595"/>
      <c r="BS48" s="595"/>
      <c r="BT48" s="595"/>
    </row>
    <row r="49" spans="1:72" s="631" customFormat="1" ht="15.75" customHeight="1" x14ac:dyDescent="0.2">
      <c r="A49" s="608"/>
      <c r="B49" s="609"/>
      <c r="C49" s="627"/>
      <c r="D49" s="610"/>
      <c r="E49" s="610" t="s">
        <v>574</v>
      </c>
      <c r="F49" s="620" t="s">
        <v>325</v>
      </c>
      <c r="G49" s="621">
        <f>3103.38+3649.49+2630.32+4196.5+2825.95+2543.24+3283.75+2185.51+2456.25</f>
        <v>26874.39</v>
      </c>
      <c r="H49" s="595"/>
      <c r="I49" s="595"/>
      <c r="J49" s="595"/>
      <c r="K49" s="595"/>
      <c r="L49" s="595"/>
      <c r="M49" s="595"/>
      <c r="N49" s="595"/>
      <c r="O49" s="595"/>
      <c r="P49" s="595"/>
      <c r="Q49" s="595"/>
      <c r="R49" s="595"/>
      <c r="S49" s="595"/>
      <c r="T49" s="595"/>
      <c r="U49" s="595"/>
      <c r="V49" s="595"/>
      <c r="W49" s="595"/>
      <c r="X49" s="595"/>
      <c r="Y49" s="595"/>
      <c r="Z49" s="595"/>
      <c r="AA49" s="595"/>
      <c r="AB49" s="595"/>
      <c r="AC49" s="595"/>
      <c r="AD49" s="595"/>
      <c r="AE49" s="595"/>
      <c r="AF49" s="595"/>
      <c r="AG49" s="595"/>
      <c r="AH49" s="595"/>
      <c r="AI49" s="595"/>
      <c r="AJ49" s="595"/>
      <c r="AK49" s="595"/>
      <c r="AL49" s="595"/>
      <c r="AM49" s="595"/>
      <c r="AN49" s="595"/>
      <c r="AO49" s="595"/>
      <c r="AP49" s="595"/>
      <c r="AQ49" s="595"/>
      <c r="AR49" s="595"/>
      <c r="AS49" s="595"/>
      <c r="AT49" s="595"/>
      <c r="AU49" s="595"/>
      <c r="AV49" s="595"/>
      <c r="AW49" s="595"/>
      <c r="AX49" s="595"/>
      <c r="AY49" s="595"/>
      <c r="AZ49" s="595"/>
      <c r="BA49" s="595"/>
      <c r="BB49" s="595"/>
      <c r="BC49" s="595"/>
      <c r="BD49" s="595"/>
      <c r="BE49" s="595"/>
      <c r="BF49" s="595"/>
      <c r="BG49" s="595"/>
      <c r="BH49" s="595"/>
      <c r="BI49" s="595"/>
      <c r="BJ49" s="595"/>
      <c r="BK49" s="595"/>
      <c r="BL49" s="595"/>
      <c r="BM49" s="595"/>
      <c r="BN49" s="595"/>
      <c r="BO49" s="595"/>
      <c r="BP49" s="595"/>
      <c r="BQ49" s="595"/>
      <c r="BR49" s="595"/>
      <c r="BS49" s="595"/>
      <c r="BT49" s="595"/>
    </row>
    <row r="50" spans="1:72" s="631" customFormat="1" ht="15.75" customHeight="1" x14ac:dyDescent="0.2">
      <c r="A50" s="608"/>
      <c r="B50" s="609"/>
      <c r="C50" s="627"/>
      <c r="D50" s="610"/>
      <c r="E50" s="610" t="s">
        <v>576</v>
      </c>
      <c r="F50" s="620" t="s">
        <v>325</v>
      </c>
      <c r="G50" s="621">
        <f>58914.34+68820.42+56703.88+61179.58+47756.94+43488.96+20579.28+30639.79+14004.24</f>
        <v>402087.43</v>
      </c>
      <c r="H50" s="595"/>
      <c r="I50" s="595"/>
      <c r="J50" s="595"/>
      <c r="K50" s="595"/>
      <c r="L50" s="595"/>
      <c r="M50" s="595"/>
      <c r="N50" s="595"/>
      <c r="O50" s="595"/>
      <c r="P50" s="595"/>
      <c r="Q50" s="595"/>
      <c r="R50" s="595"/>
      <c r="S50" s="595"/>
      <c r="T50" s="595"/>
      <c r="U50" s="595"/>
      <c r="V50" s="595"/>
      <c r="W50" s="595"/>
      <c r="X50" s="595"/>
      <c r="Y50" s="595"/>
      <c r="Z50" s="595"/>
      <c r="AA50" s="595"/>
      <c r="AB50" s="595"/>
      <c r="AC50" s="595"/>
      <c r="AD50" s="595"/>
      <c r="AE50" s="595"/>
      <c r="AF50" s="595"/>
      <c r="AG50" s="595"/>
      <c r="AH50" s="595"/>
      <c r="AI50" s="595"/>
      <c r="AJ50" s="595"/>
      <c r="AK50" s="595"/>
      <c r="AL50" s="595"/>
      <c r="AM50" s="595"/>
      <c r="AN50" s="595"/>
      <c r="AO50" s="595"/>
      <c r="AP50" s="595"/>
      <c r="AQ50" s="595"/>
      <c r="AR50" s="595"/>
      <c r="AS50" s="595"/>
      <c r="AT50" s="595"/>
      <c r="AU50" s="595"/>
      <c r="AV50" s="595"/>
      <c r="AW50" s="595"/>
      <c r="AX50" s="595"/>
      <c r="AY50" s="595"/>
      <c r="AZ50" s="595"/>
      <c r="BA50" s="595"/>
      <c r="BB50" s="595"/>
      <c r="BC50" s="595"/>
      <c r="BD50" s="595"/>
      <c r="BE50" s="595"/>
      <c r="BF50" s="595"/>
      <c r="BG50" s="595"/>
      <c r="BH50" s="595"/>
      <c r="BI50" s="595"/>
      <c r="BJ50" s="595"/>
      <c r="BK50" s="595"/>
      <c r="BL50" s="595"/>
      <c r="BM50" s="595"/>
      <c r="BN50" s="595"/>
      <c r="BO50" s="595"/>
      <c r="BP50" s="595"/>
      <c r="BQ50" s="595"/>
      <c r="BR50" s="595"/>
      <c r="BS50" s="595"/>
      <c r="BT50" s="595"/>
    </row>
    <row r="51" spans="1:72" s="631" customFormat="1" ht="15.75" customHeight="1" x14ac:dyDescent="0.2">
      <c r="A51" s="622"/>
      <c r="B51" s="623"/>
      <c r="C51" s="624"/>
      <c r="D51" s="611"/>
      <c r="E51" s="611"/>
      <c r="F51" s="613"/>
      <c r="G51" s="625"/>
      <c r="H51" s="595"/>
      <c r="I51" s="595"/>
      <c r="J51" s="595"/>
      <c r="K51" s="595"/>
      <c r="L51" s="595"/>
      <c r="M51" s="595"/>
      <c r="N51" s="595"/>
      <c r="O51" s="595"/>
      <c r="P51" s="595"/>
      <c r="Q51" s="595"/>
      <c r="R51" s="595"/>
      <c r="S51" s="595"/>
      <c r="T51" s="595"/>
      <c r="U51" s="595"/>
      <c r="V51" s="595"/>
      <c r="W51" s="595"/>
      <c r="X51" s="595"/>
      <c r="Y51" s="595"/>
      <c r="Z51" s="595"/>
      <c r="AA51" s="595"/>
      <c r="AB51" s="595"/>
      <c r="AC51" s="595"/>
      <c r="AD51" s="595"/>
      <c r="AE51" s="595"/>
      <c r="AF51" s="595"/>
      <c r="AG51" s="595"/>
      <c r="AH51" s="595"/>
      <c r="AI51" s="595"/>
      <c r="AJ51" s="595"/>
      <c r="AK51" s="595"/>
      <c r="AL51" s="595"/>
      <c r="AM51" s="595"/>
      <c r="AN51" s="595"/>
      <c r="AO51" s="595"/>
      <c r="AP51" s="595"/>
      <c r="AQ51" s="595"/>
      <c r="AR51" s="595"/>
      <c r="AS51" s="595"/>
      <c r="AT51" s="595"/>
      <c r="AU51" s="595"/>
      <c r="AV51" s="595"/>
      <c r="AW51" s="595"/>
      <c r="AX51" s="595"/>
      <c r="AY51" s="595"/>
      <c r="AZ51" s="595"/>
      <c r="BA51" s="595"/>
      <c r="BB51" s="595"/>
      <c r="BC51" s="595"/>
      <c r="BD51" s="595"/>
      <c r="BE51" s="595"/>
      <c r="BF51" s="595"/>
      <c r="BG51" s="595"/>
      <c r="BH51" s="595"/>
      <c r="BI51" s="595"/>
      <c r="BJ51" s="595"/>
      <c r="BK51" s="595"/>
      <c r="BL51" s="595"/>
      <c r="BM51" s="595"/>
      <c r="BN51" s="595"/>
      <c r="BO51" s="595"/>
      <c r="BP51" s="595"/>
      <c r="BQ51" s="595"/>
      <c r="BR51" s="595"/>
      <c r="BS51" s="595"/>
      <c r="BT51" s="595"/>
    </row>
    <row r="52" spans="1:72" s="631" customFormat="1" ht="15.75" customHeight="1" x14ac:dyDescent="0.2">
      <c r="A52" s="608"/>
      <c r="B52" s="609"/>
      <c r="C52" s="610"/>
      <c r="D52" s="610"/>
      <c r="E52" s="611" t="s">
        <v>86</v>
      </c>
      <c r="F52" s="612">
        <f>200+200+400+200</f>
        <v>1000</v>
      </c>
      <c r="G52" s="613" t="s">
        <v>325</v>
      </c>
      <c r="H52" s="595"/>
      <c r="I52" s="595"/>
      <c r="J52" s="595"/>
      <c r="K52" s="595"/>
      <c r="L52" s="595"/>
      <c r="M52" s="595"/>
      <c r="N52" s="595"/>
      <c r="O52" s="595"/>
      <c r="P52" s="595"/>
      <c r="Q52" s="595"/>
      <c r="R52" s="595"/>
      <c r="S52" s="595"/>
      <c r="T52" s="595"/>
      <c r="U52" s="595"/>
      <c r="V52" s="595"/>
      <c r="W52" s="595"/>
      <c r="X52" s="595"/>
      <c r="Y52" s="595"/>
      <c r="Z52" s="595"/>
      <c r="AA52" s="595"/>
      <c r="AB52" s="595"/>
      <c r="AC52" s="595"/>
      <c r="AD52" s="595"/>
      <c r="AE52" s="595"/>
      <c r="AF52" s="595"/>
      <c r="AG52" s="595"/>
      <c r="AH52" s="595"/>
      <c r="AI52" s="595"/>
      <c r="AJ52" s="595"/>
      <c r="AK52" s="595"/>
      <c r="AL52" s="595"/>
      <c r="AM52" s="595"/>
      <c r="AN52" s="595"/>
      <c r="AO52" s="595"/>
      <c r="AP52" s="595"/>
      <c r="AQ52" s="595"/>
      <c r="AR52" s="595"/>
      <c r="AS52" s="595"/>
      <c r="AT52" s="595"/>
      <c r="AU52" s="595"/>
      <c r="AV52" s="595"/>
      <c r="AW52" s="595"/>
      <c r="AX52" s="595"/>
      <c r="AY52" s="595"/>
      <c r="AZ52" s="595"/>
      <c r="BA52" s="595"/>
      <c r="BB52" s="595"/>
      <c r="BC52" s="595"/>
      <c r="BD52" s="595"/>
      <c r="BE52" s="595"/>
      <c r="BF52" s="595"/>
      <c r="BG52" s="595"/>
      <c r="BH52" s="595"/>
      <c r="BI52" s="595"/>
      <c r="BJ52" s="595"/>
      <c r="BK52" s="595"/>
      <c r="BL52" s="595"/>
      <c r="BM52" s="595"/>
      <c r="BN52" s="595"/>
      <c r="BO52" s="595"/>
      <c r="BP52" s="595"/>
      <c r="BQ52" s="595"/>
      <c r="BR52" s="595"/>
      <c r="BS52" s="595"/>
      <c r="BT52" s="595"/>
    </row>
    <row r="53" spans="1:72" s="631" customFormat="1" ht="51" customHeight="1" x14ac:dyDescent="0.2">
      <c r="A53" s="614" t="s">
        <v>537</v>
      </c>
      <c r="B53" s="615" t="s">
        <v>577</v>
      </c>
      <c r="C53" s="610" t="s">
        <v>566</v>
      </c>
      <c r="D53" s="610" t="s">
        <v>578</v>
      </c>
      <c r="E53" s="616" t="s">
        <v>325</v>
      </c>
      <c r="F53" s="617" t="s">
        <v>325</v>
      </c>
      <c r="G53" s="618">
        <f>SUM(G55)</f>
        <v>1000</v>
      </c>
      <c r="H53" s="595"/>
      <c r="I53" s="595"/>
      <c r="J53" s="595"/>
      <c r="K53" s="595"/>
      <c r="L53" s="595"/>
      <c r="M53" s="595"/>
      <c r="N53" s="595"/>
      <c r="O53" s="595"/>
      <c r="P53" s="595"/>
      <c r="Q53" s="595"/>
      <c r="R53" s="595"/>
      <c r="S53" s="595"/>
      <c r="T53" s="595"/>
      <c r="U53" s="595"/>
      <c r="V53" s="595"/>
      <c r="W53" s="595"/>
      <c r="X53" s="595"/>
      <c r="Y53" s="595"/>
      <c r="Z53" s="595"/>
      <c r="AA53" s="595"/>
      <c r="AB53" s="595"/>
      <c r="AC53" s="595"/>
      <c r="AD53" s="595"/>
      <c r="AE53" s="595"/>
      <c r="AF53" s="595"/>
      <c r="AG53" s="595"/>
      <c r="AH53" s="595"/>
      <c r="AI53" s="595"/>
      <c r="AJ53" s="595"/>
      <c r="AK53" s="595"/>
      <c r="AL53" s="595"/>
      <c r="AM53" s="595"/>
      <c r="AN53" s="595"/>
      <c r="AO53" s="595"/>
      <c r="AP53" s="595"/>
      <c r="AQ53" s="595"/>
      <c r="AR53" s="595"/>
      <c r="AS53" s="595"/>
      <c r="AT53" s="595"/>
      <c r="AU53" s="595"/>
      <c r="AV53" s="595"/>
      <c r="AW53" s="595"/>
      <c r="AX53" s="595"/>
      <c r="AY53" s="595"/>
      <c r="AZ53" s="595"/>
      <c r="BA53" s="595"/>
      <c r="BB53" s="595"/>
      <c r="BC53" s="595"/>
      <c r="BD53" s="595"/>
      <c r="BE53" s="595"/>
      <c r="BF53" s="595"/>
      <c r="BG53" s="595"/>
      <c r="BH53" s="595"/>
      <c r="BI53" s="595"/>
      <c r="BJ53" s="595"/>
      <c r="BK53" s="595"/>
      <c r="BL53" s="595"/>
      <c r="BM53" s="595"/>
      <c r="BN53" s="595"/>
      <c r="BO53" s="595"/>
      <c r="BP53" s="595"/>
      <c r="BQ53" s="595"/>
      <c r="BR53" s="595"/>
      <c r="BS53" s="595"/>
      <c r="BT53" s="595"/>
    </row>
    <row r="54" spans="1:72" s="631" customFormat="1" ht="15.75" customHeight="1" x14ac:dyDescent="0.2">
      <c r="A54" s="608"/>
      <c r="B54" s="609"/>
      <c r="C54" s="627"/>
      <c r="D54" s="610"/>
      <c r="E54" s="610"/>
      <c r="F54" s="620"/>
      <c r="G54" s="621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5"/>
      <c r="V54" s="595"/>
      <c r="W54" s="595"/>
      <c r="X54" s="595"/>
      <c r="Y54" s="595"/>
      <c r="Z54" s="595"/>
      <c r="AA54" s="595"/>
      <c r="AB54" s="595"/>
      <c r="AC54" s="595"/>
      <c r="AD54" s="595"/>
      <c r="AE54" s="595"/>
      <c r="AF54" s="595"/>
      <c r="AG54" s="595"/>
      <c r="AH54" s="595"/>
      <c r="AI54" s="595"/>
      <c r="AJ54" s="595"/>
      <c r="AK54" s="595"/>
      <c r="AL54" s="595"/>
      <c r="AM54" s="595"/>
      <c r="AN54" s="595"/>
      <c r="AO54" s="595"/>
      <c r="AP54" s="595"/>
      <c r="AQ54" s="595"/>
      <c r="AR54" s="595"/>
      <c r="AS54" s="595"/>
      <c r="AT54" s="595"/>
      <c r="AU54" s="595"/>
      <c r="AV54" s="595"/>
      <c r="AW54" s="595"/>
      <c r="AX54" s="595"/>
      <c r="AY54" s="595"/>
      <c r="AZ54" s="595"/>
      <c r="BA54" s="595"/>
      <c r="BB54" s="595"/>
      <c r="BC54" s="595"/>
      <c r="BD54" s="595"/>
      <c r="BE54" s="595"/>
      <c r="BF54" s="595"/>
      <c r="BG54" s="595"/>
      <c r="BH54" s="595"/>
      <c r="BI54" s="595"/>
      <c r="BJ54" s="595"/>
      <c r="BK54" s="595"/>
      <c r="BL54" s="595"/>
      <c r="BM54" s="595"/>
      <c r="BN54" s="595"/>
      <c r="BO54" s="595"/>
      <c r="BP54" s="595"/>
      <c r="BQ54" s="595"/>
      <c r="BR54" s="595"/>
      <c r="BS54" s="595"/>
      <c r="BT54" s="595"/>
    </row>
    <row r="55" spans="1:72" s="631" customFormat="1" ht="24" customHeight="1" x14ac:dyDescent="0.2">
      <c r="A55" s="608"/>
      <c r="B55" s="634" t="s">
        <v>287</v>
      </c>
      <c r="C55" s="610"/>
      <c r="D55" s="610"/>
      <c r="E55" s="610"/>
      <c r="F55" s="620"/>
      <c r="G55" s="632">
        <f>SUM(G56:G58)</f>
        <v>1000</v>
      </c>
      <c r="H55" s="595"/>
      <c r="I55" s="595"/>
      <c r="J55" s="595"/>
      <c r="K55" s="595"/>
      <c r="L55" s="595"/>
      <c r="M55" s="595"/>
      <c r="N55" s="595"/>
      <c r="O55" s="595"/>
      <c r="P55" s="595"/>
      <c r="Q55" s="595"/>
      <c r="R55" s="595"/>
      <c r="S55" s="595"/>
      <c r="T55" s="595"/>
      <c r="U55" s="595"/>
      <c r="V55" s="595"/>
      <c r="W55" s="595"/>
      <c r="X55" s="595"/>
      <c r="Y55" s="595"/>
      <c r="Z55" s="595"/>
      <c r="AA55" s="595"/>
      <c r="AB55" s="595"/>
      <c r="AC55" s="595"/>
      <c r="AD55" s="595"/>
      <c r="AE55" s="595"/>
      <c r="AF55" s="595"/>
      <c r="AG55" s="595"/>
      <c r="AH55" s="595"/>
      <c r="AI55" s="595"/>
      <c r="AJ55" s="595"/>
      <c r="AK55" s="595"/>
      <c r="AL55" s="595"/>
      <c r="AM55" s="595"/>
      <c r="AN55" s="595"/>
      <c r="AO55" s="595"/>
      <c r="AP55" s="595"/>
      <c r="AQ55" s="595"/>
      <c r="AR55" s="595"/>
      <c r="AS55" s="595"/>
      <c r="AT55" s="595"/>
      <c r="AU55" s="595"/>
      <c r="AV55" s="595"/>
      <c r="AW55" s="595"/>
      <c r="AX55" s="595"/>
      <c r="AY55" s="595"/>
      <c r="AZ55" s="595"/>
      <c r="BA55" s="595"/>
      <c r="BB55" s="595"/>
      <c r="BC55" s="595"/>
      <c r="BD55" s="595"/>
      <c r="BE55" s="595"/>
      <c r="BF55" s="595"/>
      <c r="BG55" s="595"/>
      <c r="BH55" s="595"/>
      <c r="BI55" s="595"/>
      <c r="BJ55" s="595"/>
      <c r="BK55" s="595"/>
      <c r="BL55" s="595"/>
      <c r="BM55" s="595"/>
      <c r="BN55" s="595"/>
      <c r="BO55" s="595"/>
      <c r="BP55" s="595"/>
      <c r="BQ55" s="595"/>
      <c r="BR55" s="595"/>
      <c r="BS55" s="595"/>
      <c r="BT55" s="595"/>
    </row>
    <row r="56" spans="1:72" s="631" customFormat="1" ht="15.75" customHeight="1" x14ac:dyDescent="0.2">
      <c r="A56" s="608"/>
      <c r="B56" s="609"/>
      <c r="C56" s="627"/>
      <c r="D56" s="610"/>
      <c r="E56" s="610" t="s">
        <v>574</v>
      </c>
      <c r="F56" s="620" t="s">
        <v>325</v>
      </c>
      <c r="G56" s="621">
        <f>110+100+175+55+120</f>
        <v>560</v>
      </c>
      <c r="H56" s="595"/>
      <c r="I56" s="595"/>
      <c r="J56" s="595"/>
      <c r="K56" s="595"/>
      <c r="L56" s="595"/>
      <c r="M56" s="595"/>
      <c r="N56" s="595"/>
      <c r="O56" s="595"/>
      <c r="P56" s="595"/>
      <c r="Q56" s="595"/>
      <c r="R56" s="595"/>
      <c r="S56" s="595"/>
      <c r="T56" s="595"/>
      <c r="U56" s="595"/>
      <c r="V56" s="595"/>
      <c r="W56" s="595"/>
      <c r="X56" s="595"/>
      <c r="Y56" s="595"/>
      <c r="Z56" s="595"/>
      <c r="AA56" s="595"/>
      <c r="AB56" s="595"/>
      <c r="AC56" s="595"/>
      <c r="AD56" s="595"/>
      <c r="AE56" s="595"/>
      <c r="AF56" s="595"/>
      <c r="AG56" s="595"/>
      <c r="AH56" s="595"/>
      <c r="AI56" s="595"/>
      <c r="AJ56" s="595"/>
      <c r="AK56" s="595"/>
      <c r="AL56" s="595"/>
      <c r="AM56" s="595"/>
      <c r="AN56" s="595"/>
      <c r="AO56" s="595"/>
      <c r="AP56" s="595"/>
      <c r="AQ56" s="595"/>
      <c r="AR56" s="595"/>
      <c r="AS56" s="595"/>
      <c r="AT56" s="595"/>
      <c r="AU56" s="595"/>
      <c r="AV56" s="595"/>
      <c r="AW56" s="595"/>
      <c r="AX56" s="595"/>
      <c r="AY56" s="595"/>
      <c r="AZ56" s="595"/>
      <c r="BA56" s="595"/>
      <c r="BB56" s="595"/>
      <c r="BC56" s="595"/>
      <c r="BD56" s="595"/>
      <c r="BE56" s="595"/>
      <c r="BF56" s="595"/>
      <c r="BG56" s="595"/>
      <c r="BH56" s="595"/>
      <c r="BI56" s="595"/>
      <c r="BJ56" s="595"/>
      <c r="BK56" s="595"/>
      <c r="BL56" s="595"/>
      <c r="BM56" s="595"/>
      <c r="BN56" s="595"/>
      <c r="BO56" s="595"/>
      <c r="BP56" s="595"/>
      <c r="BQ56" s="595"/>
      <c r="BR56" s="595"/>
      <c r="BS56" s="595"/>
      <c r="BT56" s="595"/>
    </row>
    <row r="57" spans="1:72" s="631" customFormat="1" ht="15.75" customHeight="1" x14ac:dyDescent="0.2">
      <c r="A57" s="608"/>
      <c r="B57" s="609"/>
      <c r="C57" s="627"/>
      <c r="D57" s="610"/>
      <c r="E57" s="610" t="s">
        <v>563</v>
      </c>
      <c r="F57" s="620" t="s">
        <v>325</v>
      </c>
      <c r="G57" s="621">
        <f>80+60+140+40+80</f>
        <v>400</v>
      </c>
      <c r="H57" s="595"/>
      <c r="I57" s="595"/>
      <c r="J57" s="595"/>
      <c r="K57" s="595"/>
      <c r="L57" s="595"/>
      <c r="M57" s="595"/>
      <c r="N57" s="595"/>
      <c r="O57" s="595"/>
      <c r="P57" s="595"/>
      <c r="Q57" s="595"/>
      <c r="R57" s="595"/>
      <c r="S57" s="595"/>
      <c r="T57" s="595"/>
      <c r="U57" s="595"/>
      <c r="V57" s="595"/>
      <c r="W57" s="595"/>
      <c r="X57" s="595"/>
      <c r="Y57" s="595"/>
      <c r="Z57" s="595"/>
      <c r="AA57" s="595"/>
      <c r="AB57" s="595"/>
      <c r="AC57" s="595"/>
      <c r="AD57" s="595"/>
      <c r="AE57" s="595"/>
      <c r="AF57" s="595"/>
      <c r="AG57" s="595"/>
      <c r="AH57" s="595"/>
      <c r="AI57" s="595"/>
      <c r="AJ57" s="595"/>
      <c r="AK57" s="595"/>
      <c r="AL57" s="595"/>
      <c r="AM57" s="595"/>
      <c r="AN57" s="595"/>
      <c r="AO57" s="595"/>
      <c r="AP57" s="595"/>
      <c r="AQ57" s="595"/>
      <c r="AR57" s="595"/>
      <c r="AS57" s="595"/>
      <c r="AT57" s="595"/>
      <c r="AU57" s="595"/>
      <c r="AV57" s="595"/>
      <c r="AW57" s="595"/>
      <c r="AX57" s="595"/>
      <c r="AY57" s="595"/>
      <c r="AZ57" s="595"/>
      <c r="BA57" s="595"/>
      <c r="BB57" s="595"/>
      <c r="BC57" s="595"/>
      <c r="BD57" s="595"/>
      <c r="BE57" s="595"/>
      <c r="BF57" s="595"/>
      <c r="BG57" s="595"/>
      <c r="BH57" s="595"/>
      <c r="BI57" s="595"/>
      <c r="BJ57" s="595"/>
      <c r="BK57" s="595"/>
      <c r="BL57" s="595"/>
      <c r="BM57" s="595"/>
      <c r="BN57" s="595"/>
      <c r="BO57" s="595"/>
      <c r="BP57" s="595"/>
      <c r="BQ57" s="595"/>
      <c r="BR57" s="595"/>
      <c r="BS57" s="595"/>
      <c r="BT57" s="595"/>
    </row>
    <row r="58" spans="1:72" s="631" customFormat="1" ht="15.75" customHeight="1" x14ac:dyDescent="0.2">
      <c r="A58" s="608"/>
      <c r="B58" s="609"/>
      <c r="C58" s="627"/>
      <c r="D58" s="610"/>
      <c r="E58" s="610" t="s">
        <v>564</v>
      </c>
      <c r="F58" s="620" t="s">
        <v>325</v>
      </c>
      <c r="G58" s="621">
        <f>10+40+85-95</f>
        <v>40</v>
      </c>
      <c r="H58" s="595"/>
      <c r="I58" s="595"/>
      <c r="J58" s="595"/>
      <c r="K58" s="595"/>
      <c r="L58" s="595"/>
      <c r="M58" s="595"/>
      <c r="N58" s="595"/>
      <c r="O58" s="595"/>
      <c r="P58" s="595"/>
      <c r="Q58" s="595"/>
      <c r="R58" s="595"/>
      <c r="S58" s="595"/>
      <c r="T58" s="595"/>
      <c r="U58" s="595"/>
      <c r="V58" s="595"/>
      <c r="W58" s="595"/>
      <c r="X58" s="595"/>
      <c r="Y58" s="595"/>
      <c r="Z58" s="595"/>
      <c r="AA58" s="595"/>
      <c r="AB58" s="595"/>
      <c r="AC58" s="595"/>
      <c r="AD58" s="595"/>
      <c r="AE58" s="595"/>
      <c r="AF58" s="595"/>
      <c r="AG58" s="595"/>
      <c r="AH58" s="595"/>
      <c r="AI58" s="595"/>
      <c r="AJ58" s="595"/>
      <c r="AK58" s="595"/>
      <c r="AL58" s="595"/>
      <c r="AM58" s="595"/>
      <c r="AN58" s="595"/>
      <c r="AO58" s="595"/>
      <c r="AP58" s="595"/>
      <c r="AQ58" s="595"/>
      <c r="AR58" s="595"/>
      <c r="AS58" s="595"/>
      <c r="AT58" s="595"/>
      <c r="AU58" s="595"/>
      <c r="AV58" s="595"/>
      <c r="AW58" s="595"/>
      <c r="AX58" s="595"/>
      <c r="AY58" s="595"/>
      <c r="AZ58" s="595"/>
      <c r="BA58" s="595"/>
      <c r="BB58" s="595"/>
      <c r="BC58" s="595"/>
      <c r="BD58" s="595"/>
      <c r="BE58" s="595"/>
      <c r="BF58" s="595"/>
      <c r="BG58" s="595"/>
      <c r="BH58" s="595"/>
      <c r="BI58" s="595"/>
      <c r="BJ58" s="595"/>
      <c r="BK58" s="595"/>
      <c r="BL58" s="595"/>
      <c r="BM58" s="595"/>
      <c r="BN58" s="595"/>
      <c r="BO58" s="595"/>
      <c r="BP58" s="595"/>
      <c r="BQ58" s="595"/>
      <c r="BR58" s="595"/>
      <c r="BS58" s="595"/>
      <c r="BT58" s="595"/>
    </row>
    <row r="59" spans="1:72" s="631" customFormat="1" ht="15.75" customHeight="1" x14ac:dyDescent="0.2">
      <c r="A59" s="622"/>
      <c r="B59" s="623"/>
      <c r="C59" s="624"/>
      <c r="D59" s="611"/>
      <c r="E59" s="611"/>
      <c r="F59" s="613"/>
      <c r="G59" s="625"/>
      <c r="H59" s="595"/>
      <c r="I59" s="595"/>
      <c r="J59" s="595"/>
      <c r="K59" s="595"/>
      <c r="L59" s="595"/>
      <c r="M59" s="595"/>
      <c r="N59" s="595"/>
      <c r="O59" s="595"/>
      <c r="P59" s="595"/>
      <c r="Q59" s="595"/>
      <c r="R59" s="595"/>
      <c r="S59" s="595"/>
      <c r="T59" s="595"/>
      <c r="U59" s="595"/>
      <c r="V59" s="595"/>
      <c r="W59" s="595"/>
      <c r="X59" s="595"/>
      <c r="Y59" s="595"/>
      <c r="Z59" s="595"/>
      <c r="AA59" s="595"/>
      <c r="AB59" s="595"/>
      <c r="AC59" s="595"/>
      <c r="AD59" s="595"/>
      <c r="AE59" s="595"/>
      <c r="AF59" s="595"/>
      <c r="AG59" s="595"/>
      <c r="AH59" s="595"/>
      <c r="AI59" s="595"/>
      <c r="AJ59" s="595"/>
      <c r="AK59" s="595"/>
      <c r="AL59" s="595"/>
      <c r="AM59" s="595"/>
      <c r="AN59" s="595"/>
      <c r="AO59" s="595"/>
      <c r="AP59" s="595"/>
      <c r="AQ59" s="595"/>
      <c r="AR59" s="595"/>
      <c r="AS59" s="595"/>
      <c r="AT59" s="595"/>
      <c r="AU59" s="595"/>
      <c r="AV59" s="595"/>
      <c r="AW59" s="595"/>
      <c r="AX59" s="595"/>
      <c r="AY59" s="595"/>
      <c r="AZ59" s="595"/>
      <c r="BA59" s="595"/>
      <c r="BB59" s="595"/>
      <c r="BC59" s="595"/>
      <c r="BD59" s="595"/>
      <c r="BE59" s="595"/>
      <c r="BF59" s="595"/>
      <c r="BG59" s="595"/>
      <c r="BH59" s="595"/>
      <c r="BI59" s="595"/>
      <c r="BJ59" s="595"/>
      <c r="BK59" s="595"/>
      <c r="BL59" s="595"/>
      <c r="BM59" s="595"/>
      <c r="BN59" s="595"/>
      <c r="BO59" s="595"/>
      <c r="BP59" s="595"/>
      <c r="BQ59" s="595"/>
      <c r="BR59" s="595"/>
      <c r="BS59" s="595"/>
      <c r="BT59" s="595"/>
    </row>
    <row r="60" spans="1:72" s="631" customFormat="1" ht="15.75" customHeight="1" x14ac:dyDescent="0.2">
      <c r="A60" s="608"/>
      <c r="B60" s="609"/>
      <c r="C60" s="610"/>
      <c r="D60" s="610"/>
      <c r="E60" s="611" t="s">
        <v>86</v>
      </c>
      <c r="F60" s="612">
        <f>795+795+594+694+694+695+553+623+3576+2988</f>
        <v>12007</v>
      </c>
      <c r="G60" s="613" t="s">
        <v>325</v>
      </c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595"/>
      <c r="S60" s="595"/>
      <c r="T60" s="595"/>
      <c r="U60" s="595"/>
      <c r="V60" s="595"/>
      <c r="W60" s="595"/>
      <c r="X60" s="595"/>
      <c r="Y60" s="595"/>
      <c r="Z60" s="595"/>
      <c r="AA60" s="595"/>
      <c r="AB60" s="595"/>
      <c r="AC60" s="595"/>
      <c r="AD60" s="595"/>
      <c r="AE60" s="595"/>
      <c r="AF60" s="595"/>
      <c r="AG60" s="595"/>
      <c r="AH60" s="595"/>
      <c r="AI60" s="595"/>
      <c r="AJ60" s="595"/>
      <c r="AK60" s="595"/>
      <c r="AL60" s="595"/>
      <c r="AM60" s="595"/>
      <c r="AN60" s="595"/>
      <c r="AO60" s="595"/>
      <c r="AP60" s="595"/>
      <c r="AQ60" s="595"/>
      <c r="AR60" s="595"/>
      <c r="AS60" s="595"/>
      <c r="AT60" s="595"/>
      <c r="AU60" s="595"/>
      <c r="AV60" s="595"/>
      <c r="AW60" s="595"/>
      <c r="AX60" s="595"/>
      <c r="AY60" s="595"/>
      <c r="AZ60" s="595"/>
      <c r="BA60" s="595"/>
      <c r="BB60" s="595"/>
      <c r="BC60" s="595"/>
      <c r="BD60" s="595"/>
      <c r="BE60" s="595"/>
      <c r="BF60" s="595"/>
      <c r="BG60" s="595"/>
      <c r="BH60" s="595"/>
      <c r="BI60" s="595"/>
      <c r="BJ60" s="595"/>
      <c r="BK60" s="595"/>
      <c r="BL60" s="595"/>
      <c r="BM60" s="595"/>
      <c r="BN60" s="595"/>
      <c r="BO60" s="595"/>
      <c r="BP60" s="595"/>
      <c r="BQ60" s="595"/>
      <c r="BR60" s="595"/>
      <c r="BS60" s="595"/>
      <c r="BT60" s="595"/>
    </row>
    <row r="61" spans="1:72" s="631" customFormat="1" ht="15.75" customHeight="1" x14ac:dyDescent="0.2">
      <c r="A61" s="614" t="s">
        <v>539</v>
      </c>
      <c r="B61" s="626" t="s">
        <v>579</v>
      </c>
      <c r="C61" s="610" t="s">
        <v>229</v>
      </c>
      <c r="D61" s="610" t="s">
        <v>580</v>
      </c>
      <c r="E61" s="616" t="s">
        <v>325</v>
      </c>
      <c r="F61" s="617" t="s">
        <v>325</v>
      </c>
      <c r="G61" s="618">
        <f>SUM(G63)</f>
        <v>12007</v>
      </c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595"/>
      <c r="S61" s="595"/>
      <c r="T61" s="595"/>
      <c r="U61" s="595"/>
      <c r="V61" s="595"/>
      <c r="W61" s="595"/>
      <c r="X61" s="595"/>
      <c r="Y61" s="595"/>
      <c r="Z61" s="595"/>
      <c r="AA61" s="595"/>
      <c r="AB61" s="595"/>
      <c r="AC61" s="595"/>
      <c r="AD61" s="595"/>
      <c r="AE61" s="595"/>
      <c r="AF61" s="595"/>
      <c r="AG61" s="595"/>
      <c r="AH61" s="595"/>
      <c r="AI61" s="595"/>
      <c r="AJ61" s="595"/>
      <c r="AK61" s="595"/>
      <c r="AL61" s="595"/>
      <c r="AM61" s="595"/>
      <c r="AN61" s="595"/>
      <c r="AO61" s="595"/>
      <c r="AP61" s="595"/>
      <c r="AQ61" s="595"/>
      <c r="AR61" s="595"/>
      <c r="AS61" s="595"/>
      <c r="AT61" s="595"/>
      <c r="AU61" s="595"/>
      <c r="AV61" s="595"/>
      <c r="AW61" s="595"/>
      <c r="AX61" s="595"/>
      <c r="AY61" s="595"/>
      <c r="AZ61" s="595"/>
      <c r="BA61" s="595"/>
      <c r="BB61" s="595"/>
      <c r="BC61" s="595"/>
      <c r="BD61" s="595"/>
      <c r="BE61" s="595"/>
      <c r="BF61" s="595"/>
      <c r="BG61" s="595"/>
      <c r="BH61" s="595"/>
      <c r="BI61" s="595"/>
      <c r="BJ61" s="595"/>
      <c r="BK61" s="595"/>
      <c r="BL61" s="595"/>
      <c r="BM61" s="595"/>
      <c r="BN61" s="595"/>
      <c r="BO61" s="595"/>
      <c r="BP61" s="595"/>
      <c r="BQ61" s="595"/>
      <c r="BR61" s="595"/>
      <c r="BS61" s="595"/>
      <c r="BT61" s="595"/>
    </row>
    <row r="62" spans="1:72" s="631" customFormat="1" ht="15.75" customHeight="1" x14ac:dyDescent="0.2">
      <c r="A62" s="608"/>
      <c r="B62" s="619"/>
      <c r="C62" s="610"/>
      <c r="D62" s="610"/>
      <c r="E62" s="610"/>
      <c r="F62" s="620"/>
      <c r="G62" s="632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5"/>
      <c r="T62" s="595"/>
      <c r="U62" s="595"/>
      <c r="V62" s="595"/>
      <c r="W62" s="595"/>
      <c r="X62" s="595"/>
      <c r="Y62" s="595"/>
      <c r="Z62" s="595"/>
      <c r="AA62" s="595"/>
      <c r="AB62" s="595"/>
      <c r="AC62" s="595"/>
      <c r="AD62" s="595"/>
      <c r="AE62" s="595"/>
      <c r="AF62" s="595"/>
      <c r="AG62" s="595"/>
      <c r="AH62" s="595"/>
      <c r="AI62" s="595"/>
      <c r="AJ62" s="595"/>
      <c r="AK62" s="595"/>
      <c r="AL62" s="595"/>
      <c r="AM62" s="595"/>
      <c r="AN62" s="595"/>
      <c r="AO62" s="595"/>
      <c r="AP62" s="595"/>
      <c r="AQ62" s="595"/>
      <c r="AR62" s="595"/>
      <c r="AS62" s="595"/>
      <c r="AT62" s="595"/>
      <c r="AU62" s="595"/>
      <c r="AV62" s="595"/>
      <c r="AW62" s="595"/>
      <c r="AX62" s="595"/>
      <c r="AY62" s="595"/>
      <c r="AZ62" s="595"/>
      <c r="BA62" s="595"/>
      <c r="BB62" s="595"/>
      <c r="BC62" s="595"/>
      <c r="BD62" s="595"/>
      <c r="BE62" s="595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5"/>
      <c r="BS62" s="595"/>
      <c r="BT62" s="595"/>
    </row>
    <row r="63" spans="1:72" s="631" customFormat="1" ht="15.75" customHeight="1" x14ac:dyDescent="0.2">
      <c r="A63" s="608"/>
      <c r="B63" s="633" t="s">
        <v>64</v>
      </c>
      <c r="C63" s="610"/>
      <c r="D63" s="610"/>
      <c r="E63" s="610"/>
      <c r="F63" s="620"/>
      <c r="G63" s="632">
        <f>SUM(G64:G64)</f>
        <v>12007</v>
      </c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S63" s="595"/>
      <c r="T63" s="595"/>
      <c r="U63" s="595"/>
      <c r="V63" s="595"/>
      <c r="W63" s="595"/>
      <c r="X63" s="595"/>
      <c r="Y63" s="595"/>
      <c r="Z63" s="595"/>
      <c r="AA63" s="595"/>
      <c r="AB63" s="595"/>
      <c r="AC63" s="595"/>
      <c r="AD63" s="595"/>
      <c r="AE63" s="595"/>
      <c r="AF63" s="595"/>
      <c r="AG63" s="595"/>
      <c r="AH63" s="595"/>
      <c r="AI63" s="595"/>
      <c r="AJ63" s="595"/>
      <c r="AK63" s="595"/>
      <c r="AL63" s="595"/>
      <c r="AM63" s="595"/>
      <c r="AN63" s="595"/>
      <c r="AO63" s="595"/>
      <c r="AP63" s="595"/>
      <c r="AQ63" s="595"/>
      <c r="AR63" s="595"/>
      <c r="AS63" s="595"/>
      <c r="AT63" s="595"/>
      <c r="AU63" s="595"/>
      <c r="AV63" s="595"/>
      <c r="AW63" s="595"/>
      <c r="AX63" s="595"/>
      <c r="AY63" s="595"/>
      <c r="AZ63" s="595"/>
      <c r="BA63" s="595"/>
      <c r="BB63" s="595"/>
      <c r="BC63" s="595"/>
      <c r="BD63" s="595"/>
      <c r="BE63" s="595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5"/>
      <c r="BS63" s="595"/>
      <c r="BT63" s="595"/>
    </row>
    <row r="64" spans="1:72" s="631" customFormat="1" ht="15.75" customHeight="1" x14ac:dyDescent="0.2">
      <c r="A64" s="608"/>
      <c r="B64" s="609"/>
      <c r="C64" s="627"/>
      <c r="D64" s="610"/>
      <c r="E64" s="610" t="s">
        <v>559</v>
      </c>
      <c r="F64" s="620" t="s">
        <v>325</v>
      </c>
      <c r="G64" s="621">
        <f>795+795+594+694+694+695+553+623+3576+2988</f>
        <v>12007</v>
      </c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595"/>
      <c r="AI64" s="595"/>
      <c r="AJ64" s="595"/>
      <c r="AK64" s="595"/>
      <c r="AL64" s="595"/>
      <c r="AM64" s="595"/>
      <c r="AN64" s="595"/>
      <c r="AO64" s="595"/>
      <c r="AP64" s="595"/>
      <c r="AQ64" s="595"/>
      <c r="AR64" s="595"/>
      <c r="AS64" s="595"/>
      <c r="AT64" s="595"/>
      <c r="AU64" s="595"/>
      <c r="AV64" s="595"/>
      <c r="AW64" s="595"/>
      <c r="AX64" s="595"/>
      <c r="AY64" s="595"/>
      <c r="AZ64" s="595"/>
      <c r="BA64" s="595"/>
      <c r="BB64" s="595"/>
      <c r="BC64" s="595"/>
      <c r="BD64" s="595"/>
      <c r="BE64" s="595"/>
      <c r="BF64" s="595"/>
      <c r="BG64" s="595"/>
      <c r="BH64" s="595"/>
      <c r="BI64" s="595"/>
      <c r="BJ64" s="595"/>
      <c r="BK64" s="595"/>
      <c r="BL64" s="595"/>
      <c r="BM64" s="595"/>
      <c r="BN64" s="595"/>
      <c r="BO64" s="595"/>
      <c r="BP64" s="595"/>
      <c r="BQ64" s="595"/>
      <c r="BR64" s="595"/>
      <c r="BS64" s="595"/>
      <c r="BT64" s="595"/>
    </row>
    <row r="65" spans="1:72" s="631" customFormat="1" ht="15.75" customHeight="1" x14ac:dyDescent="0.2">
      <c r="A65" s="622"/>
      <c r="B65" s="623"/>
      <c r="C65" s="624"/>
      <c r="D65" s="611"/>
      <c r="E65" s="611"/>
      <c r="F65" s="613"/>
      <c r="G65" s="625"/>
      <c r="H65" s="595"/>
      <c r="I65" s="595"/>
      <c r="J65" s="595"/>
      <c r="K65" s="595"/>
      <c r="L65" s="595"/>
      <c r="M65" s="595"/>
      <c r="N65" s="595"/>
      <c r="O65" s="595"/>
      <c r="P65" s="595"/>
      <c r="Q65" s="595"/>
      <c r="R65" s="595"/>
      <c r="S65" s="595"/>
      <c r="T65" s="595"/>
      <c r="U65" s="595"/>
      <c r="V65" s="595"/>
      <c r="W65" s="595"/>
      <c r="X65" s="595"/>
      <c r="Y65" s="595"/>
      <c r="Z65" s="595"/>
      <c r="AA65" s="595"/>
      <c r="AB65" s="595"/>
      <c r="AC65" s="595"/>
      <c r="AD65" s="595"/>
      <c r="AE65" s="595"/>
      <c r="AF65" s="595"/>
      <c r="AG65" s="595"/>
      <c r="AH65" s="595"/>
      <c r="AI65" s="595"/>
      <c r="AJ65" s="595"/>
      <c r="AK65" s="595"/>
      <c r="AL65" s="595"/>
      <c r="AM65" s="595"/>
      <c r="AN65" s="595"/>
      <c r="AO65" s="595"/>
      <c r="AP65" s="595"/>
      <c r="AQ65" s="595"/>
      <c r="AR65" s="595"/>
      <c r="AS65" s="595"/>
      <c r="AT65" s="595"/>
      <c r="AU65" s="595"/>
      <c r="AV65" s="595"/>
      <c r="AW65" s="595"/>
      <c r="AX65" s="595"/>
      <c r="AY65" s="595"/>
      <c r="AZ65" s="595"/>
      <c r="BA65" s="595"/>
      <c r="BB65" s="595"/>
      <c r="BC65" s="595"/>
      <c r="BD65" s="595"/>
      <c r="BE65" s="595"/>
      <c r="BF65" s="595"/>
      <c r="BG65" s="595"/>
      <c r="BH65" s="595"/>
      <c r="BI65" s="595"/>
      <c r="BJ65" s="595"/>
      <c r="BK65" s="595"/>
      <c r="BL65" s="595"/>
      <c r="BM65" s="595"/>
      <c r="BN65" s="595"/>
      <c r="BO65" s="595"/>
      <c r="BP65" s="595"/>
      <c r="BQ65" s="595"/>
      <c r="BR65" s="595"/>
      <c r="BS65" s="595"/>
      <c r="BT65" s="595"/>
    </row>
    <row r="66" spans="1:72" s="631" customFormat="1" ht="15.75" customHeight="1" x14ac:dyDescent="0.2">
      <c r="A66" s="608"/>
      <c r="B66" s="609"/>
      <c r="C66" s="610"/>
      <c r="D66" s="610"/>
      <c r="E66" s="611" t="s">
        <v>86</v>
      </c>
      <c r="F66" s="612">
        <f>452.4+422.24+400.77+197.21+259.95+172.55+154.38+78.44+61.63+97.11+49.3+285.34+84.42+24.65+84.66+70.01+16.13+338.17+38.84</f>
        <v>3288.2000000000012</v>
      </c>
      <c r="G66" s="613" t="s">
        <v>325</v>
      </c>
      <c r="H66" s="595"/>
      <c r="I66" s="595"/>
      <c r="J66" s="595"/>
      <c r="K66" s="595"/>
      <c r="L66" s="595"/>
      <c r="M66" s="595"/>
      <c r="N66" s="595"/>
      <c r="O66" s="595"/>
      <c r="P66" s="595"/>
      <c r="Q66" s="595"/>
      <c r="R66" s="595"/>
      <c r="S66" s="595"/>
      <c r="T66" s="595"/>
      <c r="U66" s="595"/>
      <c r="V66" s="595"/>
      <c r="W66" s="595"/>
      <c r="X66" s="595"/>
      <c r="Y66" s="595"/>
      <c r="Z66" s="595"/>
      <c r="AA66" s="595"/>
      <c r="AB66" s="595"/>
      <c r="AC66" s="595"/>
      <c r="AD66" s="595"/>
      <c r="AE66" s="595"/>
      <c r="AF66" s="595"/>
      <c r="AG66" s="595"/>
      <c r="AH66" s="595"/>
      <c r="AI66" s="595"/>
      <c r="AJ66" s="595"/>
      <c r="AK66" s="595"/>
      <c r="AL66" s="595"/>
      <c r="AM66" s="595"/>
      <c r="AN66" s="595"/>
      <c r="AO66" s="595"/>
      <c r="AP66" s="595"/>
      <c r="AQ66" s="595"/>
      <c r="AR66" s="595"/>
      <c r="AS66" s="595"/>
      <c r="AT66" s="595"/>
      <c r="AU66" s="595"/>
      <c r="AV66" s="595"/>
      <c r="AW66" s="595"/>
      <c r="AX66" s="595"/>
      <c r="AY66" s="595"/>
      <c r="AZ66" s="595"/>
      <c r="BA66" s="595"/>
      <c r="BB66" s="595"/>
      <c r="BC66" s="595"/>
      <c r="BD66" s="595"/>
      <c r="BE66" s="595"/>
      <c r="BF66" s="595"/>
      <c r="BG66" s="595"/>
      <c r="BH66" s="595"/>
      <c r="BI66" s="595"/>
      <c r="BJ66" s="595"/>
      <c r="BK66" s="595"/>
      <c r="BL66" s="595"/>
      <c r="BM66" s="595"/>
      <c r="BN66" s="595"/>
      <c r="BO66" s="595"/>
      <c r="BP66" s="595"/>
      <c r="BQ66" s="595"/>
      <c r="BR66" s="595"/>
      <c r="BS66" s="595"/>
      <c r="BT66" s="595"/>
    </row>
    <row r="67" spans="1:72" s="631" customFormat="1" ht="60.75" customHeight="1" x14ac:dyDescent="0.2">
      <c r="A67" s="614" t="s">
        <v>540</v>
      </c>
      <c r="B67" s="626" t="s">
        <v>581</v>
      </c>
      <c r="C67" s="610" t="s">
        <v>582</v>
      </c>
      <c r="D67" s="610" t="s">
        <v>583</v>
      </c>
      <c r="E67" s="616" t="s">
        <v>325</v>
      </c>
      <c r="F67" s="617" t="s">
        <v>325</v>
      </c>
      <c r="G67" s="618">
        <f>SUM(G69)</f>
        <v>2413.5600000000004</v>
      </c>
      <c r="H67" s="595"/>
      <c r="I67" s="136"/>
      <c r="J67" s="595"/>
      <c r="K67" s="595"/>
      <c r="L67" s="595"/>
      <c r="M67" s="595"/>
      <c r="N67" s="595"/>
      <c r="O67" s="595"/>
      <c r="P67" s="595"/>
      <c r="Q67" s="595"/>
      <c r="R67" s="595"/>
      <c r="S67" s="595"/>
      <c r="T67" s="595"/>
      <c r="U67" s="595"/>
      <c r="V67" s="595"/>
      <c r="W67" s="595"/>
      <c r="X67" s="595"/>
      <c r="Y67" s="595"/>
      <c r="Z67" s="595"/>
      <c r="AA67" s="595"/>
      <c r="AB67" s="595"/>
      <c r="AC67" s="595"/>
      <c r="AD67" s="595"/>
      <c r="AE67" s="595"/>
      <c r="AF67" s="595"/>
      <c r="AG67" s="595"/>
      <c r="AH67" s="595"/>
      <c r="AI67" s="595"/>
      <c r="AJ67" s="595"/>
      <c r="AK67" s="595"/>
      <c r="AL67" s="595"/>
      <c r="AM67" s="595"/>
      <c r="AN67" s="595"/>
      <c r="AO67" s="595"/>
      <c r="AP67" s="595"/>
      <c r="AQ67" s="595"/>
      <c r="AR67" s="595"/>
      <c r="AS67" s="595"/>
      <c r="AT67" s="595"/>
      <c r="AU67" s="595"/>
      <c r="AV67" s="595"/>
      <c r="AW67" s="595"/>
      <c r="AX67" s="595"/>
      <c r="AY67" s="595"/>
      <c r="AZ67" s="595"/>
      <c r="BA67" s="595"/>
      <c r="BB67" s="595"/>
      <c r="BC67" s="595"/>
      <c r="BD67" s="595"/>
      <c r="BE67" s="595"/>
      <c r="BF67" s="595"/>
      <c r="BG67" s="595"/>
      <c r="BH67" s="595"/>
      <c r="BI67" s="595"/>
      <c r="BJ67" s="595"/>
      <c r="BK67" s="595"/>
      <c r="BL67" s="595"/>
      <c r="BM67" s="595"/>
      <c r="BN67" s="595"/>
      <c r="BO67" s="595"/>
      <c r="BP67" s="595"/>
      <c r="BQ67" s="595"/>
      <c r="BR67" s="595"/>
      <c r="BS67" s="595"/>
      <c r="BT67" s="595"/>
    </row>
    <row r="68" spans="1:72" s="631" customFormat="1" ht="15.75" customHeight="1" x14ac:dyDescent="0.2">
      <c r="A68" s="608"/>
      <c r="B68" s="619"/>
      <c r="C68" s="610"/>
      <c r="D68" s="610"/>
      <c r="E68" s="610"/>
      <c r="F68" s="620"/>
      <c r="G68" s="632"/>
      <c r="H68" s="595"/>
      <c r="I68" s="595"/>
      <c r="J68" s="595"/>
      <c r="K68" s="595"/>
      <c r="L68" s="595"/>
      <c r="M68" s="595"/>
      <c r="N68" s="595"/>
      <c r="O68" s="595"/>
      <c r="P68" s="595"/>
      <c r="Q68" s="595"/>
      <c r="R68" s="595"/>
      <c r="S68" s="595"/>
      <c r="T68" s="595"/>
      <c r="U68" s="595"/>
      <c r="V68" s="595"/>
      <c r="W68" s="595"/>
      <c r="X68" s="595"/>
      <c r="Y68" s="595"/>
      <c r="Z68" s="595"/>
      <c r="AA68" s="595"/>
      <c r="AB68" s="595"/>
      <c r="AC68" s="595"/>
      <c r="AD68" s="595"/>
      <c r="AE68" s="595"/>
      <c r="AF68" s="595"/>
      <c r="AG68" s="595"/>
      <c r="AH68" s="595"/>
      <c r="AI68" s="595"/>
      <c r="AJ68" s="595"/>
      <c r="AK68" s="595"/>
      <c r="AL68" s="595"/>
      <c r="AM68" s="595"/>
      <c r="AN68" s="595"/>
      <c r="AO68" s="595"/>
      <c r="AP68" s="595"/>
      <c r="AQ68" s="595"/>
      <c r="AR68" s="595"/>
      <c r="AS68" s="595"/>
      <c r="AT68" s="595"/>
      <c r="AU68" s="595"/>
      <c r="AV68" s="595"/>
      <c r="AW68" s="595"/>
      <c r="AX68" s="595"/>
      <c r="AY68" s="595"/>
      <c r="AZ68" s="595"/>
      <c r="BA68" s="595"/>
      <c r="BB68" s="595"/>
      <c r="BC68" s="595"/>
      <c r="BD68" s="595"/>
      <c r="BE68" s="595"/>
      <c r="BF68" s="595"/>
      <c r="BG68" s="595"/>
      <c r="BH68" s="595"/>
      <c r="BI68" s="595"/>
      <c r="BJ68" s="595"/>
      <c r="BK68" s="595"/>
      <c r="BL68" s="595"/>
      <c r="BM68" s="595"/>
      <c r="BN68" s="595"/>
      <c r="BO68" s="595"/>
      <c r="BP68" s="595"/>
      <c r="BQ68" s="595"/>
      <c r="BR68" s="595"/>
      <c r="BS68" s="595"/>
      <c r="BT68" s="595"/>
    </row>
    <row r="69" spans="1:72" s="631" customFormat="1" ht="15.75" customHeight="1" x14ac:dyDescent="0.2">
      <c r="A69" s="608"/>
      <c r="B69" s="633" t="s">
        <v>73</v>
      </c>
      <c r="C69" s="610"/>
      <c r="D69" s="610"/>
      <c r="E69" s="610"/>
      <c r="F69" s="620"/>
      <c r="G69" s="632">
        <f>SUM(G70:G71)</f>
        <v>2413.5600000000004</v>
      </c>
      <c r="H69" s="595"/>
      <c r="I69" s="595"/>
      <c r="J69" s="595"/>
      <c r="K69" s="595"/>
      <c r="L69" s="595"/>
      <c r="M69" s="595"/>
      <c r="N69" s="595"/>
      <c r="O69" s="595"/>
      <c r="P69" s="595"/>
      <c r="Q69" s="595"/>
      <c r="R69" s="595"/>
      <c r="S69" s="595"/>
      <c r="T69" s="595"/>
      <c r="U69" s="595"/>
      <c r="V69" s="595"/>
      <c r="W69" s="595"/>
      <c r="X69" s="595"/>
      <c r="Y69" s="595"/>
      <c r="Z69" s="595"/>
      <c r="AA69" s="595"/>
      <c r="AB69" s="595"/>
      <c r="AC69" s="595"/>
      <c r="AD69" s="595"/>
      <c r="AE69" s="595"/>
      <c r="AF69" s="595"/>
      <c r="AG69" s="595"/>
      <c r="AH69" s="595"/>
      <c r="AI69" s="595"/>
      <c r="AJ69" s="595"/>
      <c r="AK69" s="595"/>
      <c r="AL69" s="595"/>
      <c r="AM69" s="595"/>
      <c r="AN69" s="595"/>
      <c r="AO69" s="595"/>
      <c r="AP69" s="595"/>
      <c r="AQ69" s="595"/>
      <c r="AR69" s="595"/>
      <c r="AS69" s="595"/>
      <c r="AT69" s="595"/>
      <c r="AU69" s="595"/>
      <c r="AV69" s="595"/>
      <c r="AW69" s="595"/>
      <c r="AX69" s="595"/>
      <c r="AY69" s="595"/>
      <c r="AZ69" s="595"/>
      <c r="BA69" s="595"/>
      <c r="BB69" s="595"/>
      <c r="BC69" s="595"/>
      <c r="BD69" s="595"/>
      <c r="BE69" s="595"/>
      <c r="BF69" s="595"/>
      <c r="BG69" s="595"/>
      <c r="BH69" s="595"/>
      <c r="BI69" s="595"/>
      <c r="BJ69" s="595"/>
      <c r="BK69" s="595"/>
      <c r="BL69" s="595"/>
      <c r="BM69" s="595"/>
      <c r="BN69" s="595"/>
      <c r="BO69" s="595"/>
      <c r="BP69" s="595"/>
      <c r="BQ69" s="595"/>
      <c r="BR69" s="595"/>
      <c r="BS69" s="595"/>
      <c r="BT69" s="595"/>
    </row>
    <row r="70" spans="1:72" s="631" customFormat="1" ht="15.75" customHeight="1" x14ac:dyDescent="0.2">
      <c r="A70" s="608"/>
      <c r="B70" s="633"/>
      <c r="C70" s="627"/>
      <c r="D70" s="610"/>
      <c r="E70" s="610" t="s">
        <v>563</v>
      </c>
      <c r="F70" s="620" t="s">
        <v>325</v>
      </c>
      <c r="G70" s="621">
        <f>334.98+164.84+129.04+361.5+117.07+122.37+400.43+72+315.12</f>
        <v>2017.3500000000004</v>
      </c>
      <c r="H70" s="595"/>
      <c r="I70" s="595"/>
      <c r="J70" s="595"/>
      <c r="K70" s="595"/>
      <c r="L70" s="595"/>
      <c r="M70" s="595"/>
      <c r="N70" s="595"/>
      <c r="O70" s="595"/>
      <c r="P70" s="595"/>
      <c r="Q70" s="595"/>
      <c r="R70" s="595"/>
      <c r="S70" s="595"/>
      <c r="T70" s="595"/>
      <c r="U70" s="595"/>
      <c r="V70" s="595"/>
      <c r="W70" s="595"/>
      <c r="X70" s="595"/>
      <c r="Y70" s="595"/>
      <c r="Z70" s="595"/>
      <c r="AA70" s="595"/>
      <c r="AB70" s="595"/>
      <c r="AC70" s="595"/>
      <c r="AD70" s="595"/>
      <c r="AE70" s="595"/>
      <c r="AF70" s="595"/>
      <c r="AG70" s="595"/>
      <c r="AH70" s="595"/>
      <c r="AI70" s="595"/>
      <c r="AJ70" s="595"/>
      <c r="AK70" s="595"/>
      <c r="AL70" s="595"/>
      <c r="AM70" s="595"/>
      <c r="AN70" s="595"/>
      <c r="AO70" s="595"/>
      <c r="AP70" s="595"/>
      <c r="AQ70" s="595"/>
      <c r="AR70" s="595"/>
      <c r="AS70" s="595"/>
      <c r="AT70" s="595"/>
      <c r="AU70" s="595"/>
      <c r="AV70" s="595"/>
      <c r="AW70" s="595"/>
      <c r="AX70" s="595"/>
      <c r="AY70" s="595"/>
      <c r="AZ70" s="595"/>
      <c r="BA70" s="595"/>
      <c r="BB70" s="595"/>
      <c r="BC70" s="595"/>
      <c r="BD70" s="595"/>
      <c r="BE70" s="595"/>
      <c r="BF70" s="595"/>
      <c r="BG70" s="595"/>
      <c r="BH70" s="595"/>
      <c r="BI70" s="595"/>
      <c r="BJ70" s="595"/>
      <c r="BK70" s="595"/>
      <c r="BL70" s="595"/>
      <c r="BM70" s="595"/>
      <c r="BN70" s="595"/>
      <c r="BO70" s="595"/>
      <c r="BP70" s="595"/>
      <c r="BQ70" s="595"/>
      <c r="BR70" s="595"/>
      <c r="BS70" s="595"/>
      <c r="BT70" s="595"/>
    </row>
    <row r="71" spans="1:72" s="631" customFormat="1" ht="15.75" customHeight="1" x14ac:dyDescent="0.2">
      <c r="A71" s="608"/>
      <c r="B71" s="633"/>
      <c r="C71" s="627"/>
      <c r="D71" s="610"/>
      <c r="E71" s="610" t="s">
        <v>564</v>
      </c>
      <c r="F71" s="620" t="s">
        <v>325</v>
      </c>
      <c r="G71" s="621">
        <f>65.79+32.37+25.34+71+23+24.04+78.64+14.14+61.89</f>
        <v>396.21</v>
      </c>
      <c r="H71" s="595"/>
      <c r="I71" s="595"/>
      <c r="J71" s="595"/>
      <c r="K71" s="595"/>
      <c r="L71" s="595"/>
      <c r="M71" s="595"/>
      <c r="N71" s="595"/>
      <c r="O71" s="595"/>
      <c r="P71" s="595"/>
      <c r="Q71" s="595"/>
      <c r="R71" s="595"/>
      <c r="S71" s="595"/>
      <c r="T71" s="595"/>
      <c r="U71" s="595"/>
      <c r="V71" s="595"/>
      <c r="W71" s="595"/>
      <c r="X71" s="595"/>
      <c r="Y71" s="595"/>
      <c r="Z71" s="595"/>
      <c r="AA71" s="595"/>
      <c r="AB71" s="595"/>
      <c r="AC71" s="595"/>
      <c r="AD71" s="595"/>
      <c r="AE71" s="595"/>
      <c r="AF71" s="595"/>
      <c r="AG71" s="595"/>
      <c r="AH71" s="595"/>
      <c r="AI71" s="595"/>
      <c r="AJ71" s="595"/>
      <c r="AK71" s="595"/>
      <c r="AL71" s="595"/>
      <c r="AM71" s="595"/>
      <c r="AN71" s="595"/>
      <c r="AO71" s="595"/>
      <c r="AP71" s="595"/>
      <c r="AQ71" s="595"/>
      <c r="AR71" s="595"/>
      <c r="AS71" s="595"/>
      <c r="AT71" s="595"/>
      <c r="AU71" s="595"/>
      <c r="AV71" s="595"/>
      <c r="AW71" s="595"/>
      <c r="AX71" s="595"/>
      <c r="AY71" s="595"/>
      <c r="AZ71" s="595"/>
      <c r="BA71" s="595"/>
      <c r="BB71" s="595"/>
      <c r="BC71" s="595"/>
      <c r="BD71" s="595"/>
      <c r="BE71" s="595"/>
      <c r="BF71" s="595"/>
      <c r="BG71" s="595"/>
      <c r="BH71" s="595"/>
      <c r="BI71" s="595"/>
      <c r="BJ71" s="595"/>
      <c r="BK71" s="595"/>
      <c r="BL71" s="595"/>
      <c r="BM71" s="595"/>
      <c r="BN71" s="595"/>
      <c r="BO71" s="595"/>
      <c r="BP71" s="595"/>
      <c r="BQ71" s="595"/>
      <c r="BR71" s="595"/>
      <c r="BS71" s="595"/>
      <c r="BT71" s="595"/>
    </row>
    <row r="72" spans="1:72" s="631" customFormat="1" ht="15.75" customHeight="1" x14ac:dyDescent="0.2">
      <c r="A72" s="622"/>
      <c r="B72" s="635"/>
      <c r="C72" s="624"/>
      <c r="D72" s="611"/>
      <c r="E72" s="611"/>
      <c r="F72" s="613"/>
      <c r="G72" s="636"/>
      <c r="H72" s="595"/>
      <c r="I72" s="595"/>
      <c r="J72" s="595"/>
      <c r="K72" s="595"/>
      <c r="L72" s="595"/>
      <c r="M72" s="595"/>
      <c r="N72" s="595"/>
      <c r="O72" s="595"/>
      <c r="P72" s="595"/>
      <c r="Q72" s="595"/>
      <c r="R72" s="595"/>
      <c r="S72" s="595"/>
      <c r="T72" s="595"/>
      <c r="U72" s="595"/>
      <c r="V72" s="595"/>
      <c r="W72" s="595"/>
      <c r="X72" s="595"/>
      <c r="Y72" s="595"/>
      <c r="Z72" s="595"/>
      <c r="AA72" s="595"/>
      <c r="AB72" s="595"/>
      <c r="AC72" s="595"/>
      <c r="AD72" s="595"/>
      <c r="AE72" s="595"/>
      <c r="AF72" s="595"/>
      <c r="AG72" s="595"/>
      <c r="AH72" s="595"/>
      <c r="AI72" s="595"/>
      <c r="AJ72" s="595"/>
      <c r="AK72" s="595"/>
      <c r="AL72" s="595"/>
      <c r="AM72" s="595"/>
      <c r="AN72" s="595"/>
      <c r="AO72" s="595"/>
      <c r="AP72" s="595"/>
      <c r="AQ72" s="595"/>
      <c r="AR72" s="595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95"/>
      <c r="BF72" s="595"/>
      <c r="BG72" s="595"/>
      <c r="BH72" s="595"/>
      <c r="BI72" s="595"/>
      <c r="BJ72" s="595"/>
      <c r="BK72" s="595"/>
      <c r="BL72" s="595"/>
      <c r="BM72" s="595"/>
      <c r="BN72" s="595"/>
      <c r="BO72" s="595"/>
      <c r="BP72" s="595"/>
      <c r="BQ72" s="595"/>
      <c r="BR72" s="595"/>
      <c r="BS72" s="595"/>
      <c r="BT72" s="595"/>
    </row>
    <row r="73" spans="1:72" s="631" customFormat="1" ht="15.75" customHeight="1" x14ac:dyDescent="0.2">
      <c r="A73" s="608"/>
      <c r="B73" s="609"/>
      <c r="C73" s="610" t="s">
        <v>584</v>
      </c>
      <c r="D73" s="610" t="s">
        <v>83</v>
      </c>
      <c r="E73" s="611" t="s">
        <v>86</v>
      </c>
      <c r="F73" s="612">
        <f>190930+49631+274881+56959+220565+52228+242513+58646+236005+62821+240460+63735+232920+56430+233620+54905+53021+232936+192694+71474</f>
        <v>2877374</v>
      </c>
      <c r="G73" s="613" t="s">
        <v>325</v>
      </c>
      <c r="H73" s="595"/>
      <c r="I73" s="595"/>
      <c r="J73" s="595"/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5"/>
      <c r="V73" s="595"/>
      <c r="W73" s="595"/>
      <c r="X73" s="595"/>
      <c r="Y73" s="595"/>
      <c r="Z73" s="595"/>
      <c r="AA73" s="595"/>
      <c r="AB73" s="595"/>
      <c r="AC73" s="595"/>
      <c r="AD73" s="595"/>
      <c r="AE73" s="595"/>
      <c r="AF73" s="595"/>
      <c r="AG73" s="595"/>
      <c r="AH73" s="595"/>
      <c r="AI73" s="595"/>
      <c r="AJ73" s="595"/>
      <c r="AK73" s="595"/>
      <c r="AL73" s="595"/>
      <c r="AM73" s="595"/>
      <c r="AN73" s="595"/>
      <c r="AO73" s="595"/>
      <c r="AP73" s="595"/>
      <c r="AQ73" s="595"/>
      <c r="AR73" s="595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95"/>
      <c r="BF73" s="595"/>
      <c r="BG73" s="595"/>
      <c r="BH73" s="595"/>
      <c r="BI73" s="595"/>
      <c r="BJ73" s="595"/>
      <c r="BK73" s="595"/>
      <c r="BL73" s="595"/>
      <c r="BM73" s="595"/>
      <c r="BN73" s="595"/>
      <c r="BO73" s="595"/>
      <c r="BP73" s="595"/>
      <c r="BQ73" s="595"/>
      <c r="BR73" s="595"/>
      <c r="BS73" s="595"/>
      <c r="BT73" s="595"/>
    </row>
    <row r="74" spans="1:72" s="631" customFormat="1" ht="23.25" customHeight="1" x14ac:dyDescent="0.2">
      <c r="A74" s="614" t="s">
        <v>542</v>
      </c>
      <c r="B74" s="615" t="s">
        <v>585</v>
      </c>
      <c r="C74" s="610"/>
      <c r="D74" s="610"/>
      <c r="E74" s="616" t="s">
        <v>325</v>
      </c>
      <c r="F74" s="617" t="s">
        <v>325</v>
      </c>
      <c r="G74" s="618">
        <f>SUM(G76,G86,G91,G100,G109,G114,G123,G132,G137,G146,G151,G160,G165,G174,G179,G184,G191)</f>
        <v>3031576.45</v>
      </c>
      <c r="H74" s="595"/>
      <c r="I74" s="136"/>
      <c r="J74" s="595"/>
      <c r="K74" s="595"/>
      <c r="L74" s="595"/>
      <c r="M74" s="595"/>
      <c r="N74" s="595"/>
      <c r="O74" s="595"/>
      <c r="P74" s="595"/>
      <c r="Q74" s="595"/>
      <c r="R74" s="595"/>
      <c r="S74" s="595"/>
      <c r="T74" s="595"/>
      <c r="U74" s="595"/>
      <c r="V74" s="595"/>
      <c r="W74" s="595"/>
      <c r="X74" s="595"/>
      <c r="Y74" s="595"/>
      <c r="Z74" s="595"/>
      <c r="AA74" s="595"/>
      <c r="AB74" s="595"/>
      <c r="AC74" s="595"/>
      <c r="AD74" s="595"/>
      <c r="AE74" s="595"/>
      <c r="AF74" s="595"/>
      <c r="AG74" s="595"/>
      <c r="AH74" s="595"/>
      <c r="AI74" s="595"/>
      <c r="AJ74" s="595"/>
      <c r="AK74" s="595"/>
      <c r="AL74" s="595"/>
      <c r="AM74" s="595"/>
      <c r="AN74" s="595"/>
      <c r="AO74" s="595"/>
      <c r="AP74" s="595"/>
      <c r="AQ74" s="595"/>
      <c r="AR74" s="595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95"/>
      <c r="BF74" s="595"/>
      <c r="BG74" s="595"/>
      <c r="BH74" s="595"/>
      <c r="BI74" s="595"/>
      <c r="BJ74" s="595"/>
      <c r="BK74" s="595"/>
      <c r="BL74" s="595"/>
      <c r="BM74" s="595"/>
      <c r="BN74" s="595"/>
      <c r="BO74" s="595"/>
      <c r="BP74" s="595"/>
      <c r="BQ74" s="595"/>
      <c r="BR74" s="595"/>
      <c r="BS74" s="595"/>
      <c r="BT74" s="595"/>
    </row>
    <row r="75" spans="1:72" s="631" customFormat="1" ht="15.75" customHeight="1" x14ac:dyDescent="0.2">
      <c r="A75" s="608"/>
      <c r="B75" s="609"/>
      <c r="C75" s="627"/>
      <c r="D75" s="610"/>
      <c r="E75" s="610"/>
      <c r="F75" s="620"/>
      <c r="G75" s="621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5"/>
      <c r="U75" s="595"/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595"/>
      <c r="AK75" s="595"/>
      <c r="AL75" s="595"/>
      <c r="AM75" s="595"/>
      <c r="AN75" s="595"/>
      <c r="AO75" s="595"/>
      <c r="AP75" s="595"/>
      <c r="AQ75" s="595"/>
      <c r="AR75" s="595"/>
      <c r="AS75" s="595"/>
      <c r="AT75" s="595"/>
      <c r="AU75" s="595"/>
      <c r="AV75" s="595"/>
      <c r="AW75" s="595"/>
      <c r="AX75" s="595"/>
      <c r="AY75" s="595"/>
      <c r="AZ75" s="595"/>
      <c r="BA75" s="595"/>
      <c r="BB75" s="595"/>
      <c r="BC75" s="595"/>
      <c r="BD75" s="595"/>
      <c r="BE75" s="595"/>
      <c r="BF75" s="595"/>
      <c r="BG75" s="595"/>
      <c r="BH75" s="595"/>
      <c r="BI75" s="595"/>
      <c r="BJ75" s="595"/>
      <c r="BK75" s="595"/>
      <c r="BL75" s="595"/>
      <c r="BM75" s="595"/>
      <c r="BN75" s="595"/>
      <c r="BO75" s="595"/>
      <c r="BP75" s="595"/>
      <c r="BQ75" s="595"/>
      <c r="BR75" s="595"/>
      <c r="BS75" s="595"/>
      <c r="BT75" s="595"/>
    </row>
    <row r="76" spans="1:72" s="631" customFormat="1" ht="15.75" customHeight="1" x14ac:dyDescent="0.2">
      <c r="A76" s="608"/>
      <c r="B76" s="633" t="s">
        <v>42</v>
      </c>
      <c r="C76" s="610" t="s">
        <v>126</v>
      </c>
      <c r="D76" s="610" t="s">
        <v>586</v>
      </c>
      <c r="E76" s="616" t="s">
        <v>325</v>
      </c>
      <c r="F76" s="617" t="s">
        <v>325</v>
      </c>
      <c r="G76" s="618">
        <f>SUM(G78)</f>
        <v>1886443.59</v>
      </c>
      <c r="H76" s="595"/>
      <c r="I76" s="595"/>
      <c r="J76" s="595"/>
      <c r="K76" s="595"/>
      <c r="L76" s="595"/>
      <c r="M76" s="595"/>
      <c r="N76" s="595"/>
      <c r="O76" s="595"/>
      <c r="P76" s="595"/>
      <c r="Q76" s="595"/>
      <c r="R76" s="595"/>
      <c r="S76" s="595"/>
      <c r="T76" s="595"/>
      <c r="U76" s="595"/>
      <c r="V76" s="595"/>
      <c r="W76" s="595"/>
      <c r="X76" s="595"/>
      <c r="Y76" s="595"/>
      <c r="Z76" s="595"/>
      <c r="AA76" s="595"/>
      <c r="AB76" s="595"/>
      <c r="AC76" s="595"/>
      <c r="AD76" s="595"/>
      <c r="AE76" s="595"/>
      <c r="AF76" s="595"/>
      <c r="AG76" s="595"/>
      <c r="AH76" s="595"/>
      <c r="AI76" s="595"/>
      <c r="AJ76" s="595"/>
      <c r="AK76" s="595"/>
      <c r="AL76" s="595"/>
      <c r="AM76" s="595"/>
      <c r="AN76" s="595"/>
      <c r="AO76" s="595"/>
      <c r="AP76" s="595"/>
      <c r="AQ76" s="595"/>
      <c r="AR76" s="595"/>
      <c r="AS76" s="595"/>
      <c r="AT76" s="595"/>
      <c r="AU76" s="595"/>
      <c r="AV76" s="595"/>
      <c r="AW76" s="595"/>
      <c r="AX76" s="595"/>
      <c r="AY76" s="595"/>
      <c r="AZ76" s="595"/>
      <c r="BA76" s="595"/>
      <c r="BB76" s="595"/>
      <c r="BC76" s="595"/>
      <c r="BD76" s="595"/>
      <c r="BE76" s="595"/>
      <c r="BF76" s="595"/>
      <c r="BG76" s="595"/>
      <c r="BH76" s="595"/>
      <c r="BI76" s="595"/>
      <c r="BJ76" s="595"/>
      <c r="BK76" s="595"/>
      <c r="BL76" s="595"/>
      <c r="BM76" s="595"/>
      <c r="BN76" s="595"/>
      <c r="BO76" s="595"/>
      <c r="BP76" s="595"/>
      <c r="BQ76" s="595"/>
      <c r="BR76" s="595"/>
      <c r="BS76" s="595"/>
      <c r="BT76" s="595"/>
    </row>
    <row r="77" spans="1:72" s="631" customFormat="1" ht="15.75" customHeight="1" x14ac:dyDescent="0.2">
      <c r="A77" s="608"/>
      <c r="B77" s="609"/>
      <c r="C77" s="627"/>
      <c r="D77" s="610"/>
      <c r="E77" s="610"/>
      <c r="F77" s="620"/>
      <c r="G77" s="621"/>
      <c r="H77" s="595"/>
      <c r="I77" s="595"/>
      <c r="J77" s="595"/>
      <c r="K77" s="595"/>
      <c r="L77" s="595"/>
      <c r="M77" s="595"/>
      <c r="N77" s="595"/>
      <c r="O77" s="595"/>
      <c r="P77" s="595"/>
      <c r="Q77" s="595"/>
      <c r="R77" s="595"/>
      <c r="S77" s="595"/>
      <c r="T77" s="595"/>
      <c r="U77" s="595"/>
      <c r="V77" s="595"/>
      <c r="W77" s="595"/>
      <c r="X77" s="595"/>
      <c r="Y77" s="595"/>
      <c r="Z77" s="595"/>
      <c r="AA77" s="595"/>
      <c r="AB77" s="595"/>
      <c r="AC77" s="595"/>
      <c r="AD77" s="595"/>
      <c r="AE77" s="595"/>
      <c r="AF77" s="595"/>
      <c r="AG77" s="595"/>
      <c r="AH77" s="595"/>
      <c r="AI77" s="595"/>
      <c r="AJ77" s="595"/>
      <c r="AK77" s="595"/>
      <c r="AL77" s="595"/>
      <c r="AM77" s="595"/>
      <c r="AN77" s="595"/>
      <c r="AO77" s="595"/>
      <c r="AP77" s="595"/>
      <c r="AQ77" s="595"/>
      <c r="AR77" s="595"/>
      <c r="AS77" s="595"/>
      <c r="AT77" s="595"/>
      <c r="AU77" s="595"/>
      <c r="AV77" s="595"/>
      <c r="AW77" s="595"/>
      <c r="AX77" s="595"/>
      <c r="AY77" s="595"/>
      <c r="AZ77" s="595"/>
      <c r="BA77" s="595"/>
      <c r="BB77" s="595"/>
      <c r="BC77" s="595"/>
      <c r="BD77" s="595"/>
      <c r="BE77" s="595"/>
      <c r="BF77" s="595"/>
      <c r="BG77" s="595"/>
      <c r="BH77" s="595"/>
      <c r="BI77" s="595"/>
      <c r="BJ77" s="595"/>
      <c r="BK77" s="595"/>
      <c r="BL77" s="595"/>
      <c r="BM77" s="595"/>
      <c r="BN77" s="595"/>
      <c r="BO77" s="595"/>
      <c r="BP77" s="595"/>
      <c r="BQ77" s="595"/>
      <c r="BR77" s="595"/>
      <c r="BS77" s="595"/>
      <c r="BT77" s="595"/>
    </row>
    <row r="78" spans="1:72" s="631" customFormat="1" ht="15.75" customHeight="1" x14ac:dyDescent="0.2">
      <c r="A78" s="608"/>
      <c r="B78" s="609"/>
      <c r="C78" s="627"/>
      <c r="D78" s="610"/>
      <c r="E78" s="610"/>
      <c r="F78" s="620"/>
      <c r="G78" s="632">
        <f>SUM(G79:G84)</f>
        <v>1886443.59</v>
      </c>
      <c r="H78" s="595"/>
      <c r="I78" s="595"/>
      <c r="J78" s="595"/>
      <c r="K78" s="595"/>
      <c r="L78" s="595"/>
      <c r="M78" s="595"/>
      <c r="N78" s="595"/>
      <c r="O78" s="595"/>
      <c r="P78" s="595"/>
      <c r="Q78" s="595"/>
      <c r="R78" s="595"/>
      <c r="S78" s="595"/>
      <c r="T78" s="595"/>
      <c r="U78" s="595"/>
      <c r="V78" s="595"/>
      <c r="W78" s="595"/>
      <c r="X78" s="595"/>
      <c r="Y78" s="595"/>
      <c r="Z78" s="595"/>
      <c r="AA78" s="595"/>
      <c r="AB78" s="595"/>
      <c r="AC78" s="595"/>
      <c r="AD78" s="595"/>
      <c r="AE78" s="595"/>
      <c r="AF78" s="595"/>
      <c r="AG78" s="595"/>
      <c r="AH78" s="595"/>
      <c r="AI78" s="595"/>
      <c r="AJ78" s="595"/>
      <c r="AK78" s="595"/>
      <c r="AL78" s="595"/>
      <c r="AM78" s="595"/>
      <c r="AN78" s="595"/>
      <c r="AO78" s="595"/>
      <c r="AP78" s="595"/>
      <c r="AQ78" s="595"/>
      <c r="AR78" s="595"/>
      <c r="AS78" s="595"/>
      <c r="AT78" s="595"/>
      <c r="AU78" s="595"/>
      <c r="AV78" s="595"/>
      <c r="AW78" s="595"/>
      <c r="AX78" s="595"/>
      <c r="AY78" s="595"/>
      <c r="AZ78" s="595"/>
      <c r="BA78" s="595"/>
      <c r="BB78" s="595"/>
      <c r="BC78" s="595"/>
      <c r="BD78" s="595"/>
      <c r="BE78" s="595"/>
      <c r="BF78" s="595"/>
      <c r="BG78" s="595"/>
      <c r="BH78" s="595"/>
      <c r="BI78" s="595"/>
      <c r="BJ78" s="595"/>
      <c r="BK78" s="595"/>
      <c r="BL78" s="595"/>
      <c r="BM78" s="595"/>
      <c r="BN78" s="595"/>
      <c r="BO78" s="595"/>
      <c r="BP78" s="595"/>
      <c r="BQ78" s="595"/>
      <c r="BR78" s="595"/>
      <c r="BS78" s="595"/>
      <c r="BT78" s="595"/>
    </row>
    <row r="79" spans="1:72" s="631" customFormat="1" ht="15.75" customHeight="1" x14ac:dyDescent="0.2">
      <c r="A79" s="608"/>
      <c r="B79" s="609"/>
      <c r="C79" s="627"/>
      <c r="D79" s="610"/>
      <c r="E79" s="610" t="s">
        <v>175</v>
      </c>
      <c r="F79" s="620" t="s">
        <v>325</v>
      </c>
      <c r="G79" s="621">
        <f>117182.98+128847+162969+174526+362860+166130.29+24823+105218</f>
        <v>1242556.27</v>
      </c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95"/>
      <c r="Z79" s="595"/>
      <c r="AA79" s="595"/>
      <c r="AB79" s="595"/>
      <c r="AC79" s="595"/>
      <c r="AD79" s="595"/>
      <c r="AE79" s="595"/>
      <c r="AF79" s="595"/>
      <c r="AG79" s="595"/>
      <c r="AH79" s="595"/>
      <c r="AI79" s="595"/>
      <c r="AJ79" s="595"/>
      <c r="AK79" s="595"/>
      <c r="AL79" s="595"/>
      <c r="AM79" s="595"/>
      <c r="AN79" s="595"/>
      <c r="AO79" s="595"/>
      <c r="AP79" s="595"/>
      <c r="AQ79" s="595"/>
      <c r="AR79" s="595"/>
      <c r="AS79" s="595"/>
      <c r="AT79" s="595"/>
      <c r="AU79" s="595"/>
      <c r="AV79" s="595"/>
      <c r="AW79" s="595"/>
      <c r="AX79" s="595"/>
      <c r="AY79" s="595"/>
      <c r="AZ79" s="595"/>
      <c r="BA79" s="595"/>
      <c r="BB79" s="595"/>
      <c r="BC79" s="595"/>
      <c r="BD79" s="595"/>
      <c r="BE79" s="595"/>
      <c r="BF79" s="595"/>
      <c r="BG79" s="595"/>
      <c r="BH79" s="595"/>
      <c r="BI79" s="595"/>
      <c r="BJ79" s="595"/>
      <c r="BK79" s="595"/>
      <c r="BL79" s="595"/>
      <c r="BM79" s="595"/>
      <c r="BN79" s="595"/>
      <c r="BO79" s="595"/>
      <c r="BP79" s="595"/>
      <c r="BQ79" s="595"/>
      <c r="BR79" s="595"/>
      <c r="BS79" s="595"/>
      <c r="BT79" s="595"/>
    </row>
    <row r="80" spans="1:72" s="631" customFormat="1" ht="15.75" customHeight="1" x14ac:dyDescent="0.2">
      <c r="A80" s="608"/>
      <c r="B80" s="609"/>
      <c r="C80" s="627"/>
      <c r="D80" s="610"/>
      <c r="E80" s="610" t="s">
        <v>574</v>
      </c>
      <c r="F80" s="620" t="s">
        <v>325</v>
      </c>
      <c r="G80" s="621">
        <f>14507-2971</f>
        <v>11536</v>
      </c>
      <c r="H80" s="595"/>
      <c r="I80" s="595"/>
      <c r="J80" s="595"/>
      <c r="K80" s="595"/>
      <c r="L80" s="595"/>
      <c r="M80" s="595"/>
      <c r="N80" s="595"/>
      <c r="O80" s="595"/>
      <c r="P80" s="595"/>
      <c r="Q80" s="595"/>
      <c r="R80" s="595"/>
      <c r="S80" s="595"/>
      <c r="T80" s="595"/>
      <c r="U80" s="595"/>
      <c r="V80" s="595"/>
      <c r="W80" s="595"/>
      <c r="X80" s="595"/>
      <c r="Y80" s="595"/>
      <c r="Z80" s="595"/>
      <c r="AA80" s="595"/>
      <c r="AB80" s="595"/>
      <c r="AC80" s="595"/>
      <c r="AD80" s="595"/>
      <c r="AE80" s="595"/>
      <c r="AF80" s="595"/>
      <c r="AG80" s="595"/>
      <c r="AH80" s="595"/>
      <c r="AI80" s="595"/>
      <c r="AJ80" s="595"/>
      <c r="AK80" s="595"/>
      <c r="AL80" s="595"/>
      <c r="AM80" s="595"/>
      <c r="AN80" s="595"/>
      <c r="AO80" s="595"/>
      <c r="AP80" s="595"/>
      <c r="AQ80" s="595"/>
      <c r="AR80" s="595"/>
      <c r="AS80" s="595"/>
      <c r="AT80" s="595"/>
      <c r="AU80" s="595"/>
      <c r="AV80" s="595"/>
      <c r="AW80" s="595"/>
      <c r="AX80" s="595"/>
      <c r="AY80" s="595"/>
      <c r="AZ80" s="595"/>
      <c r="BA80" s="595"/>
      <c r="BB80" s="595"/>
      <c r="BC80" s="595"/>
      <c r="BD80" s="595"/>
      <c r="BE80" s="595"/>
      <c r="BF80" s="595"/>
      <c r="BG80" s="595"/>
      <c r="BH80" s="595"/>
      <c r="BI80" s="595"/>
      <c r="BJ80" s="595"/>
      <c r="BK80" s="595"/>
      <c r="BL80" s="595"/>
      <c r="BM80" s="595"/>
      <c r="BN80" s="595"/>
      <c r="BO80" s="595"/>
      <c r="BP80" s="595"/>
      <c r="BQ80" s="595"/>
      <c r="BR80" s="595"/>
      <c r="BS80" s="595"/>
      <c r="BT80" s="595"/>
    </row>
    <row r="81" spans="1:72" s="631" customFormat="1" ht="15.75" customHeight="1" x14ac:dyDescent="0.2">
      <c r="A81" s="608"/>
      <c r="B81" s="609"/>
      <c r="C81" s="627"/>
      <c r="D81" s="610"/>
      <c r="E81" s="610" t="s">
        <v>563</v>
      </c>
      <c r="F81" s="620" t="s">
        <v>325</v>
      </c>
      <c r="G81" s="621">
        <f>10800</f>
        <v>10800</v>
      </c>
      <c r="H81" s="595"/>
      <c r="I81" s="595"/>
      <c r="J81" s="595"/>
      <c r="K81" s="595"/>
      <c r="L81" s="595"/>
      <c r="M81" s="595"/>
      <c r="N81" s="595"/>
      <c r="O81" s="595"/>
      <c r="P81" s="595"/>
      <c r="Q81" s="595"/>
      <c r="R81" s="595"/>
      <c r="S81" s="595"/>
      <c r="T81" s="595"/>
      <c r="U81" s="595"/>
      <c r="V81" s="595"/>
      <c r="W81" s="595"/>
      <c r="X81" s="595"/>
      <c r="Y81" s="595"/>
      <c r="Z81" s="595"/>
      <c r="AA81" s="595"/>
      <c r="AB81" s="595"/>
      <c r="AC81" s="595"/>
      <c r="AD81" s="595"/>
      <c r="AE81" s="595"/>
      <c r="AF81" s="595"/>
      <c r="AG81" s="595"/>
      <c r="AH81" s="595"/>
      <c r="AI81" s="595"/>
      <c r="AJ81" s="595"/>
      <c r="AK81" s="595"/>
      <c r="AL81" s="595"/>
      <c r="AM81" s="595"/>
      <c r="AN81" s="595"/>
      <c r="AO81" s="595"/>
      <c r="AP81" s="595"/>
      <c r="AQ81" s="595"/>
      <c r="AR81" s="595"/>
      <c r="AS81" s="595"/>
      <c r="AT81" s="595"/>
      <c r="AU81" s="595"/>
      <c r="AV81" s="595"/>
      <c r="AW81" s="595"/>
      <c r="AX81" s="595"/>
      <c r="AY81" s="595"/>
      <c r="AZ81" s="595"/>
      <c r="BA81" s="595"/>
      <c r="BB81" s="595"/>
      <c r="BC81" s="595"/>
      <c r="BD81" s="595"/>
      <c r="BE81" s="595"/>
      <c r="BF81" s="595"/>
      <c r="BG81" s="595"/>
      <c r="BH81" s="595"/>
      <c r="BI81" s="595"/>
      <c r="BJ81" s="595"/>
      <c r="BK81" s="595"/>
      <c r="BL81" s="595"/>
      <c r="BM81" s="595"/>
      <c r="BN81" s="595"/>
      <c r="BO81" s="595"/>
      <c r="BP81" s="595"/>
      <c r="BQ81" s="595"/>
      <c r="BR81" s="595"/>
      <c r="BS81" s="595"/>
      <c r="BT81" s="595"/>
    </row>
    <row r="82" spans="1:72" s="631" customFormat="1" ht="15.75" customHeight="1" x14ac:dyDescent="0.2">
      <c r="A82" s="608"/>
      <c r="B82" s="609"/>
      <c r="C82" s="627"/>
      <c r="D82" s="610"/>
      <c r="E82" s="610" t="s">
        <v>587</v>
      </c>
      <c r="F82" s="620" t="s">
        <v>325</v>
      </c>
      <c r="G82" s="621">
        <f>148065+158540+131624-98198-142934+2783.77+131210+42900</f>
        <v>373990.77</v>
      </c>
      <c r="H82" s="595"/>
      <c r="I82" s="595"/>
      <c r="J82" s="595"/>
      <c r="K82" s="595"/>
      <c r="L82" s="595"/>
      <c r="M82" s="595"/>
      <c r="N82" s="595"/>
      <c r="O82" s="595"/>
      <c r="P82" s="595"/>
      <c r="Q82" s="595"/>
      <c r="R82" s="595"/>
      <c r="S82" s="595"/>
      <c r="T82" s="595"/>
      <c r="U82" s="595"/>
      <c r="V82" s="595"/>
      <c r="W82" s="595"/>
      <c r="X82" s="595"/>
      <c r="Y82" s="595"/>
      <c r="Z82" s="595"/>
      <c r="AA82" s="595"/>
      <c r="AB82" s="595"/>
      <c r="AC82" s="595"/>
      <c r="AD82" s="595"/>
      <c r="AE82" s="595"/>
      <c r="AF82" s="595"/>
      <c r="AG82" s="595"/>
      <c r="AH82" s="595"/>
      <c r="AI82" s="595"/>
      <c r="AJ82" s="595"/>
      <c r="AK82" s="595"/>
      <c r="AL82" s="595"/>
      <c r="AM82" s="595"/>
      <c r="AN82" s="595"/>
      <c r="AO82" s="595"/>
      <c r="AP82" s="595"/>
      <c r="AQ82" s="595"/>
      <c r="AR82" s="595"/>
      <c r="AS82" s="595"/>
      <c r="AT82" s="595"/>
      <c r="AU82" s="595"/>
      <c r="AV82" s="595"/>
      <c r="AW82" s="595"/>
      <c r="AX82" s="595"/>
      <c r="AY82" s="595"/>
      <c r="AZ82" s="595"/>
      <c r="BA82" s="595"/>
      <c r="BB82" s="595"/>
      <c r="BC82" s="595"/>
      <c r="BD82" s="595"/>
      <c r="BE82" s="595"/>
      <c r="BF82" s="595"/>
      <c r="BG82" s="595"/>
      <c r="BH82" s="595"/>
      <c r="BI82" s="595"/>
      <c r="BJ82" s="595"/>
      <c r="BK82" s="595"/>
      <c r="BL82" s="595"/>
      <c r="BM82" s="595"/>
      <c r="BN82" s="595"/>
      <c r="BO82" s="595"/>
      <c r="BP82" s="595"/>
      <c r="BQ82" s="595"/>
      <c r="BR82" s="595"/>
      <c r="BS82" s="595"/>
      <c r="BT82" s="595"/>
    </row>
    <row r="83" spans="1:72" s="631" customFormat="1" ht="15.75" customHeight="1" x14ac:dyDescent="0.2">
      <c r="A83" s="608"/>
      <c r="B83" s="609"/>
      <c r="C83" s="627"/>
      <c r="D83" s="610"/>
      <c r="E83" s="610" t="s">
        <v>564</v>
      </c>
      <c r="F83" s="620" t="s">
        <v>325</v>
      </c>
      <c r="G83" s="621">
        <f>36187.09+38748.72+34808.8-26465-41283+522.94+27004+8130</f>
        <v>77653.55</v>
      </c>
      <c r="H83" s="595"/>
      <c r="I83" s="595"/>
      <c r="J83" s="595"/>
      <c r="K83" s="595"/>
      <c r="L83" s="595"/>
      <c r="M83" s="595"/>
      <c r="N83" s="595"/>
      <c r="O83" s="595"/>
      <c r="P83" s="595"/>
      <c r="Q83" s="595"/>
      <c r="R83" s="595"/>
      <c r="S83" s="595"/>
      <c r="T83" s="595"/>
      <c r="U83" s="595"/>
      <c r="V83" s="595"/>
      <c r="W83" s="595"/>
      <c r="X83" s="595"/>
      <c r="Y83" s="595"/>
      <c r="Z83" s="595"/>
      <c r="AA83" s="595"/>
      <c r="AB83" s="595"/>
      <c r="AC83" s="595"/>
      <c r="AD83" s="595"/>
      <c r="AE83" s="595"/>
      <c r="AF83" s="595"/>
      <c r="AG83" s="595"/>
      <c r="AH83" s="595"/>
      <c r="AI83" s="595"/>
      <c r="AJ83" s="595"/>
      <c r="AK83" s="595"/>
      <c r="AL83" s="595"/>
      <c r="AM83" s="595"/>
      <c r="AN83" s="595"/>
      <c r="AO83" s="595"/>
      <c r="AP83" s="595"/>
      <c r="AQ83" s="595"/>
      <c r="AR83" s="595"/>
      <c r="AS83" s="595"/>
      <c r="AT83" s="595"/>
      <c r="AU83" s="595"/>
      <c r="AV83" s="595"/>
      <c r="AW83" s="595"/>
      <c r="AX83" s="595"/>
      <c r="AY83" s="595"/>
      <c r="AZ83" s="595"/>
      <c r="BA83" s="595"/>
      <c r="BB83" s="595"/>
      <c r="BC83" s="595"/>
      <c r="BD83" s="595"/>
      <c r="BE83" s="595"/>
      <c r="BF83" s="595"/>
      <c r="BG83" s="595"/>
      <c r="BH83" s="595"/>
      <c r="BI83" s="595"/>
      <c r="BJ83" s="595"/>
      <c r="BK83" s="595"/>
      <c r="BL83" s="595"/>
      <c r="BM83" s="595"/>
      <c r="BN83" s="595"/>
      <c r="BO83" s="595"/>
      <c r="BP83" s="595"/>
      <c r="BQ83" s="595"/>
      <c r="BR83" s="595"/>
      <c r="BS83" s="595"/>
      <c r="BT83" s="595"/>
    </row>
    <row r="84" spans="1:72" s="631" customFormat="1" ht="15.75" customHeight="1" x14ac:dyDescent="0.2">
      <c r="A84" s="608"/>
      <c r="B84" s="609"/>
      <c r="C84" s="627"/>
      <c r="D84" s="610"/>
      <c r="E84" s="610" t="s">
        <v>576</v>
      </c>
      <c r="F84" s="620" t="s">
        <v>325</v>
      </c>
      <c r="G84" s="621">
        <f>173137+3000-6230</f>
        <v>169907</v>
      </c>
      <c r="H84" s="595"/>
      <c r="I84" s="595"/>
      <c r="J84" s="595"/>
      <c r="K84" s="595"/>
      <c r="L84" s="595"/>
      <c r="M84" s="595"/>
      <c r="N84" s="595"/>
      <c r="O84" s="595"/>
      <c r="P84" s="595"/>
      <c r="Q84" s="595"/>
      <c r="R84" s="595"/>
      <c r="S84" s="595"/>
      <c r="T84" s="595"/>
      <c r="U84" s="595"/>
      <c r="V84" s="595"/>
      <c r="W84" s="595"/>
      <c r="X84" s="595"/>
      <c r="Y84" s="595"/>
      <c r="Z84" s="595"/>
      <c r="AA84" s="595"/>
      <c r="AB84" s="595"/>
      <c r="AC84" s="595"/>
      <c r="AD84" s="595"/>
      <c r="AE84" s="595"/>
      <c r="AF84" s="595"/>
      <c r="AG84" s="595"/>
      <c r="AH84" s="595"/>
      <c r="AI84" s="595"/>
      <c r="AJ84" s="595"/>
      <c r="AK84" s="595"/>
      <c r="AL84" s="595"/>
      <c r="AM84" s="595"/>
      <c r="AN84" s="595"/>
      <c r="AO84" s="595"/>
      <c r="AP84" s="595"/>
      <c r="AQ84" s="595"/>
      <c r="AR84" s="595"/>
      <c r="AS84" s="595"/>
      <c r="AT84" s="595"/>
      <c r="AU84" s="595"/>
      <c r="AV84" s="595"/>
      <c r="AW84" s="595"/>
      <c r="AX84" s="595"/>
      <c r="AY84" s="595"/>
      <c r="AZ84" s="595"/>
      <c r="BA84" s="595"/>
      <c r="BB84" s="595"/>
      <c r="BC84" s="595"/>
      <c r="BD84" s="595"/>
      <c r="BE84" s="595"/>
      <c r="BF84" s="595"/>
      <c r="BG84" s="595"/>
      <c r="BH84" s="595"/>
      <c r="BI84" s="595"/>
      <c r="BJ84" s="595"/>
      <c r="BK84" s="595"/>
      <c r="BL84" s="595"/>
      <c r="BM84" s="595"/>
      <c r="BN84" s="595"/>
      <c r="BO84" s="595"/>
      <c r="BP84" s="595"/>
      <c r="BQ84" s="595"/>
      <c r="BR84" s="595"/>
      <c r="BS84" s="595"/>
      <c r="BT84" s="595"/>
    </row>
    <row r="85" spans="1:72" s="631" customFormat="1" ht="12" customHeight="1" x14ac:dyDescent="0.2">
      <c r="A85" s="622"/>
      <c r="B85" s="623"/>
      <c r="C85" s="624"/>
      <c r="D85" s="611"/>
      <c r="E85" s="611"/>
      <c r="F85" s="613"/>
      <c r="G85" s="625"/>
      <c r="H85" s="595"/>
      <c r="I85" s="595"/>
      <c r="J85" s="595"/>
      <c r="K85" s="595"/>
      <c r="L85" s="595"/>
      <c r="M85" s="595"/>
      <c r="N85" s="595"/>
      <c r="O85" s="595"/>
      <c r="P85" s="595"/>
      <c r="Q85" s="595"/>
      <c r="R85" s="595"/>
      <c r="S85" s="595"/>
      <c r="T85" s="595"/>
      <c r="U85" s="595"/>
      <c r="V85" s="595"/>
      <c r="W85" s="595"/>
      <c r="X85" s="595"/>
      <c r="Y85" s="595"/>
      <c r="Z85" s="595"/>
      <c r="AA85" s="595"/>
      <c r="AB85" s="595"/>
      <c r="AC85" s="595"/>
      <c r="AD85" s="595"/>
      <c r="AE85" s="595"/>
      <c r="AF85" s="595"/>
      <c r="AG85" s="595"/>
      <c r="AH85" s="595"/>
      <c r="AI85" s="595"/>
      <c r="AJ85" s="595"/>
      <c r="AK85" s="595"/>
      <c r="AL85" s="595"/>
      <c r="AM85" s="595"/>
      <c r="AN85" s="595"/>
      <c r="AO85" s="595"/>
      <c r="AP85" s="595"/>
      <c r="AQ85" s="595"/>
      <c r="AR85" s="595"/>
      <c r="AS85" s="595"/>
      <c r="AT85" s="595"/>
      <c r="AU85" s="595"/>
      <c r="AV85" s="595"/>
      <c r="AW85" s="595"/>
      <c r="AX85" s="595"/>
      <c r="AY85" s="595"/>
      <c r="AZ85" s="595"/>
      <c r="BA85" s="595"/>
      <c r="BB85" s="595"/>
      <c r="BC85" s="595"/>
      <c r="BD85" s="595"/>
      <c r="BE85" s="595"/>
      <c r="BF85" s="595"/>
      <c r="BG85" s="595"/>
      <c r="BH85" s="595"/>
      <c r="BI85" s="595"/>
      <c r="BJ85" s="595"/>
      <c r="BK85" s="595"/>
      <c r="BL85" s="595"/>
      <c r="BM85" s="595"/>
      <c r="BN85" s="595"/>
      <c r="BO85" s="595"/>
      <c r="BP85" s="595"/>
      <c r="BQ85" s="595"/>
      <c r="BR85" s="595"/>
      <c r="BS85" s="595"/>
      <c r="BT85" s="595"/>
    </row>
    <row r="86" spans="1:72" s="631" customFormat="1" ht="21.75" customHeight="1" x14ac:dyDescent="0.2">
      <c r="A86" s="608"/>
      <c r="B86" s="633" t="s">
        <v>56</v>
      </c>
      <c r="C86" s="610" t="s">
        <v>126</v>
      </c>
      <c r="D86" s="610" t="s">
        <v>586</v>
      </c>
      <c r="E86" s="611" t="s">
        <v>325</v>
      </c>
      <c r="F86" s="613" t="s">
        <v>325</v>
      </c>
      <c r="G86" s="612">
        <f>SUM(G88)</f>
        <v>11715.54</v>
      </c>
      <c r="H86" s="595"/>
      <c r="I86" s="595"/>
      <c r="J86" s="595"/>
      <c r="K86" s="595"/>
      <c r="L86" s="595"/>
      <c r="M86" s="595"/>
      <c r="N86" s="595"/>
      <c r="O86" s="595"/>
      <c r="P86" s="595"/>
      <c r="Q86" s="595"/>
      <c r="R86" s="595"/>
      <c r="S86" s="595"/>
      <c r="T86" s="595"/>
      <c r="U86" s="595"/>
      <c r="V86" s="595"/>
      <c r="W86" s="595"/>
      <c r="X86" s="595"/>
      <c r="Y86" s="595"/>
      <c r="Z86" s="595"/>
      <c r="AA86" s="595"/>
      <c r="AB86" s="595"/>
      <c r="AC86" s="595"/>
      <c r="AD86" s="595"/>
      <c r="AE86" s="595"/>
      <c r="AF86" s="595"/>
      <c r="AG86" s="595"/>
      <c r="AH86" s="595"/>
      <c r="AI86" s="595"/>
      <c r="AJ86" s="595"/>
      <c r="AK86" s="595"/>
      <c r="AL86" s="595"/>
      <c r="AM86" s="595"/>
      <c r="AN86" s="595"/>
      <c r="AO86" s="595"/>
      <c r="AP86" s="595"/>
      <c r="AQ86" s="595"/>
      <c r="AR86" s="595"/>
      <c r="AS86" s="595"/>
      <c r="AT86" s="595"/>
      <c r="AU86" s="595"/>
      <c r="AV86" s="595"/>
      <c r="AW86" s="595"/>
      <c r="AX86" s="595"/>
      <c r="AY86" s="595"/>
      <c r="AZ86" s="595"/>
      <c r="BA86" s="595"/>
      <c r="BB86" s="595"/>
      <c r="BC86" s="595"/>
      <c r="BD86" s="595"/>
      <c r="BE86" s="595"/>
      <c r="BF86" s="595"/>
      <c r="BG86" s="595"/>
      <c r="BH86" s="595"/>
      <c r="BI86" s="595"/>
      <c r="BJ86" s="595"/>
      <c r="BK86" s="595"/>
      <c r="BL86" s="595"/>
      <c r="BM86" s="595"/>
      <c r="BN86" s="595"/>
      <c r="BO86" s="595"/>
      <c r="BP86" s="595"/>
      <c r="BQ86" s="595"/>
      <c r="BR86" s="595"/>
      <c r="BS86" s="595"/>
      <c r="BT86" s="595"/>
    </row>
    <row r="87" spans="1:72" s="631" customFormat="1" ht="15.75" customHeight="1" x14ac:dyDescent="0.2">
      <c r="A87" s="608"/>
      <c r="B87" s="609"/>
      <c r="C87" s="627"/>
      <c r="D87" s="610"/>
      <c r="E87" s="610"/>
      <c r="F87" s="620"/>
      <c r="G87" s="621"/>
      <c r="H87" s="595"/>
      <c r="I87" s="595"/>
      <c r="J87" s="595"/>
      <c r="K87" s="595"/>
      <c r="L87" s="595"/>
      <c r="M87" s="595"/>
      <c r="N87" s="595"/>
      <c r="O87" s="595"/>
      <c r="P87" s="595"/>
      <c r="Q87" s="595"/>
      <c r="R87" s="595"/>
      <c r="S87" s="595"/>
      <c r="T87" s="595"/>
      <c r="U87" s="595"/>
      <c r="V87" s="595"/>
      <c r="W87" s="595"/>
      <c r="X87" s="595"/>
      <c r="Y87" s="595"/>
      <c r="Z87" s="595"/>
      <c r="AA87" s="595"/>
      <c r="AB87" s="595"/>
      <c r="AC87" s="595"/>
      <c r="AD87" s="595"/>
      <c r="AE87" s="595"/>
      <c r="AF87" s="595"/>
      <c r="AG87" s="595"/>
      <c r="AH87" s="595"/>
      <c r="AI87" s="595"/>
      <c r="AJ87" s="595"/>
      <c r="AK87" s="595"/>
      <c r="AL87" s="595"/>
      <c r="AM87" s="595"/>
      <c r="AN87" s="595"/>
      <c r="AO87" s="595"/>
      <c r="AP87" s="595"/>
      <c r="AQ87" s="595"/>
      <c r="AR87" s="595"/>
      <c r="AS87" s="595"/>
      <c r="AT87" s="595"/>
      <c r="AU87" s="595"/>
      <c r="AV87" s="595"/>
      <c r="AW87" s="595"/>
      <c r="AX87" s="595"/>
      <c r="AY87" s="595"/>
      <c r="AZ87" s="595"/>
      <c r="BA87" s="595"/>
      <c r="BB87" s="595"/>
      <c r="BC87" s="595"/>
      <c r="BD87" s="595"/>
      <c r="BE87" s="595"/>
      <c r="BF87" s="595"/>
      <c r="BG87" s="595"/>
      <c r="BH87" s="595"/>
      <c r="BI87" s="595"/>
      <c r="BJ87" s="595"/>
      <c r="BK87" s="595"/>
      <c r="BL87" s="595"/>
      <c r="BM87" s="595"/>
      <c r="BN87" s="595"/>
      <c r="BO87" s="595"/>
      <c r="BP87" s="595"/>
      <c r="BQ87" s="595"/>
      <c r="BR87" s="595"/>
      <c r="BS87" s="595"/>
      <c r="BT87" s="595"/>
    </row>
    <row r="88" spans="1:72" s="631" customFormat="1" ht="15.75" customHeight="1" x14ac:dyDescent="0.2">
      <c r="A88" s="608"/>
      <c r="B88" s="609"/>
      <c r="C88" s="627"/>
      <c r="D88" s="610"/>
      <c r="E88" s="610"/>
      <c r="F88" s="620"/>
      <c r="G88" s="632">
        <f>SUM(G89)</f>
        <v>11715.54</v>
      </c>
      <c r="H88" s="595"/>
      <c r="I88" s="595"/>
      <c r="J88" s="595"/>
      <c r="K88" s="595"/>
      <c r="L88" s="595"/>
      <c r="M88" s="595"/>
      <c r="N88" s="595"/>
      <c r="O88" s="595"/>
      <c r="P88" s="595"/>
      <c r="Q88" s="595"/>
      <c r="R88" s="595"/>
      <c r="S88" s="595"/>
      <c r="T88" s="595"/>
      <c r="U88" s="595"/>
      <c r="V88" s="595"/>
      <c r="W88" s="595"/>
      <c r="X88" s="595"/>
      <c r="Y88" s="595"/>
      <c r="Z88" s="595"/>
      <c r="AA88" s="595"/>
      <c r="AB88" s="595"/>
      <c r="AC88" s="595"/>
      <c r="AD88" s="595"/>
      <c r="AE88" s="595"/>
      <c r="AF88" s="595"/>
      <c r="AG88" s="595"/>
      <c r="AH88" s="595"/>
      <c r="AI88" s="595"/>
      <c r="AJ88" s="595"/>
      <c r="AK88" s="595"/>
      <c r="AL88" s="595"/>
      <c r="AM88" s="595"/>
      <c r="AN88" s="595"/>
      <c r="AO88" s="595"/>
      <c r="AP88" s="595"/>
      <c r="AQ88" s="595"/>
      <c r="AR88" s="595"/>
      <c r="AS88" s="595"/>
      <c r="AT88" s="595"/>
      <c r="AU88" s="595"/>
      <c r="AV88" s="595"/>
      <c r="AW88" s="595"/>
      <c r="AX88" s="595"/>
      <c r="AY88" s="595"/>
      <c r="AZ88" s="595"/>
      <c r="BA88" s="595"/>
      <c r="BB88" s="595"/>
      <c r="BC88" s="595"/>
      <c r="BD88" s="595"/>
      <c r="BE88" s="595"/>
      <c r="BF88" s="595"/>
      <c r="BG88" s="595"/>
      <c r="BH88" s="595"/>
      <c r="BI88" s="595"/>
      <c r="BJ88" s="595"/>
      <c r="BK88" s="595"/>
      <c r="BL88" s="595"/>
      <c r="BM88" s="595"/>
      <c r="BN88" s="595"/>
      <c r="BO88" s="595"/>
      <c r="BP88" s="595"/>
      <c r="BQ88" s="595"/>
      <c r="BR88" s="595"/>
      <c r="BS88" s="595"/>
      <c r="BT88" s="595"/>
    </row>
    <row r="89" spans="1:72" s="631" customFormat="1" ht="15.75" customHeight="1" x14ac:dyDescent="0.2">
      <c r="A89" s="608"/>
      <c r="B89" s="609"/>
      <c r="C89" s="627"/>
      <c r="D89" s="610"/>
      <c r="E89" s="610" t="s">
        <v>188</v>
      </c>
      <c r="F89" s="620" t="s">
        <v>325</v>
      </c>
      <c r="G89" s="621">
        <f>1182.91+1343.84+1213.79+1344+1300+1344+1300+1344+1343</f>
        <v>11715.54</v>
      </c>
      <c r="H89" s="595"/>
      <c r="I89" s="595"/>
      <c r="J89" s="595"/>
      <c r="K89" s="595"/>
      <c r="L89" s="595"/>
      <c r="M89" s="595"/>
      <c r="N89" s="595"/>
      <c r="O89" s="595"/>
      <c r="P89" s="595"/>
      <c r="Q89" s="595"/>
      <c r="R89" s="595"/>
      <c r="S89" s="595"/>
      <c r="T89" s="595"/>
      <c r="U89" s="595"/>
      <c r="V89" s="595"/>
      <c r="W89" s="595"/>
      <c r="X89" s="595"/>
      <c r="Y89" s="595"/>
      <c r="Z89" s="595"/>
      <c r="AA89" s="595"/>
      <c r="AB89" s="595"/>
      <c r="AC89" s="595"/>
      <c r="AD89" s="595"/>
      <c r="AE89" s="595"/>
      <c r="AF89" s="595"/>
      <c r="AG89" s="595"/>
      <c r="AH89" s="595"/>
      <c r="AI89" s="595"/>
      <c r="AJ89" s="595"/>
      <c r="AK89" s="595"/>
      <c r="AL89" s="595"/>
      <c r="AM89" s="595"/>
      <c r="AN89" s="595"/>
      <c r="AO89" s="595"/>
      <c r="AP89" s="595"/>
      <c r="AQ89" s="595"/>
      <c r="AR89" s="595"/>
      <c r="AS89" s="595"/>
      <c r="AT89" s="595"/>
      <c r="AU89" s="595"/>
      <c r="AV89" s="595"/>
      <c r="AW89" s="595"/>
      <c r="AX89" s="595"/>
      <c r="AY89" s="595"/>
      <c r="AZ89" s="595"/>
      <c r="BA89" s="595"/>
      <c r="BB89" s="595"/>
      <c r="BC89" s="595"/>
      <c r="BD89" s="595"/>
      <c r="BE89" s="595"/>
      <c r="BF89" s="595"/>
      <c r="BG89" s="595"/>
      <c r="BH89" s="595"/>
      <c r="BI89" s="595"/>
      <c r="BJ89" s="595"/>
      <c r="BK89" s="595"/>
      <c r="BL89" s="595"/>
      <c r="BM89" s="595"/>
      <c r="BN89" s="595"/>
      <c r="BO89" s="595"/>
      <c r="BP89" s="595"/>
      <c r="BQ89" s="595"/>
      <c r="BR89" s="595"/>
      <c r="BS89" s="595"/>
      <c r="BT89" s="595"/>
    </row>
    <row r="90" spans="1:72" s="631" customFormat="1" ht="12" customHeight="1" x14ac:dyDescent="0.2">
      <c r="A90" s="608"/>
      <c r="B90" s="609"/>
      <c r="C90" s="627"/>
      <c r="D90" s="610"/>
      <c r="E90" s="611"/>
      <c r="F90" s="613"/>
      <c r="G90" s="625"/>
      <c r="H90" s="595"/>
      <c r="I90" s="595"/>
      <c r="J90" s="595"/>
      <c r="K90" s="595"/>
      <c r="L90" s="595"/>
      <c r="M90" s="595"/>
      <c r="N90" s="595"/>
      <c r="O90" s="595"/>
      <c r="P90" s="595"/>
      <c r="Q90" s="595"/>
      <c r="R90" s="595"/>
      <c r="S90" s="595"/>
      <c r="T90" s="595"/>
      <c r="U90" s="595"/>
      <c r="V90" s="595"/>
      <c r="W90" s="595"/>
      <c r="X90" s="595"/>
      <c r="Y90" s="595"/>
      <c r="Z90" s="595"/>
      <c r="AA90" s="595"/>
      <c r="AB90" s="595"/>
      <c r="AC90" s="595"/>
      <c r="AD90" s="595"/>
      <c r="AE90" s="595"/>
      <c r="AF90" s="595"/>
      <c r="AG90" s="595"/>
      <c r="AH90" s="595"/>
      <c r="AI90" s="595"/>
      <c r="AJ90" s="595"/>
      <c r="AK90" s="595"/>
      <c r="AL90" s="595"/>
      <c r="AM90" s="595"/>
      <c r="AN90" s="595"/>
      <c r="AO90" s="595"/>
      <c r="AP90" s="595"/>
      <c r="AQ90" s="595"/>
      <c r="AR90" s="595"/>
      <c r="AS90" s="595"/>
      <c r="AT90" s="595"/>
      <c r="AU90" s="595"/>
      <c r="AV90" s="595"/>
      <c r="AW90" s="595"/>
      <c r="AX90" s="595"/>
      <c r="AY90" s="595"/>
      <c r="AZ90" s="595"/>
      <c r="BA90" s="595"/>
      <c r="BB90" s="595"/>
      <c r="BC90" s="595"/>
      <c r="BD90" s="595"/>
      <c r="BE90" s="595"/>
      <c r="BF90" s="595"/>
      <c r="BG90" s="595"/>
      <c r="BH90" s="595"/>
      <c r="BI90" s="595"/>
      <c r="BJ90" s="595"/>
      <c r="BK90" s="595"/>
      <c r="BL90" s="595"/>
      <c r="BM90" s="595"/>
      <c r="BN90" s="595"/>
      <c r="BO90" s="595"/>
      <c r="BP90" s="595"/>
      <c r="BQ90" s="595"/>
      <c r="BR90" s="595"/>
      <c r="BS90" s="595"/>
      <c r="BT90" s="595"/>
    </row>
    <row r="91" spans="1:72" s="631" customFormat="1" ht="19.5" customHeight="1" x14ac:dyDescent="0.2">
      <c r="A91" s="608"/>
      <c r="B91" s="633" t="s">
        <v>42</v>
      </c>
      <c r="C91" s="610" t="s">
        <v>126</v>
      </c>
      <c r="D91" s="610" t="s">
        <v>588</v>
      </c>
      <c r="E91" s="611" t="s">
        <v>325</v>
      </c>
      <c r="F91" s="613" t="s">
        <v>325</v>
      </c>
      <c r="G91" s="612">
        <f>SUM(G93)</f>
        <v>87428.5</v>
      </c>
      <c r="H91" s="595"/>
      <c r="I91" s="595"/>
      <c r="J91" s="595"/>
      <c r="K91" s="595"/>
      <c r="L91" s="595"/>
      <c r="M91" s="595"/>
      <c r="N91" s="595"/>
      <c r="O91" s="595"/>
      <c r="P91" s="595"/>
      <c r="Q91" s="595"/>
      <c r="R91" s="595"/>
      <c r="S91" s="595"/>
      <c r="T91" s="595"/>
      <c r="U91" s="595"/>
      <c r="V91" s="595"/>
      <c r="W91" s="595"/>
      <c r="X91" s="595"/>
      <c r="Y91" s="595"/>
      <c r="Z91" s="595"/>
      <c r="AA91" s="595"/>
      <c r="AB91" s="595"/>
      <c r="AC91" s="595"/>
      <c r="AD91" s="595"/>
      <c r="AE91" s="595"/>
      <c r="AF91" s="595"/>
      <c r="AG91" s="595"/>
      <c r="AH91" s="595"/>
      <c r="AI91" s="595"/>
      <c r="AJ91" s="595"/>
      <c r="AK91" s="595"/>
      <c r="AL91" s="595"/>
      <c r="AM91" s="595"/>
      <c r="AN91" s="595"/>
      <c r="AO91" s="595"/>
      <c r="AP91" s="595"/>
      <c r="AQ91" s="595"/>
      <c r="AR91" s="595"/>
      <c r="AS91" s="595"/>
      <c r="AT91" s="595"/>
      <c r="AU91" s="595"/>
      <c r="AV91" s="595"/>
      <c r="AW91" s="595"/>
      <c r="AX91" s="595"/>
      <c r="AY91" s="595"/>
      <c r="AZ91" s="595"/>
      <c r="BA91" s="595"/>
      <c r="BB91" s="595"/>
      <c r="BC91" s="595"/>
      <c r="BD91" s="595"/>
      <c r="BE91" s="595"/>
      <c r="BF91" s="595"/>
      <c r="BG91" s="595"/>
      <c r="BH91" s="595"/>
      <c r="BI91" s="595"/>
      <c r="BJ91" s="595"/>
      <c r="BK91" s="595"/>
      <c r="BL91" s="595"/>
      <c r="BM91" s="595"/>
      <c r="BN91" s="595"/>
      <c r="BO91" s="595"/>
      <c r="BP91" s="595"/>
      <c r="BQ91" s="595"/>
      <c r="BR91" s="595"/>
      <c r="BS91" s="595"/>
      <c r="BT91" s="595"/>
    </row>
    <row r="92" spans="1:72" s="631" customFormat="1" ht="15.75" customHeight="1" x14ac:dyDescent="0.2">
      <c r="A92" s="608"/>
      <c r="B92" s="609"/>
      <c r="C92" s="627"/>
      <c r="D92" s="610"/>
      <c r="E92" s="610"/>
      <c r="F92" s="620"/>
      <c r="G92" s="621"/>
      <c r="H92" s="595"/>
      <c r="I92" s="595"/>
      <c r="J92" s="595"/>
      <c r="K92" s="595"/>
      <c r="L92" s="595"/>
      <c r="M92" s="595"/>
      <c r="N92" s="595"/>
      <c r="O92" s="595"/>
      <c r="P92" s="595"/>
      <c r="Q92" s="595"/>
      <c r="R92" s="595"/>
      <c r="S92" s="595"/>
      <c r="T92" s="595"/>
      <c r="U92" s="595"/>
      <c r="V92" s="595"/>
      <c r="W92" s="595"/>
      <c r="X92" s="595"/>
      <c r="Y92" s="595"/>
      <c r="Z92" s="595"/>
      <c r="AA92" s="595"/>
      <c r="AB92" s="595"/>
      <c r="AC92" s="595"/>
      <c r="AD92" s="595"/>
      <c r="AE92" s="595"/>
      <c r="AF92" s="595"/>
      <c r="AG92" s="595"/>
      <c r="AH92" s="595"/>
      <c r="AI92" s="595"/>
      <c r="AJ92" s="595"/>
      <c r="AK92" s="595"/>
      <c r="AL92" s="595"/>
      <c r="AM92" s="595"/>
      <c r="AN92" s="595"/>
      <c r="AO92" s="595"/>
      <c r="AP92" s="595"/>
      <c r="AQ92" s="595"/>
      <c r="AR92" s="595"/>
      <c r="AS92" s="595"/>
      <c r="AT92" s="595"/>
      <c r="AU92" s="595"/>
      <c r="AV92" s="595"/>
      <c r="AW92" s="595"/>
      <c r="AX92" s="595"/>
      <c r="AY92" s="595"/>
      <c r="AZ92" s="595"/>
      <c r="BA92" s="595"/>
      <c r="BB92" s="595"/>
      <c r="BC92" s="595"/>
      <c r="BD92" s="595"/>
      <c r="BE92" s="595"/>
      <c r="BF92" s="595"/>
      <c r="BG92" s="595"/>
      <c r="BH92" s="595"/>
      <c r="BI92" s="595"/>
      <c r="BJ92" s="595"/>
      <c r="BK92" s="595"/>
      <c r="BL92" s="595"/>
      <c r="BM92" s="595"/>
      <c r="BN92" s="595"/>
      <c r="BO92" s="595"/>
      <c r="BP92" s="595"/>
      <c r="BQ92" s="595"/>
      <c r="BR92" s="595"/>
      <c r="BS92" s="595"/>
      <c r="BT92" s="595"/>
    </row>
    <row r="93" spans="1:72" s="631" customFormat="1" ht="15.75" customHeight="1" x14ac:dyDescent="0.2">
      <c r="A93" s="608"/>
      <c r="B93" s="609"/>
      <c r="C93" s="627"/>
      <c r="D93" s="610"/>
      <c r="E93" s="610"/>
      <c r="F93" s="620"/>
      <c r="G93" s="632">
        <f>SUM(G94:G98)</f>
        <v>87428.5</v>
      </c>
      <c r="H93" s="595"/>
      <c r="I93" s="595"/>
      <c r="J93" s="595"/>
      <c r="K93" s="595"/>
      <c r="L93" s="595"/>
      <c r="M93" s="595"/>
      <c r="N93" s="595"/>
      <c r="O93" s="595"/>
      <c r="P93" s="595"/>
      <c r="Q93" s="595"/>
      <c r="R93" s="595"/>
      <c r="S93" s="595"/>
      <c r="T93" s="595"/>
      <c r="U93" s="595"/>
      <c r="V93" s="595"/>
      <c r="W93" s="595"/>
      <c r="X93" s="595"/>
      <c r="Y93" s="595"/>
      <c r="Z93" s="595"/>
      <c r="AA93" s="595"/>
      <c r="AB93" s="595"/>
      <c r="AC93" s="595"/>
      <c r="AD93" s="595"/>
      <c r="AE93" s="595"/>
      <c r="AF93" s="595"/>
      <c r="AG93" s="595"/>
      <c r="AH93" s="595"/>
      <c r="AI93" s="595"/>
      <c r="AJ93" s="595"/>
      <c r="AK93" s="595"/>
      <c r="AL93" s="595"/>
      <c r="AM93" s="595"/>
      <c r="AN93" s="595"/>
      <c r="AO93" s="595"/>
      <c r="AP93" s="595"/>
      <c r="AQ93" s="595"/>
      <c r="AR93" s="595"/>
      <c r="AS93" s="595"/>
      <c r="AT93" s="595"/>
      <c r="AU93" s="595"/>
      <c r="AV93" s="595"/>
      <c r="AW93" s="595"/>
      <c r="AX93" s="595"/>
      <c r="AY93" s="595"/>
      <c r="AZ93" s="595"/>
      <c r="BA93" s="595"/>
      <c r="BB93" s="595"/>
      <c r="BC93" s="595"/>
      <c r="BD93" s="595"/>
      <c r="BE93" s="595"/>
      <c r="BF93" s="595"/>
      <c r="BG93" s="595"/>
      <c r="BH93" s="595"/>
      <c r="BI93" s="595"/>
      <c r="BJ93" s="595"/>
      <c r="BK93" s="595"/>
      <c r="BL93" s="595"/>
      <c r="BM93" s="595"/>
      <c r="BN93" s="595"/>
      <c r="BO93" s="595"/>
      <c r="BP93" s="595"/>
      <c r="BQ93" s="595"/>
      <c r="BR93" s="595"/>
      <c r="BS93" s="595"/>
      <c r="BT93" s="595"/>
    </row>
    <row r="94" spans="1:72" s="631" customFormat="1" ht="15.75" customHeight="1" x14ac:dyDescent="0.2">
      <c r="A94" s="608"/>
      <c r="B94" s="609"/>
      <c r="C94" s="627"/>
      <c r="D94" s="610"/>
      <c r="E94" s="610" t="s">
        <v>175</v>
      </c>
      <c r="F94" s="620" t="s">
        <v>325</v>
      </c>
      <c r="G94" s="621">
        <f>3162.57+834+6860+8674+20702+8078+11273</f>
        <v>59583.57</v>
      </c>
      <c r="H94" s="595"/>
      <c r="I94" s="595"/>
      <c r="J94" s="595"/>
      <c r="K94" s="595"/>
      <c r="L94" s="595"/>
      <c r="M94" s="595"/>
      <c r="N94" s="595"/>
      <c r="O94" s="595"/>
      <c r="P94" s="595"/>
      <c r="Q94" s="595"/>
      <c r="R94" s="595"/>
      <c r="S94" s="595"/>
      <c r="T94" s="595"/>
      <c r="U94" s="595"/>
      <c r="V94" s="595"/>
      <c r="W94" s="595"/>
      <c r="X94" s="595"/>
      <c r="Y94" s="595"/>
      <c r="Z94" s="595"/>
      <c r="AA94" s="595"/>
      <c r="AB94" s="595"/>
      <c r="AC94" s="595"/>
      <c r="AD94" s="595"/>
      <c r="AE94" s="595"/>
      <c r="AF94" s="595"/>
      <c r="AG94" s="595"/>
      <c r="AH94" s="595"/>
      <c r="AI94" s="595"/>
      <c r="AJ94" s="595"/>
      <c r="AK94" s="595"/>
      <c r="AL94" s="595"/>
      <c r="AM94" s="595"/>
      <c r="AN94" s="595"/>
      <c r="AO94" s="595"/>
      <c r="AP94" s="595"/>
      <c r="AQ94" s="595"/>
      <c r="AR94" s="595"/>
      <c r="AS94" s="595"/>
      <c r="AT94" s="595"/>
      <c r="AU94" s="595"/>
      <c r="AV94" s="595"/>
      <c r="AW94" s="595"/>
      <c r="AX94" s="595"/>
      <c r="AY94" s="595"/>
      <c r="AZ94" s="595"/>
      <c r="BA94" s="595"/>
      <c r="BB94" s="595"/>
      <c r="BC94" s="595"/>
      <c r="BD94" s="595"/>
      <c r="BE94" s="595"/>
      <c r="BF94" s="595"/>
      <c r="BG94" s="595"/>
      <c r="BH94" s="595"/>
      <c r="BI94" s="595"/>
      <c r="BJ94" s="595"/>
      <c r="BK94" s="595"/>
      <c r="BL94" s="595"/>
      <c r="BM94" s="595"/>
      <c r="BN94" s="595"/>
      <c r="BO94" s="595"/>
      <c r="BP94" s="595"/>
      <c r="BQ94" s="595"/>
      <c r="BR94" s="595"/>
      <c r="BS94" s="595"/>
      <c r="BT94" s="595"/>
    </row>
    <row r="95" spans="1:72" s="631" customFormat="1" ht="15.75" customHeight="1" x14ac:dyDescent="0.2">
      <c r="A95" s="608"/>
      <c r="B95" s="609"/>
      <c r="C95" s="627"/>
      <c r="D95" s="610"/>
      <c r="E95" s="610" t="s">
        <v>574</v>
      </c>
      <c r="F95" s="620" t="s">
        <v>325</v>
      </c>
      <c r="G95" s="621">
        <f>1500+2000</f>
        <v>3500</v>
      </c>
      <c r="H95" s="595"/>
      <c r="I95" s="595"/>
      <c r="J95" s="595"/>
      <c r="K95" s="595"/>
      <c r="L95" s="595"/>
      <c r="M95" s="595"/>
      <c r="N95" s="595"/>
      <c r="O95" s="595"/>
      <c r="P95" s="595"/>
      <c r="Q95" s="595"/>
      <c r="R95" s="595"/>
      <c r="S95" s="595"/>
      <c r="T95" s="595"/>
      <c r="U95" s="595"/>
      <c r="V95" s="595"/>
      <c r="W95" s="595"/>
      <c r="X95" s="595"/>
      <c r="Y95" s="595"/>
      <c r="Z95" s="595"/>
      <c r="AA95" s="595"/>
      <c r="AB95" s="595"/>
      <c r="AC95" s="595"/>
      <c r="AD95" s="595"/>
      <c r="AE95" s="595"/>
      <c r="AF95" s="595"/>
      <c r="AG95" s="595"/>
      <c r="AH95" s="595"/>
      <c r="AI95" s="595"/>
      <c r="AJ95" s="595"/>
      <c r="AK95" s="595"/>
      <c r="AL95" s="595"/>
      <c r="AM95" s="595"/>
      <c r="AN95" s="595"/>
      <c r="AO95" s="595"/>
      <c r="AP95" s="595"/>
      <c r="AQ95" s="595"/>
      <c r="AR95" s="595"/>
      <c r="AS95" s="595"/>
      <c r="AT95" s="595"/>
      <c r="AU95" s="595"/>
      <c r="AV95" s="595"/>
      <c r="AW95" s="595"/>
      <c r="AX95" s="595"/>
      <c r="AY95" s="595"/>
      <c r="AZ95" s="595"/>
      <c r="BA95" s="595"/>
      <c r="BB95" s="595"/>
      <c r="BC95" s="595"/>
      <c r="BD95" s="595"/>
      <c r="BE95" s="595"/>
      <c r="BF95" s="595"/>
      <c r="BG95" s="595"/>
      <c r="BH95" s="595"/>
      <c r="BI95" s="595"/>
      <c r="BJ95" s="595"/>
      <c r="BK95" s="595"/>
      <c r="BL95" s="595"/>
      <c r="BM95" s="595"/>
      <c r="BN95" s="595"/>
      <c r="BO95" s="595"/>
      <c r="BP95" s="595"/>
      <c r="BQ95" s="595"/>
      <c r="BR95" s="595"/>
      <c r="BS95" s="595"/>
      <c r="BT95" s="595"/>
    </row>
    <row r="96" spans="1:72" s="631" customFormat="1" ht="15.75" customHeight="1" x14ac:dyDescent="0.2">
      <c r="A96" s="608"/>
      <c r="B96" s="609"/>
      <c r="C96" s="627"/>
      <c r="D96" s="610"/>
      <c r="E96" s="610" t="s">
        <v>587</v>
      </c>
      <c r="F96" s="620" t="s">
        <v>325</v>
      </c>
      <c r="G96" s="621">
        <f>6150.93+6701+6069-9900+6576+1424</f>
        <v>17020.93</v>
      </c>
      <c r="H96" s="595"/>
      <c r="I96" s="595"/>
      <c r="J96" s="595"/>
      <c r="K96" s="595"/>
      <c r="L96" s="595"/>
      <c r="M96" s="595"/>
      <c r="N96" s="595"/>
      <c r="O96" s="595"/>
      <c r="P96" s="595"/>
      <c r="Q96" s="595"/>
      <c r="R96" s="595"/>
      <c r="S96" s="595"/>
      <c r="T96" s="595"/>
      <c r="U96" s="595"/>
      <c r="V96" s="595"/>
      <c r="W96" s="595"/>
      <c r="X96" s="595"/>
      <c r="Y96" s="595"/>
      <c r="Z96" s="595"/>
      <c r="AA96" s="595"/>
      <c r="AB96" s="595"/>
      <c r="AC96" s="595"/>
      <c r="AD96" s="595"/>
      <c r="AE96" s="595"/>
      <c r="AF96" s="595"/>
      <c r="AG96" s="595"/>
      <c r="AH96" s="595"/>
      <c r="AI96" s="595"/>
      <c r="AJ96" s="595"/>
      <c r="AK96" s="595"/>
      <c r="AL96" s="595"/>
      <c r="AM96" s="595"/>
      <c r="AN96" s="595"/>
      <c r="AO96" s="595"/>
      <c r="AP96" s="595"/>
      <c r="AQ96" s="595"/>
      <c r="AR96" s="595"/>
      <c r="AS96" s="595"/>
      <c r="AT96" s="595"/>
      <c r="AU96" s="595"/>
      <c r="AV96" s="595"/>
      <c r="AW96" s="595"/>
      <c r="AX96" s="595"/>
      <c r="AY96" s="595"/>
      <c r="AZ96" s="595"/>
      <c r="BA96" s="595"/>
      <c r="BB96" s="595"/>
      <c r="BC96" s="595"/>
      <c r="BD96" s="595"/>
      <c r="BE96" s="595"/>
      <c r="BF96" s="595"/>
      <c r="BG96" s="595"/>
      <c r="BH96" s="595"/>
      <c r="BI96" s="595"/>
      <c r="BJ96" s="595"/>
      <c r="BK96" s="595"/>
      <c r="BL96" s="595"/>
      <c r="BM96" s="595"/>
      <c r="BN96" s="595"/>
      <c r="BO96" s="595"/>
      <c r="BP96" s="595"/>
      <c r="BQ96" s="595"/>
      <c r="BR96" s="595"/>
      <c r="BS96" s="595"/>
      <c r="BT96" s="595"/>
    </row>
    <row r="97" spans="1:72" s="631" customFormat="1" ht="15.75" customHeight="1" x14ac:dyDescent="0.2">
      <c r="A97" s="608"/>
      <c r="B97" s="609"/>
      <c r="C97" s="627"/>
      <c r="D97" s="610"/>
      <c r="E97" s="610" t="s">
        <v>564</v>
      </c>
      <c r="F97" s="620" t="s">
        <v>325</v>
      </c>
      <c r="G97" s="621">
        <f>1503+1638+1483-2800+1500</f>
        <v>3324</v>
      </c>
      <c r="H97" s="595"/>
      <c r="I97" s="595"/>
      <c r="J97" s="595"/>
      <c r="K97" s="595"/>
      <c r="L97" s="595"/>
      <c r="M97" s="595"/>
      <c r="N97" s="595"/>
      <c r="O97" s="595"/>
      <c r="P97" s="595"/>
      <c r="Q97" s="595"/>
      <c r="R97" s="595"/>
      <c r="S97" s="595"/>
      <c r="T97" s="595"/>
      <c r="U97" s="595"/>
      <c r="V97" s="595"/>
      <c r="W97" s="595"/>
      <c r="X97" s="595"/>
      <c r="Y97" s="595"/>
      <c r="Z97" s="595"/>
      <c r="AA97" s="595"/>
      <c r="AB97" s="595"/>
      <c r="AC97" s="595"/>
      <c r="AD97" s="595"/>
      <c r="AE97" s="595"/>
      <c r="AF97" s="595"/>
      <c r="AG97" s="595"/>
      <c r="AH97" s="595"/>
      <c r="AI97" s="595"/>
      <c r="AJ97" s="595"/>
      <c r="AK97" s="595"/>
      <c r="AL97" s="595"/>
      <c r="AM97" s="595"/>
      <c r="AN97" s="595"/>
      <c r="AO97" s="595"/>
      <c r="AP97" s="595"/>
      <c r="AQ97" s="595"/>
      <c r="AR97" s="595"/>
      <c r="AS97" s="595"/>
      <c r="AT97" s="595"/>
      <c r="AU97" s="595"/>
      <c r="AV97" s="595"/>
      <c r="AW97" s="595"/>
      <c r="AX97" s="595"/>
      <c r="AY97" s="595"/>
      <c r="AZ97" s="595"/>
      <c r="BA97" s="595"/>
      <c r="BB97" s="595"/>
      <c r="BC97" s="595"/>
      <c r="BD97" s="595"/>
      <c r="BE97" s="595"/>
      <c r="BF97" s="595"/>
      <c r="BG97" s="595"/>
      <c r="BH97" s="595"/>
      <c r="BI97" s="595"/>
      <c r="BJ97" s="595"/>
      <c r="BK97" s="595"/>
      <c r="BL97" s="595"/>
      <c r="BM97" s="595"/>
      <c r="BN97" s="595"/>
      <c r="BO97" s="595"/>
      <c r="BP97" s="595"/>
      <c r="BQ97" s="595"/>
      <c r="BR97" s="595"/>
      <c r="BS97" s="595"/>
      <c r="BT97" s="595"/>
    </row>
    <row r="98" spans="1:72" s="631" customFormat="1" ht="15.75" customHeight="1" x14ac:dyDescent="0.2">
      <c r="A98" s="608"/>
      <c r="B98" s="609"/>
      <c r="C98" s="627"/>
      <c r="D98" s="610"/>
      <c r="E98" s="610" t="s">
        <v>576</v>
      </c>
      <c r="F98" s="620" t="s">
        <v>325</v>
      </c>
      <c r="G98" s="621">
        <f>6000-2000</f>
        <v>4000</v>
      </c>
      <c r="H98" s="595"/>
      <c r="I98" s="595"/>
      <c r="J98" s="595"/>
      <c r="K98" s="595"/>
      <c r="L98" s="595"/>
      <c r="M98" s="595"/>
      <c r="N98" s="595"/>
      <c r="O98" s="595"/>
      <c r="P98" s="595"/>
      <c r="Q98" s="595"/>
      <c r="R98" s="595"/>
      <c r="S98" s="595"/>
      <c r="T98" s="595"/>
      <c r="U98" s="595"/>
      <c r="V98" s="595"/>
      <c r="W98" s="595"/>
      <c r="X98" s="595"/>
      <c r="Y98" s="595"/>
      <c r="Z98" s="595"/>
      <c r="AA98" s="595"/>
      <c r="AB98" s="595"/>
      <c r="AC98" s="595"/>
      <c r="AD98" s="595"/>
      <c r="AE98" s="595"/>
      <c r="AF98" s="595"/>
      <c r="AG98" s="595"/>
      <c r="AH98" s="595"/>
      <c r="AI98" s="595"/>
      <c r="AJ98" s="595"/>
      <c r="AK98" s="595"/>
      <c r="AL98" s="595"/>
      <c r="AM98" s="595"/>
      <c r="AN98" s="595"/>
      <c r="AO98" s="595"/>
      <c r="AP98" s="595"/>
      <c r="AQ98" s="595"/>
      <c r="AR98" s="595"/>
      <c r="AS98" s="595"/>
      <c r="AT98" s="595"/>
      <c r="AU98" s="595"/>
      <c r="AV98" s="595"/>
      <c r="AW98" s="595"/>
      <c r="AX98" s="595"/>
      <c r="AY98" s="595"/>
      <c r="AZ98" s="595"/>
      <c r="BA98" s="595"/>
      <c r="BB98" s="595"/>
      <c r="BC98" s="595"/>
      <c r="BD98" s="595"/>
      <c r="BE98" s="595"/>
      <c r="BF98" s="595"/>
      <c r="BG98" s="595"/>
      <c r="BH98" s="595"/>
      <c r="BI98" s="595"/>
      <c r="BJ98" s="595"/>
      <c r="BK98" s="595"/>
      <c r="BL98" s="595"/>
      <c r="BM98" s="595"/>
      <c r="BN98" s="595"/>
      <c r="BO98" s="595"/>
      <c r="BP98" s="595"/>
      <c r="BQ98" s="595"/>
      <c r="BR98" s="595"/>
      <c r="BS98" s="595"/>
      <c r="BT98" s="595"/>
    </row>
    <row r="99" spans="1:72" s="631" customFormat="1" ht="15.75" customHeight="1" x14ac:dyDescent="0.2">
      <c r="A99" s="608"/>
      <c r="B99" s="609"/>
      <c r="C99" s="627"/>
      <c r="D99" s="610"/>
      <c r="E99" s="610"/>
      <c r="F99" s="620"/>
      <c r="G99" s="621"/>
      <c r="H99" s="595"/>
      <c r="I99" s="595"/>
      <c r="J99" s="595"/>
      <c r="K99" s="595"/>
      <c r="L99" s="595"/>
      <c r="M99" s="595"/>
      <c r="N99" s="595"/>
      <c r="O99" s="595"/>
      <c r="P99" s="595"/>
      <c r="Q99" s="595"/>
      <c r="R99" s="595"/>
      <c r="S99" s="595"/>
      <c r="T99" s="595"/>
      <c r="U99" s="595"/>
      <c r="V99" s="595"/>
      <c r="W99" s="595"/>
      <c r="X99" s="595"/>
      <c r="Y99" s="595"/>
      <c r="Z99" s="595"/>
      <c r="AA99" s="595"/>
      <c r="AB99" s="595"/>
      <c r="AC99" s="595"/>
      <c r="AD99" s="595"/>
      <c r="AE99" s="595"/>
      <c r="AF99" s="595"/>
      <c r="AG99" s="595"/>
      <c r="AH99" s="595"/>
      <c r="AI99" s="595"/>
      <c r="AJ99" s="595"/>
      <c r="AK99" s="595"/>
      <c r="AL99" s="595"/>
      <c r="AM99" s="595"/>
      <c r="AN99" s="595"/>
      <c r="AO99" s="595"/>
      <c r="AP99" s="595"/>
      <c r="AQ99" s="595"/>
      <c r="AR99" s="595"/>
      <c r="AS99" s="595"/>
      <c r="AT99" s="595"/>
      <c r="AU99" s="595"/>
      <c r="AV99" s="595"/>
      <c r="AW99" s="595"/>
      <c r="AX99" s="595"/>
      <c r="AY99" s="595"/>
      <c r="AZ99" s="595"/>
      <c r="BA99" s="595"/>
      <c r="BB99" s="595"/>
      <c r="BC99" s="595"/>
      <c r="BD99" s="595"/>
      <c r="BE99" s="595"/>
      <c r="BF99" s="595"/>
      <c r="BG99" s="595"/>
      <c r="BH99" s="595"/>
      <c r="BI99" s="595"/>
      <c r="BJ99" s="595"/>
      <c r="BK99" s="595"/>
      <c r="BL99" s="595"/>
      <c r="BM99" s="595"/>
      <c r="BN99" s="595"/>
      <c r="BO99" s="595"/>
      <c r="BP99" s="595"/>
      <c r="BQ99" s="595"/>
      <c r="BR99" s="595"/>
      <c r="BS99" s="595"/>
      <c r="BT99" s="595"/>
    </row>
    <row r="100" spans="1:72" s="631" customFormat="1" ht="15.75" customHeight="1" x14ac:dyDescent="0.2">
      <c r="A100" s="608"/>
      <c r="B100" s="633" t="s">
        <v>42</v>
      </c>
      <c r="C100" s="610" t="s">
        <v>126</v>
      </c>
      <c r="D100" s="610" t="s">
        <v>589</v>
      </c>
      <c r="E100" s="616" t="s">
        <v>325</v>
      </c>
      <c r="F100" s="617" t="s">
        <v>325</v>
      </c>
      <c r="G100" s="618">
        <f>SUM(G102)</f>
        <v>396030.01</v>
      </c>
      <c r="H100" s="595"/>
      <c r="I100" s="595"/>
      <c r="J100" s="595"/>
      <c r="K100" s="595"/>
      <c r="L100" s="595"/>
      <c r="M100" s="595"/>
      <c r="N100" s="595"/>
      <c r="O100" s="595"/>
      <c r="P100" s="595"/>
      <c r="Q100" s="595"/>
      <c r="R100" s="595"/>
      <c r="S100" s="595"/>
      <c r="T100" s="595"/>
      <c r="U100" s="595"/>
      <c r="V100" s="595"/>
      <c r="W100" s="595"/>
      <c r="X100" s="595"/>
      <c r="Y100" s="595"/>
      <c r="Z100" s="595"/>
      <c r="AA100" s="595"/>
      <c r="AB100" s="595"/>
      <c r="AC100" s="595"/>
      <c r="AD100" s="595"/>
      <c r="AE100" s="595"/>
      <c r="AF100" s="595"/>
      <c r="AG100" s="595"/>
      <c r="AH100" s="595"/>
      <c r="AI100" s="595"/>
      <c r="AJ100" s="595"/>
      <c r="AK100" s="595"/>
      <c r="AL100" s="595"/>
      <c r="AM100" s="595"/>
      <c r="AN100" s="595"/>
      <c r="AO100" s="595"/>
      <c r="AP100" s="595"/>
      <c r="AQ100" s="595"/>
      <c r="AR100" s="595"/>
      <c r="AS100" s="595"/>
      <c r="AT100" s="595"/>
      <c r="AU100" s="595"/>
      <c r="AV100" s="595"/>
      <c r="AW100" s="595"/>
      <c r="AX100" s="595"/>
      <c r="AY100" s="595"/>
      <c r="AZ100" s="595"/>
      <c r="BA100" s="595"/>
      <c r="BB100" s="595"/>
      <c r="BC100" s="595"/>
      <c r="BD100" s="595"/>
      <c r="BE100" s="595"/>
      <c r="BF100" s="595"/>
      <c r="BG100" s="595"/>
      <c r="BH100" s="595"/>
      <c r="BI100" s="595"/>
      <c r="BJ100" s="595"/>
      <c r="BK100" s="595"/>
      <c r="BL100" s="595"/>
      <c r="BM100" s="595"/>
      <c r="BN100" s="595"/>
      <c r="BO100" s="595"/>
      <c r="BP100" s="595"/>
      <c r="BQ100" s="595"/>
      <c r="BR100" s="595"/>
      <c r="BS100" s="595"/>
      <c r="BT100" s="595"/>
    </row>
    <row r="101" spans="1:72" s="631" customFormat="1" ht="15.75" customHeight="1" x14ac:dyDescent="0.2">
      <c r="A101" s="608"/>
      <c r="B101" s="609"/>
      <c r="C101" s="627"/>
      <c r="D101" s="610"/>
      <c r="E101" s="610"/>
      <c r="F101" s="620"/>
      <c r="G101" s="621"/>
      <c r="H101" s="595"/>
      <c r="I101" s="595"/>
      <c r="J101" s="595"/>
      <c r="K101" s="595"/>
      <c r="L101" s="595"/>
      <c r="M101" s="595"/>
      <c r="N101" s="595"/>
      <c r="O101" s="595"/>
      <c r="P101" s="595"/>
      <c r="Q101" s="595"/>
      <c r="R101" s="595"/>
      <c r="S101" s="595"/>
      <c r="T101" s="595"/>
      <c r="U101" s="595"/>
      <c r="V101" s="595"/>
      <c r="W101" s="595"/>
      <c r="X101" s="595"/>
      <c r="Y101" s="595"/>
      <c r="Z101" s="595"/>
      <c r="AA101" s="595"/>
      <c r="AB101" s="595"/>
      <c r="AC101" s="595"/>
      <c r="AD101" s="595"/>
      <c r="AE101" s="595"/>
      <c r="AF101" s="595"/>
      <c r="AG101" s="595"/>
      <c r="AH101" s="595"/>
      <c r="AI101" s="595"/>
      <c r="AJ101" s="595"/>
      <c r="AK101" s="595"/>
      <c r="AL101" s="595"/>
      <c r="AM101" s="595"/>
      <c r="AN101" s="595"/>
      <c r="AO101" s="595"/>
      <c r="AP101" s="595"/>
      <c r="AQ101" s="595"/>
      <c r="AR101" s="595"/>
      <c r="AS101" s="595"/>
      <c r="AT101" s="595"/>
      <c r="AU101" s="595"/>
      <c r="AV101" s="595"/>
      <c r="AW101" s="595"/>
      <c r="AX101" s="595"/>
      <c r="AY101" s="595"/>
      <c r="AZ101" s="595"/>
      <c r="BA101" s="595"/>
      <c r="BB101" s="595"/>
      <c r="BC101" s="595"/>
      <c r="BD101" s="595"/>
      <c r="BE101" s="595"/>
      <c r="BF101" s="595"/>
      <c r="BG101" s="595"/>
      <c r="BH101" s="595"/>
      <c r="BI101" s="595"/>
      <c r="BJ101" s="595"/>
      <c r="BK101" s="595"/>
      <c r="BL101" s="595"/>
      <c r="BM101" s="595"/>
      <c r="BN101" s="595"/>
      <c r="BO101" s="595"/>
      <c r="BP101" s="595"/>
      <c r="BQ101" s="595"/>
      <c r="BR101" s="595"/>
      <c r="BS101" s="595"/>
      <c r="BT101" s="595"/>
    </row>
    <row r="102" spans="1:72" s="631" customFormat="1" ht="15.75" customHeight="1" x14ac:dyDescent="0.2">
      <c r="A102" s="608"/>
      <c r="B102" s="609"/>
      <c r="C102" s="627"/>
      <c r="D102" s="610"/>
      <c r="E102" s="610"/>
      <c r="F102" s="620"/>
      <c r="G102" s="632">
        <f>SUM(G103:G107)</f>
        <v>396030.01</v>
      </c>
      <c r="H102" s="595"/>
      <c r="I102" s="595"/>
      <c r="J102" s="595"/>
      <c r="K102" s="595"/>
      <c r="L102" s="595"/>
      <c r="M102" s="595"/>
      <c r="N102" s="595"/>
      <c r="O102" s="595"/>
      <c r="P102" s="595"/>
      <c r="Q102" s="595"/>
      <c r="R102" s="595"/>
      <c r="S102" s="595"/>
      <c r="T102" s="595"/>
      <c r="U102" s="595"/>
      <c r="V102" s="595"/>
      <c r="W102" s="595"/>
      <c r="X102" s="595"/>
      <c r="Y102" s="595"/>
      <c r="Z102" s="595"/>
      <c r="AA102" s="595"/>
      <c r="AB102" s="595"/>
      <c r="AC102" s="595"/>
      <c r="AD102" s="595"/>
      <c r="AE102" s="595"/>
      <c r="AF102" s="595"/>
      <c r="AG102" s="595"/>
      <c r="AH102" s="595"/>
      <c r="AI102" s="595"/>
      <c r="AJ102" s="595"/>
      <c r="AK102" s="595"/>
      <c r="AL102" s="595"/>
      <c r="AM102" s="595"/>
      <c r="AN102" s="595"/>
      <c r="AO102" s="595"/>
      <c r="AP102" s="595"/>
      <c r="AQ102" s="595"/>
      <c r="AR102" s="595"/>
      <c r="AS102" s="595"/>
      <c r="AT102" s="595"/>
      <c r="AU102" s="595"/>
      <c r="AV102" s="595"/>
      <c r="AW102" s="595"/>
      <c r="AX102" s="595"/>
      <c r="AY102" s="595"/>
      <c r="AZ102" s="595"/>
      <c r="BA102" s="595"/>
      <c r="BB102" s="595"/>
      <c r="BC102" s="595"/>
      <c r="BD102" s="595"/>
      <c r="BE102" s="595"/>
      <c r="BF102" s="595"/>
      <c r="BG102" s="595"/>
      <c r="BH102" s="595"/>
      <c r="BI102" s="595"/>
      <c r="BJ102" s="595"/>
      <c r="BK102" s="595"/>
      <c r="BL102" s="595"/>
      <c r="BM102" s="595"/>
      <c r="BN102" s="595"/>
      <c r="BO102" s="595"/>
      <c r="BP102" s="595"/>
      <c r="BQ102" s="595"/>
      <c r="BR102" s="595"/>
      <c r="BS102" s="595"/>
      <c r="BT102" s="595"/>
    </row>
    <row r="103" spans="1:72" s="631" customFormat="1" ht="15.75" customHeight="1" x14ac:dyDescent="0.2">
      <c r="A103" s="608"/>
      <c r="B103" s="609"/>
      <c r="C103" s="627"/>
      <c r="D103" s="610"/>
      <c r="E103" s="610" t="s">
        <v>175</v>
      </c>
      <c r="F103" s="620" t="s">
        <v>325</v>
      </c>
      <c r="G103" s="621">
        <f>10113.01+72423+47240+48295+46050+50471+36622+25281</f>
        <v>336495.01</v>
      </c>
      <c r="H103" s="595"/>
      <c r="I103" s="595"/>
      <c r="J103" s="595"/>
      <c r="K103" s="595"/>
      <c r="L103" s="595"/>
      <c r="M103" s="595"/>
      <c r="N103" s="595"/>
      <c r="O103" s="595"/>
      <c r="P103" s="595"/>
      <c r="Q103" s="595"/>
      <c r="R103" s="595"/>
      <c r="S103" s="595"/>
      <c r="T103" s="595"/>
      <c r="U103" s="595"/>
      <c r="V103" s="595"/>
      <c r="W103" s="595"/>
      <c r="X103" s="595"/>
      <c r="Y103" s="595"/>
      <c r="Z103" s="595"/>
      <c r="AA103" s="595"/>
      <c r="AB103" s="595"/>
      <c r="AC103" s="595"/>
      <c r="AD103" s="595"/>
      <c r="AE103" s="595"/>
      <c r="AF103" s="595"/>
      <c r="AG103" s="595"/>
      <c r="AH103" s="595"/>
      <c r="AI103" s="595"/>
      <c r="AJ103" s="595"/>
      <c r="AK103" s="595"/>
      <c r="AL103" s="595"/>
      <c r="AM103" s="595"/>
      <c r="AN103" s="595"/>
      <c r="AO103" s="595"/>
      <c r="AP103" s="595"/>
      <c r="AQ103" s="595"/>
      <c r="AR103" s="595"/>
      <c r="AS103" s="595"/>
      <c r="AT103" s="595"/>
      <c r="AU103" s="595"/>
      <c r="AV103" s="595"/>
      <c r="AW103" s="595"/>
      <c r="AX103" s="595"/>
      <c r="AY103" s="595"/>
      <c r="AZ103" s="595"/>
      <c r="BA103" s="595"/>
      <c r="BB103" s="595"/>
      <c r="BC103" s="595"/>
      <c r="BD103" s="595"/>
      <c r="BE103" s="595"/>
      <c r="BF103" s="595"/>
      <c r="BG103" s="595"/>
      <c r="BH103" s="595"/>
      <c r="BI103" s="595"/>
      <c r="BJ103" s="595"/>
      <c r="BK103" s="595"/>
      <c r="BL103" s="595"/>
      <c r="BM103" s="595"/>
      <c r="BN103" s="595"/>
      <c r="BO103" s="595"/>
      <c r="BP103" s="595"/>
      <c r="BQ103" s="595"/>
      <c r="BR103" s="595"/>
      <c r="BS103" s="595"/>
      <c r="BT103" s="595"/>
    </row>
    <row r="104" spans="1:72" s="631" customFormat="1" ht="15.75" customHeight="1" x14ac:dyDescent="0.2">
      <c r="A104" s="608"/>
      <c r="B104" s="609"/>
      <c r="C104" s="627"/>
      <c r="D104" s="610"/>
      <c r="E104" s="610" t="s">
        <v>574</v>
      </c>
      <c r="F104" s="620" t="s">
        <v>325</v>
      </c>
      <c r="G104" s="621">
        <f>5731+100+565</f>
        <v>6396</v>
      </c>
      <c r="H104" s="595"/>
      <c r="I104" s="595"/>
      <c r="J104" s="595"/>
      <c r="K104" s="595"/>
      <c r="L104" s="595"/>
      <c r="M104" s="595"/>
      <c r="N104" s="595"/>
      <c r="O104" s="595"/>
      <c r="P104" s="595"/>
      <c r="Q104" s="595"/>
      <c r="R104" s="595"/>
      <c r="S104" s="595"/>
      <c r="T104" s="595"/>
      <c r="U104" s="595"/>
      <c r="V104" s="595"/>
      <c r="W104" s="595"/>
      <c r="X104" s="595"/>
      <c r="Y104" s="595"/>
      <c r="Z104" s="595"/>
      <c r="AA104" s="595"/>
      <c r="AB104" s="595"/>
      <c r="AC104" s="595"/>
      <c r="AD104" s="595"/>
      <c r="AE104" s="595"/>
      <c r="AF104" s="595"/>
      <c r="AG104" s="595"/>
      <c r="AH104" s="595"/>
      <c r="AI104" s="595"/>
      <c r="AJ104" s="595"/>
      <c r="AK104" s="595"/>
      <c r="AL104" s="595"/>
      <c r="AM104" s="595"/>
      <c r="AN104" s="595"/>
      <c r="AO104" s="595"/>
      <c r="AP104" s="595"/>
      <c r="AQ104" s="595"/>
      <c r="AR104" s="595"/>
      <c r="AS104" s="595"/>
      <c r="AT104" s="595"/>
      <c r="AU104" s="595"/>
      <c r="AV104" s="595"/>
      <c r="AW104" s="595"/>
      <c r="AX104" s="595"/>
      <c r="AY104" s="595"/>
      <c r="AZ104" s="595"/>
      <c r="BA104" s="595"/>
      <c r="BB104" s="595"/>
      <c r="BC104" s="595"/>
      <c r="BD104" s="595"/>
      <c r="BE104" s="595"/>
      <c r="BF104" s="595"/>
      <c r="BG104" s="595"/>
      <c r="BH104" s="595"/>
      <c r="BI104" s="595"/>
      <c r="BJ104" s="595"/>
      <c r="BK104" s="595"/>
      <c r="BL104" s="595"/>
      <c r="BM104" s="595"/>
      <c r="BN104" s="595"/>
      <c r="BO104" s="595"/>
      <c r="BP104" s="595"/>
      <c r="BQ104" s="595"/>
      <c r="BR104" s="595"/>
      <c r="BS104" s="595"/>
      <c r="BT104" s="595"/>
    </row>
    <row r="105" spans="1:72" s="631" customFormat="1" ht="15.75" customHeight="1" x14ac:dyDescent="0.2">
      <c r="A105" s="608"/>
      <c r="B105" s="609"/>
      <c r="C105" s="627"/>
      <c r="D105" s="610"/>
      <c r="E105" s="610" t="s">
        <v>587</v>
      </c>
      <c r="F105" s="620" t="s">
        <v>325</v>
      </c>
      <c r="G105" s="621">
        <f>47074+24851-70679+850</f>
        <v>2096</v>
      </c>
      <c r="H105" s="595"/>
      <c r="I105" s="595"/>
      <c r="J105" s="595"/>
      <c r="K105" s="595"/>
      <c r="L105" s="595"/>
      <c r="M105" s="595"/>
      <c r="N105" s="595"/>
      <c r="O105" s="595"/>
      <c r="P105" s="595"/>
      <c r="Q105" s="595"/>
      <c r="R105" s="595"/>
      <c r="S105" s="595"/>
      <c r="T105" s="595"/>
      <c r="U105" s="595"/>
      <c r="V105" s="595"/>
      <c r="W105" s="595"/>
      <c r="X105" s="595"/>
      <c r="Y105" s="595"/>
      <c r="Z105" s="595"/>
      <c r="AA105" s="595"/>
      <c r="AB105" s="595"/>
      <c r="AC105" s="595"/>
      <c r="AD105" s="595"/>
      <c r="AE105" s="595"/>
      <c r="AF105" s="595"/>
      <c r="AG105" s="595"/>
      <c r="AH105" s="595"/>
      <c r="AI105" s="595"/>
      <c r="AJ105" s="595"/>
      <c r="AK105" s="595"/>
      <c r="AL105" s="595"/>
      <c r="AM105" s="595"/>
      <c r="AN105" s="595"/>
      <c r="AO105" s="595"/>
      <c r="AP105" s="595"/>
      <c r="AQ105" s="595"/>
      <c r="AR105" s="595"/>
      <c r="AS105" s="595"/>
      <c r="AT105" s="595"/>
      <c r="AU105" s="595"/>
      <c r="AV105" s="595"/>
      <c r="AW105" s="595"/>
      <c r="AX105" s="595"/>
      <c r="AY105" s="595"/>
      <c r="AZ105" s="595"/>
      <c r="BA105" s="595"/>
      <c r="BB105" s="595"/>
      <c r="BC105" s="595"/>
      <c r="BD105" s="595"/>
      <c r="BE105" s="595"/>
      <c r="BF105" s="595"/>
      <c r="BG105" s="595"/>
      <c r="BH105" s="595"/>
      <c r="BI105" s="595"/>
      <c r="BJ105" s="595"/>
      <c r="BK105" s="595"/>
      <c r="BL105" s="595"/>
      <c r="BM105" s="595"/>
      <c r="BN105" s="595"/>
      <c r="BO105" s="595"/>
      <c r="BP105" s="595"/>
      <c r="BQ105" s="595"/>
      <c r="BR105" s="595"/>
      <c r="BS105" s="595"/>
      <c r="BT105" s="595"/>
    </row>
    <row r="106" spans="1:72" s="631" customFormat="1" ht="15.75" customHeight="1" x14ac:dyDescent="0.2">
      <c r="A106" s="608"/>
      <c r="B106" s="609"/>
      <c r="C106" s="627"/>
      <c r="D106" s="610"/>
      <c r="E106" s="610" t="s">
        <v>564</v>
      </c>
      <c r="F106" s="620" t="s">
        <v>325</v>
      </c>
      <c r="G106" s="621">
        <f>11505+6071-17227+176</f>
        <v>525</v>
      </c>
      <c r="H106" s="595"/>
      <c r="I106" s="595"/>
      <c r="J106" s="595"/>
      <c r="K106" s="595"/>
      <c r="L106" s="595"/>
      <c r="M106" s="595"/>
      <c r="N106" s="595"/>
      <c r="O106" s="595"/>
      <c r="P106" s="595"/>
      <c r="Q106" s="595"/>
      <c r="R106" s="595"/>
      <c r="S106" s="595"/>
      <c r="T106" s="595"/>
      <c r="U106" s="595"/>
      <c r="V106" s="595"/>
      <c r="W106" s="595"/>
      <c r="X106" s="595"/>
      <c r="Y106" s="595"/>
      <c r="Z106" s="595"/>
      <c r="AA106" s="595"/>
      <c r="AB106" s="595"/>
      <c r="AC106" s="595"/>
      <c r="AD106" s="595"/>
      <c r="AE106" s="595"/>
      <c r="AF106" s="595"/>
      <c r="AG106" s="595"/>
      <c r="AH106" s="595"/>
      <c r="AI106" s="595"/>
      <c r="AJ106" s="595"/>
      <c r="AK106" s="595"/>
      <c r="AL106" s="595"/>
      <c r="AM106" s="595"/>
      <c r="AN106" s="595"/>
      <c r="AO106" s="595"/>
      <c r="AP106" s="595"/>
      <c r="AQ106" s="595"/>
      <c r="AR106" s="595"/>
      <c r="AS106" s="595"/>
      <c r="AT106" s="595"/>
      <c r="AU106" s="595"/>
      <c r="AV106" s="595"/>
      <c r="AW106" s="595"/>
      <c r="AX106" s="595"/>
      <c r="AY106" s="595"/>
      <c r="AZ106" s="595"/>
      <c r="BA106" s="595"/>
      <c r="BB106" s="595"/>
      <c r="BC106" s="595"/>
      <c r="BD106" s="595"/>
      <c r="BE106" s="595"/>
      <c r="BF106" s="595"/>
      <c r="BG106" s="595"/>
      <c r="BH106" s="595"/>
      <c r="BI106" s="595"/>
      <c r="BJ106" s="595"/>
      <c r="BK106" s="595"/>
      <c r="BL106" s="595"/>
      <c r="BM106" s="595"/>
      <c r="BN106" s="595"/>
      <c r="BO106" s="595"/>
      <c r="BP106" s="595"/>
      <c r="BQ106" s="595"/>
      <c r="BR106" s="595"/>
      <c r="BS106" s="595"/>
      <c r="BT106" s="595"/>
    </row>
    <row r="107" spans="1:72" s="631" customFormat="1" ht="15.75" customHeight="1" x14ac:dyDescent="0.2">
      <c r="A107" s="608"/>
      <c r="B107" s="609"/>
      <c r="C107" s="627"/>
      <c r="D107" s="610"/>
      <c r="E107" s="610" t="s">
        <v>576</v>
      </c>
      <c r="F107" s="620" t="s">
        <v>325</v>
      </c>
      <c r="G107" s="621">
        <f>46698+800+3020</f>
        <v>50518</v>
      </c>
      <c r="H107" s="595"/>
      <c r="I107" s="595"/>
      <c r="J107" s="595"/>
      <c r="K107" s="595"/>
      <c r="L107" s="595"/>
      <c r="M107" s="595"/>
      <c r="N107" s="595"/>
      <c r="O107" s="595"/>
      <c r="P107" s="595"/>
      <c r="Q107" s="595"/>
      <c r="R107" s="595"/>
      <c r="S107" s="595"/>
      <c r="T107" s="595"/>
      <c r="U107" s="595"/>
      <c r="V107" s="595"/>
      <c r="W107" s="595"/>
      <c r="X107" s="595"/>
      <c r="Y107" s="595"/>
      <c r="Z107" s="595"/>
      <c r="AA107" s="595"/>
      <c r="AB107" s="595"/>
      <c r="AC107" s="595"/>
      <c r="AD107" s="595"/>
      <c r="AE107" s="595"/>
      <c r="AF107" s="595"/>
      <c r="AG107" s="595"/>
      <c r="AH107" s="595"/>
      <c r="AI107" s="595"/>
      <c r="AJ107" s="595"/>
      <c r="AK107" s="595"/>
      <c r="AL107" s="595"/>
      <c r="AM107" s="595"/>
      <c r="AN107" s="595"/>
      <c r="AO107" s="595"/>
      <c r="AP107" s="595"/>
      <c r="AQ107" s="595"/>
      <c r="AR107" s="595"/>
      <c r="AS107" s="595"/>
      <c r="AT107" s="595"/>
      <c r="AU107" s="595"/>
      <c r="AV107" s="595"/>
      <c r="AW107" s="595"/>
      <c r="AX107" s="595"/>
      <c r="AY107" s="595"/>
      <c r="AZ107" s="595"/>
      <c r="BA107" s="595"/>
      <c r="BB107" s="595"/>
      <c r="BC107" s="595"/>
      <c r="BD107" s="595"/>
      <c r="BE107" s="595"/>
      <c r="BF107" s="595"/>
      <c r="BG107" s="595"/>
      <c r="BH107" s="595"/>
      <c r="BI107" s="595"/>
      <c r="BJ107" s="595"/>
      <c r="BK107" s="595"/>
      <c r="BL107" s="595"/>
      <c r="BM107" s="595"/>
      <c r="BN107" s="595"/>
      <c r="BO107" s="595"/>
      <c r="BP107" s="595"/>
      <c r="BQ107" s="595"/>
      <c r="BR107" s="595"/>
      <c r="BS107" s="595"/>
      <c r="BT107" s="595"/>
    </row>
    <row r="108" spans="1:72" s="631" customFormat="1" ht="10.5" customHeight="1" x14ac:dyDescent="0.2">
      <c r="A108" s="608"/>
      <c r="B108" s="609"/>
      <c r="C108" s="627"/>
      <c r="D108" s="610"/>
      <c r="E108" s="610"/>
      <c r="F108" s="620"/>
      <c r="G108" s="621"/>
      <c r="H108" s="595"/>
      <c r="I108" s="595"/>
      <c r="J108" s="595"/>
      <c r="K108" s="595"/>
      <c r="L108" s="595"/>
      <c r="M108" s="595"/>
      <c r="N108" s="595"/>
      <c r="O108" s="595"/>
      <c r="P108" s="595"/>
      <c r="Q108" s="595"/>
      <c r="R108" s="595"/>
      <c r="S108" s="595"/>
      <c r="T108" s="595"/>
      <c r="U108" s="595"/>
      <c r="V108" s="595"/>
      <c r="W108" s="595"/>
      <c r="X108" s="595"/>
      <c r="Y108" s="595"/>
      <c r="Z108" s="595"/>
      <c r="AA108" s="595"/>
      <c r="AB108" s="595"/>
      <c r="AC108" s="595"/>
      <c r="AD108" s="595"/>
      <c r="AE108" s="595"/>
      <c r="AF108" s="595"/>
      <c r="AG108" s="595"/>
      <c r="AH108" s="595"/>
      <c r="AI108" s="595"/>
      <c r="AJ108" s="595"/>
      <c r="AK108" s="595"/>
      <c r="AL108" s="595"/>
      <c r="AM108" s="595"/>
      <c r="AN108" s="595"/>
      <c r="AO108" s="595"/>
      <c r="AP108" s="595"/>
      <c r="AQ108" s="595"/>
      <c r="AR108" s="595"/>
      <c r="AS108" s="595"/>
      <c r="AT108" s="595"/>
      <c r="AU108" s="595"/>
      <c r="AV108" s="595"/>
      <c r="AW108" s="595"/>
      <c r="AX108" s="595"/>
      <c r="AY108" s="595"/>
      <c r="AZ108" s="595"/>
      <c r="BA108" s="595"/>
      <c r="BB108" s="595"/>
      <c r="BC108" s="595"/>
      <c r="BD108" s="595"/>
      <c r="BE108" s="595"/>
      <c r="BF108" s="595"/>
      <c r="BG108" s="595"/>
      <c r="BH108" s="595"/>
      <c r="BI108" s="595"/>
      <c r="BJ108" s="595"/>
      <c r="BK108" s="595"/>
      <c r="BL108" s="595"/>
      <c r="BM108" s="595"/>
      <c r="BN108" s="595"/>
      <c r="BO108" s="595"/>
      <c r="BP108" s="595"/>
      <c r="BQ108" s="595"/>
      <c r="BR108" s="595"/>
      <c r="BS108" s="595"/>
      <c r="BT108" s="595"/>
    </row>
    <row r="109" spans="1:72" s="631" customFormat="1" ht="15.75" customHeight="1" x14ac:dyDescent="0.2">
      <c r="A109" s="608"/>
      <c r="B109" s="633" t="s">
        <v>56</v>
      </c>
      <c r="C109" s="610" t="s">
        <v>126</v>
      </c>
      <c r="D109" s="610" t="s">
        <v>589</v>
      </c>
      <c r="E109" s="616" t="s">
        <v>325</v>
      </c>
      <c r="F109" s="617" t="s">
        <v>325</v>
      </c>
      <c r="G109" s="618">
        <f>SUM(G111)</f>
        <v>54771.85</v>
      </c>
      <c r="H109" s="595"/>
      <c r="I109" s="595"/>
      <c r="J109" s="595"/>
      <c r="K109" s="595"/>
      <c r="L109" s="595"/>
      <c r="M109" s="595"/>
      <c r="N109" s="595"/>
      <c r="O109" s="595"/>
      <c r="P109" s="595"/>
      <c r="Q109" s="595"/>
      <c r="R109" s="595"/>
      <c r="S109" s="595"/>
      <c r="T109" s="595"/>
      <c r="U109" s="595"/>
      <c r="V109" s="595"/>
      <c r="W109" s="595"/>
      <c r="X109" s="595"/>
      <c r="Y109" s="595"/>
      <c r="Z109" s="595"/>
      <c r="AA109" s="595"/>
      <c r="AB109" s="595"/>
      <c r="AC109" s="595"/>
      <c r="AD109" s="595"/>
      <c r="AE109" s="595"/>
      <c r="AF109" s="595"/>
      <c r="AG109" s="595"/>
      <c r="AH109" s="595"/>
      <c r="AI109" s="595"/>
      <c r="AJ109" s="595"/>
      <c r="AK109" s="595"/>
      <c r="AL109" s="595"/>
      <c r="AM109" s="595"/>
      <c r="AN109" s="595"/>
      <c r="AO109" s="595"/>
      <c r="AP109" s="595"/>
      <c r="AQ109" s="595"/>
      <c r="AR109" s="595"/>
      <c r="AS109" s="595"/>
      <c r="AT109" s="595"/>
      <c r="AU109" s="595"/>
      <c r="AV109" s="595"/>
      <c r="AW109" s="595"/>
      <c r="AX109" s="595"/>
      <c r="AY109" s="595"/>
      <c r="AZ109" s="595"/>
      <c r="BA109" s="595"/>
      <c r="BB109" s="595"/>
      <c r="BC109" s="595"/>
      <c r="BD109" s="595"/>
      <c r="BE109" s="595"/>
      <c r="BF109" s="595"/>
      <c r="BG109" s="595"/>
      <c r="BH109" s="595"/>
      <c r="BI109" s="595"/>
      <c r="BJ109" s="595"/>
      <c r="BK109" s="595"/>
      <c r="BL109" s="595"/>
      <c r="BM109" s="595"/>
      <c r="BN109" s="595"/>
      <c r="BO109" s="595"/>
      <c r="BP109" s="595"/>
      <c r="BQ109" s="595"/>
      <c r="BR109" s="595"/>
      <c r="BS109" s="595"/>
      <c r="BT109" s="595"/>
    </row>
    <row r="110" spans="1:72" s="631" customFormat="1" ht="9.75" customHeight="1" x14ac:dyDescent="0.2">
      <c r="A110" s="608"/>
      <c r="B110" s="609"/>
      <c r="C110" s="627"/>
      <c r="D110" s="610"/>
      <c r="E110" s="610"/>
      <c r="F110" s="620"/>
      <c r="G110" s="621"/>
      <c r="H110" s="595"/>
      <c r="I110" s="595"/>
      <c r="J110" s="595"/>
      <c r="K110" s="595"/>
      <c r="L110" s="595"/>
      <c r="M110" s="595"/>
      <c r="N110" s="595"/>
      <c r="O110" s="595"/>
      <c r="P110" s="595"/>
      <c r="Q110" s="595"/>
      <c r="R110" s="595"/>
      <c r="S110" s="595"/>
      <c r="T110" s="595"/>
      <c r="U110" s="595"/>
      <c r="V110" s="595"/>
      <c r="W110" s="595"/>
      <c r="X110" s="595"/>
      <c r="Y110" s="595"/>
      <c r="Z110" s="595"/>
      <c r="AA110" s="595"/>
      <c r="AB110" s="595"/>
      <c r="AC110" s="595"/>
      <c r="AD110" s="595"/>
      <c r="AE110" s="595"/>
      <c r="AF110" s="595"/>
      <c r="AG110" s="595"/>
      <c r="AH110" s="595"/>
      <c r="AI110" s="595"/>
      <c r="AJ110" s="595"/>
      <c r="AK110" s="595"/>
      <c r="AL110" s="595"/>
      <c r="AM110" s="595"/>
      <c r="AN110" s="595"/>
      <c r="AO110" s="595"/>
      <c r="AP110" s="595"/>
      <c r="AQ110" s="595"/>
      <c r="AR110" s="595"/>
      <c r="AS110" s="595"/>
      <c r="AT110" s="595"/>
      <c r="AU110" s="595"/>
      <c r="AV110" s="595"/>
      <c r="AW110" s="595"/>
      <c r="AX110" s="595"/>
      <c r="AY110" s="595"/>
      <c r="AZ110" s="595"/>
      <c r="BA110" s="595"/>
      <c r="BB110" s="595"/>
      <c r="BC110" s="595"/>
      <c r="BD110" s="595"/>
      <c r="BE110" s="595"/>
      <c r="BF110" s="595"/>
      <c r="BG110" s="595"/>
      <c r="BH110" s="595"/>
      <c r="BI110" s="595"/>
      <c r="BJ110" s="595"/>
      <c r="BK110" s="595"/>
      <c r="BL110" s="595"/>
      <c r="BM110" s="595"/>
      <c r="BN110" s="595"/>
      <c r="BO110" s="595"/>
      <c r="BP110" s="595"/>
      <c r="BQ110" s="595"/>
      <c r="BR110" s="595"/>
      <c r="BS110" s="595"/>
      <c r="BT110" s="595"/>
    </row>
    <row r="111" spans="1:72" s="631" customFormat="1" ht="15.75" customHeight="1" x14ac:dyDescent="0.2">
      <c r="A111" s="608"/>
      <c r="B111" s="609"/>
      <c r="C111" s="627"/>
      <c r="D111" s="610"/>
      <c r="E111" s="610"/>
      <c r="F111" s="620"/>
      <c r="G111" s="632">
        <f>SUM(G112)</f>
        <v>54771.85</v>
      </c>
      <c r="H111" s="595"/>
      <c r="I111" s="595"/>
      <c r="J111" s="595"/>
      <c r="K111" s="595"/>
      <c r="L111" s="595"/>
      <c r="M111" s="595"/>
      <c r="N111" s="595"/>
      <c r="O111" s="595"/>
      <c r="P111" s="595"/>
      <c r="Q111" s="595"/>
      <c r="R111" s="595"/>
      <c r="S111" s="595"/>
      <c r="T111" s="595"/>
      <c r="U111" s="595"/>
      <c r="V111" s="595"/>
      <c r="W111" s="595"/>
      <c r="X111" s="595"/>
      <c r="Y111" s="595"/>
      <c r="Z111" s="595"/>
      <c r="AA111" s="595"/>
      <c r="AB111" s="595"/>
      <c r="AC111" s="595"/>
      <c r="AD111" s="595"/>
      <c r="AE111" s="595"/>
      <c r="AF111" s="595"/>
      <c r="AG111" s="595"/>
      <c r="AH111" s="595"/>
      <c r="AI111" s="595"/>
      <c r="AJ111" s="595"/>
      <c r="AK111" s="595"/>
      <c r="AL111" s="595"/>
      <c r="AM111" s="595"/>
      <c r="AN111" s="595"/>
      <c r="AO111" s="595"/>
      <c r="AP111" s="595"/>
      <c r="AQ111" s="595"/>
      <c r="AR111" s="595"/>
      <c r="AS111" s="595"/>
      <c r="AT111" s="595"/>
      <c r="AU111" s="595"/>
      <c r="AV111" s="595"/>
      <c r="AW111" s="595"/>
      <c r="AX111" s="595"/>
      <c r="AY111" s="595"/>
      <c r="AZ111" s="595"/>
      <c r="BA111" s="595"/>
      <c r="BB111" s="595"/>
      <c r="BC111" s="595"/>
      <c r="BD111" s="595"/>
      <c r="BE111" s="595"/>
      <c r="BF111" s="595"/>
      <c r="BG111" s="595"/>
      <c r="BH111" s="595"/>
      <c r="BI111" s="595"/>
      <c r="BJ111" s="595"/>
      <c r="BK111" s="595"/>
      <c r="BL111" s="595"/>
      <c r="BM111" s="595"/>
      <c r="BN111" s="595"/>
      <c r="BO111" s="595"/>
      <c r="BP111" s="595"/>
      <c r="BQ111" s="595"/>
      <c r="BR111" s="595"/>
      <c r="BS111" s="595"/>
      <c r="BT111" s="595"/>
    </row>
    <row r="112" spans="1:72" s="631" customFormat="1" ht="15.75" customHeight="1" x14ac:dyDescent="0.2">
      <c r="A112" s="608"/>
      <c r="B112" s="609"/>
      <c r="C112" s="627"/>
      <c r="D112" s="610"/>
      <c r="E112" s="610" t="s">
        <v>188</v>
      </c>
      <c r="F112" s="620" t="s">
        <v>325</v>
      </c>
      <c r="G112" s="621">
        <f>10372.44+5081.41+5625+5444+5625+5991+5598+6138+4897</f>
        <v>54771.85</v>
      </c>
      <c r="H112" s="595"/>
      <c r="I112" s="595"/>
      <c r="J112" s="595"/>
      <c r="K112" s="595"/>
      <c r="L112" s="595"/>
      <c r="M112" s="595"/>
      <c r="N112" s="595"/>
      <c r="O112" s="595"/>
      <c r="P112" s="595"/>
      <c r="Q112" s="595"/>
      <c r="R112" s="595"/>
      <c r="S112" s="595"/>
      <c r="T112" s="595"/>
      <c r="U112" s="595"/>
      <c r="V112" s="595"/>
      <c r="W112" s="595"/>
      <c r="X112" s="595"/>
      <c r="Y112" s="595"/>
      <c r="Z112" s="595"/>
      <c r="AA112" s="595"/>
      <c r="AB112" s="595"/>
      <c r="AC112" s="595"/>
      <c r="AD112" s="595"/>
      <c r="AE112" s="595"/>
      <c r="AF112" s="595"/>
      <c r="AG112" s="595"/>
      <c r="AH112" s="595"/>
      <c r="AI112" s="595"/>
      <c r="AJ112" s="595"/>
      <c r="AK112" s="595"/>
      <c r="AL112" s="595"/>
      <c r="AM112" s="595"/>
      <c r="AN112" s="595"/>
      <c r="AO112" s="595"/>
      <c r="AP112" s="595"/>
      <c r="AQ112" s="595"/>
      <c r="AR112" s="595"/>
      <c r="AS112" s="595"/>
      <c r="AT112" s="595"/>
      <c r="AU112" s="595"/>
      <c r="AV112" s="595"/>
      <c r="AW112" s="595"/>
      <c r="AX112" s="595"/>
      <c r="AY112" s="595"/>
      <c r="AZ112" s="595"/>
      <c r="BA112" s="595"/>
      <c r="BB112" s="595"/>
      <c r="BC112" s="595"/>
      <c r="BD112" s="595"/>
      <c r="BE112" s="595"/>
      <c r="BF112" s="595"/>
      <c r="BG112" s="595"/>
      <c r="BH112" s="595"/>
      <c r="BI112" s="595"/>
      <c r="BJ112" s="595"/>
      <c r="BK112" s="595"/>
      <c r="BL112" s="595"/>
      <c r="BM112" s="595"/>
      <c r="BN112" s="595"/>
      <c r="BO112" s="595"/>
      <c r="BP112" s="595"/>
      <c r="BQ112" s="595"/>
      <c r="BR112" s="595"/>
      <c r="BS112" s="595"/>
      <c r="BT112" s="595"/>
    </row>
    <row r="113" spans="1:72" s="631" customFormat="1" ht="12" customHeight="1" x14ac:dyDescent="0.2">
      <c r="A113" s="608"/>
      <c r="B113" s="609"/>
      <c r="C113" s="627"/>
      <c r="D113" s="610"/>
      <c r="E113" s="610"/>
      <c r="F113" s="620"/>
      <c r="G113" s="621"/>
      <c r="H113" s="595"/>
      <c r="I113" s="595"/>
      <c r="J113" s="595"/>
      <c r="K113" s="595"/>
      <c r="L113" s="595"/>
      <c r="M113" s="595"/>
      <c r="N113" s="595"/>
      <c r="O113" s="595"/>
      <c r="P113" s="595"/>
      <c r="Q113" s="595"/>
      <c r="R113" s="595"/>
      <c r="S113" s="595"/>
      <c r="T113" s="595"/>
      <c r="U113" s="595"/>
      <c r="V113" s="595"/>
      <c r="W113" s="595"/>
      <c r="X113" s="595"/>
      <c r="Y113" s="595"/>
      <c r="Z113" s="595"/>
      <c r="AA113" s="595"/>
      <c r="AB113" s="595"/>
      <c r="AC113" s="595"/>
      <c r="AD113" s="595"/>
      <c r="AE113" s="595"/>
      <c r="AF113" s="595"/>
      <c r="AG113" s="595"/>
      <c r="AH113" s="595"/>
      <c r="AI113" s="595"/>
      <c r="AJ113" s="595"/>
      <c r="AK113" s="595"/>
      <c r="AL113" s="595"/>
      <c r="AM113" s="595"/>
      <c r="AN113" s="595"/>
      <c r="AO113" s="595"/>
      <c r="AP113" s="595"/>
      <c r="AQ113" s="595"/>
      <c r="AR113" s="595"/>
      <c r="AS113" s="595"/>
      <c r="AT113" s="595"/>
      <c r="AU113" s="595"/>
      <c r="AV113" s="595"/>
      <c r="AW113" s="595"/>
      <c r="AX113" s="595"/>
      <c r="AY113" s="595"/>
      <c r="AZ113" s="595"/>
      <c r="BA113" s="595"/>
      <c r="BB113" s="595"/>
      <c r="BC113" s="595"/>
      <c r="BD113" s="595"/>
      <c r="BE113" s="595"/>
      <c r="BF113" s="595"/>
      <c r="BG113" s="595"/>
      <c r="BH113" s="595"/>
      <c r="BI113" s="595"/>
      <c r="BJ113" s="595"/>
      <c r="BK113" s="595"/>
      <c r="BL113" s="595"/>
      <c r="BM113" s="595"/>
      <c r="BN113" s="595"/>
      <c r="BO113" s="595"/>
      <c r="BP113" s="595"/>
      <c r="BQ113" s="595"/>
      <c r="BR113" s="595"/>
      <c r="BS113" s="595"/>
      <c r="BT113" s="595"/>
    </row>
    <row r="114" spans="1:72" s="631" customFormat="1" ht="15.75" customHeight="1" x14ac:dyDescent="0.2">
      <c r="A114" s="608"/>
      <c r="B114" s="633" t="s">
        <v>42</v>
      </c>
      <c r="C114" s="610" t="s">
        <v>126</v>
      </c>
      <c r="D114" s="610" t="s">
        <v>590</v>
      </c>
      <c r="E114" s="616" t="s">
        <v>325</v>
      </c>
      <c r="F114" s="617" t="s">
        <v>325</v>
      </c>
      <c r="G114" s="618">
        <f>SUM(G116)</f>
        <v>64055.520000000004</v>
      </c>
      <c r="H114" s="595"/>
      <c r="I114" s="595"/>
      <c r="J114" s="595"/>
      <c r="K114" s="595"/>
      <c r="L114" s="595"/>
      <c r="M114" s="595"/>
      <c r="N114" s="595"/>
      <c r="O114" s="595"/>
      <c r="P114" s="595"/>
      <c r="Q114" s="595"/>
      <c r="R114" s="595"/>
      <c r="S114" s="595"/>
      <c r="T114" s="595"/>
      <c r="U114" s="595"/>
      <c r="V114" s="595"/>
      <c r="W114" s="595"/>
      <c r="X114" s="595"/>
      <c r="Y114" s="595"/>
      <c r="Z114" s="595"/>
      <c r="AA114" s="595"/>
      <c r="AB114" s="595"/>
      <c r="AC114" s="595"/>
      <c r="AD114" s="595"/>
      <c r="AE114" s="595"/>
      <c r="AF114" s="595"/>
      <c r="AG114" s="595"/>
      <c r="AH114" s="595"/>
      <c r="AI114" s="595"/>
      <c r="AJ114" s="595"/>
      <c r="AK114" s="595"/>
      <c r="AL114" s="595"/>
      <c r="AM114" s="595"/>
      <c r="AN114" s="595"/>
      <c r="AO114" s="595"/>
      <c r="AP114" s="595"/>
      <c r="AQ114" s="595"/>
      <c r="AR114" s="595"/>
      <c r="AS114" s="595"/>
      <c r="AT114" s="595"/>
      <c r="AU114" s="595"/>
      <c r="AV114" s="595"/>
      <c r="AW114" s="595"/>
      <c r="AX114" s="595"/>
      <c r="AY114" s="595"/>
      <c r="AZ114" s="595"/>
      <c r="BA114" s="595"/>
      <c r="BB114" s="595"/>
      <c r="BC114" s="595"/>
      <c r="BD114" s="595"/>
      <c r="BE114" s="595"/>
      <c r="BF114" s="595"/>
      <c r="BG114" s="595"/>
      <c r="BH114" s="595"/>
      <c r="BI114" s="595"/>
      <c r="BJ114" s="595"/>
      <c r="BK114" s="595"/>
      <c r="BL114" s="595"/>
      <c r="BM114" s="595"/>
      <c r="BN114" s="595"/>
      <c r="BO114" s="595"/>
      <c r="BP114" s="595"/>
      <c r="BQ114" s="595"/>
      <c r="BR114" s="595"/>
      <c r="BS114" s="595"/>
      <c r="BT114" s="595"/>
    </row>
    <row r="115" spans="1:72" s="631" customFormat="1" ht="12" customHeight="1" x14ac:dyDescent="0.2">
      <c r="A115" s="608"/>
      <c r="B115" s="609"/>
      <c r="C115" s="627"/>
      <c r="D115" s="610"/>
      <c r="E115" s="610"/>
      <c r="F115" s="620"/>
      <c r="G115" s="621"/>
      <c r="H115" s="595"/>
      <c r="I115" s="595"/>
      <c r="J115" s="595"/>
      <c r="K115" s="595"/>
      <c r="L115" s="595"/>
      <c r="M115" s="595"/>
      <c r="N115" s="595"/>
      <c r="O115" s="595"/>
      <c r="P115" s="595"/>
      <c r="Q115" s="595"/>
      <c r="R115" s="595"/>
      <c r="S115" s="595"/>
      <c r="T115" s="595"/>
      <c r="U115" s="595"/>
      <c r="V115" s="595"/>
      <c r="W115" s="595"/>
      <c r="X115" s="595"/>
      <c r="Y115" s="595"/>
      <c r="Z115" s="595"/>
      <c r="AA115" s="595"/>
      <c r="AB115" s="595"/>
      <c r="AC115" s="595"/>
      <c r="AD115" s="595"/>
      <c r="AE115" s="595"/>
      <c r="AF115" s="595"/>
      <c r="AG115" s="595"/>
      <c r="AH115" s="595"/>
      <c r="AI115" s="595"/>
      <c r="AJ115" s="595"/>
      <c r="AK115" s="595"/>
      <c r="AL115" s="595"/>
      <c r="AM115" s="595"/>
      <c r="AN115" s="595"/>
      <c r="AO115" s="595"/>
      <c r="AP115" s="595"/>
      <c r="AQ115" s="595"/>
      <c r="AR115" s="595"/>
      <c r="AS115" s="595"/>
      <c r="AT115" s="595"/>
      <c r="AU115" s="595"/>
      <c r="AV115" s="595"/>
      <c r="AW115" s="595"/>
      <c r="AX115" s="595"/>
      <c r="AY115" s="595"/>
      <c r="AZ115" s="595"/>
      <c r="BA115" s="595"/>
      <c r="BB115" s="595"/>
      <c r="BC115" s="595"/>
      <c r="BD115" s="595"/>
      <c r="BE115" s="595"/>
      <c r="BF115" s="595"/>
      <c r="BG115" s="595"/>
      <c r="BH115" s="595"/>
      <c r="BI115" s="595"/>
      <c r="BJ115" s="595"/>
      <c r="BK115" s="595"/>
      <c r="BL115" s="595"/>
      <c r="BM115" s="595"/>
      <c r="BN115" s="595"/>
      <c r="BO115" s="595"/>
      <c r="BP115" s="595"/>
      <c r="BQ115" s="595"/>
      <c r="BR115" s="595"/>
      <c r="BS115" s="595"/>
      <c r="BT115" s="595"/>
    </row>
    <row r="116" spans="1:72" s="631" customFormat="1" ht="15.75" customHeight="1" x14ac:dyDescent="0.2">
      <c r="A116" s="608"/>
      <c r="B116" s="609"/>
      <c r="C116" s="627"/>
      <c r="D116" s="610"/>
      <c r="E116" s="610"/>
      <c r="F116" s="620"/>
      <c r="G116" s="632">
        <f>SUM(G117:G121)</f>
        <v>64055.520000000004</v>
      </c>
      <c r="H116" s="595"/>
      <c r="I116" s="595"/>
      <c r="J116" s="595"/>
      <c r="K116" s="595"/>
      <c r="L116" s="595"/>
      <c r="M116" s="595"/>
      <c r="N116" s="595"/>
      <c r="O116" s="595"/>
      <c r="P116" s="595"/>
      <c r="Q116" s="595"/>
      <c r="R116" s="595"/>
      <c r="S116" s="595"/>
      <c r="T116" s="595"/>
      <c r="U116" s="595"/>
      <c r="V116" s="595"/>
      <c r="W116" s="595"/>
      <c r="X116" s="595"/>
      <c r="Y116" s="595"/>
      <c r="Z116" s="595"/>
      <c r="AA116" s="595"/>
      <c r="AB116" s="595"/>
      <c r="AC116" s="595"/>
      <c r="AD116" s="595"/>
      <c r="AE116" s="595"/>
      <c r="AF116" s="595"/>
      <c r="AG116" s="595"/>
      <c r="AH116" s="595"/>
      <c r="AI116" s="595"/>
      <c r="AJ116" s="595"/>
      <c r="AK116" s="595"/>
      <c r="AL116" s="595"/>
      <c r="AM116" s="595"/>
      <c r="AN116" s="595"/>
      <c r="AO116" s="595"/>
      <c r="AP116" s="595"/>
      <c r="AQ116" s="595"/>
      <c r="AR116" s="595"/>
      <c r="AS116" s="595"/>
      <c r="AT116" s="595"/>
      <c r="AU116" s="595"/>
      <c r="AV116" s="595"/>
      <c r="AW116" s="595"/>
      <c r="AX116" s="595"/>
      <c r="AY116" s="595"/>
      <c r="AZ116" s="595"/>
      <c r="BA116" s="595"/>
      <c r="BB116" s="595"/>
      <c r="BC116" s="595"/>
      <c r="BD116" s="595"/>
      <c r="BE116" s="595"/>
      <c r="BF116" s="595"/>
      <c r="BG116" s="595"/>
      <c r="BH116" s="595"/>
      <c r="BI116" s="595"/>
      <c r="BJ116" s="595"/>
      <c r="BK116" s="595"/>
      <c r="BL116" s="595"/>
      <c r="BM116" s="595"/>
      <c r="BN116" s="595"/>
      <c r="BO116" s="595"/>
      <c r="BP116" s="595"/>
      <c r="BQ116" s="595"/>
      <c r="BR116" s="595"/>
      <c r="BS116" s="595"/>
      <c r="BT116" s="595"/>
    </row>
    <row r="117" spans="1:72" s="631" customFormat="1" ht="15.75" customHeight="1" x14ac:dyDescent="0.2">
      <c r="A117" s="608"/>
      <c r="B117" s="609"/>
      <c r="C117" s="627"/>
      <c r="D117" s="610"/>
      <c r="E117" s="610" t="s">
        <v>175</v>
      </c>
      <c r="F117" s="620" t="s">
        <v>325</v>
      </c>
      <c r="G117" s="621">
        <f>696.52+7770+6552+6770+21746+6770+4770+6268</f>
        <v>61342.520000000004</v>
      </c>
      <c r="H117" s="595"/>
      <c r="I117" s="595"/>
      <c r="J117" s="595"/>
      <c r="K117" s="595"/>
      <c r="L117" s="595"/>
      <c r="M117" s="595"/>
      <c r="N117" s="595"/>
      <c r="O117" s="595"/>
      <c r="P117" s="595"/>
      <c r="Q117" s="595"/>
      <c r="R117" s="595"/>
      <c r="S117" s="595"/>
      <c r="T117" s="595"/>
      <c r="U117" s="595"/>
      <c r="V117" s="595"/>
      <c r="W117" s="595"/>
      <c r="X117" s="595"/>
      <c r="Y117" s="595"/>
      <c r="Z117" s="595"/>
      <c r="AA117" s="595"/>
      <c r="AB117" s="595"/>
      <c r="AC117" s="595"/>
      <c r="AD117" s="595"/>
      <c r="AE117" s="595"/>
      <c r="AF117" s="595"/>
      <c r="AG117" s="595"/>
      <c r="AH117" s="595"/>
      <c r="AI117" s="595"/>
      <c r="AJ117" s="595"/>
      <c r="AK117" s="595"/>
      <c r="AL117" s="595"/>
      <c r="AM117" s="595"/>
      <c r="AN117" s="595"/>
      <c r="AO117" s="595"/>
      <c r="AP117" s="595"/>
      <c r="AQ117" s="595"/>
      <c r="AR117" s="595"/>
      <c r="AS117" s="595"/>
      <c r="AT117" s="595"/>
      <c r="AU117" s="595"/>
      <c r="AV117" s="595"/>
      <c r="AW117" s="595"/>
      <c r="AX117" s="595"/>
      <c r="AY117" s="595"/>
      <c r="AZ117" s="595"/>
      <c r="BA117" s="595"/>
      <c r="BB117" s="595"/>
      <c r="BC117" s="595"/>
      <c r="BD117" s="595"/>
      <c r="BE117" s="595"/>
      <c r="BF117" s="595"/>
      <c r="BG117" s="595"/>
      <c r="BH117" s="595"/>
      <c r="BI117" s="595"/>
      <c r="BJ117" s="595"/>
      <c r="BK117" s="595"/>
      <c r="BL117" s="595"/>
      <c r="BM117" s="595"/>
      <c r="BN117" s="595"/>
      <c r="BO117" s="595"/>
      <c r="BP117" s="595"/>
      <c r="BQ117" s="595"/>
      <c r="BR117" s="595"/>
      <c r="BS117" s="595"/>
      <c r="BT117" s="595"/>
    </row>
    <row r="118" spans="1:72" s="631" customFormat="1" ht="15.75" customHeight="1" x14ac:dyDescent="0.2">
      <c r="A118" s="608"/>
      <c r="B118" s="609"/>
      <c r="C118" s="627"/>
      <c r="D118" s="610"/>
      <c r="E118" s="610" t="s">
        <v>574</v>
      </c>
      <c r="F118" s="620" t="s">
        <v>325</v>
      </c>
      <c r="G118" s="621">
        <f>713+700</f>
        <v>1413</v>
      </c>
      <c r="H118" s="595"/>
      <c r="I118" s="595"/>
      <c r="J118" s="595"/>
      <c r="K118" s="595"/>
      <c r="L118" s="595"/>
      <c r="M118" s="595"/>
      <c r="N118" s="595"/>
      <c r="O118" s="595"/>
      <c r="P118" s="595"/>
      <c r="Q118" s="595"/>
      <c r="R118" s="595"/>
      <c r="S118" s="595"/>
      <c r="T118" s="595"/>
      <c r="U118" s="595"/>
      <c r="V118" s="595"/>
      <c r="W118" s="595"/>
      <c r="X118" s="595"/>
      <c r="Y118" s="595"/>
      <c r="Z118" s="595"/>
      <c r="AA118" s="595"/>
      <c r="AB118" s="595"/>
      <c r="AC118" s="595"/>
      <c r="AD118" s="595"/>
      <c r="AE118" s="595"/>
      <c r="AF118" s="595"/>
      <c r="AG118" s="595"/>
      <c r="AH118" s="595"/>
      <c r="AI118" s="595"/>
      <c r="AJ118" s="595"/>
      <c r="AK118" s="595"/>
      <c r="AL118" s="595"/>
      <c r="AM118" s="595"/>
      <c r="AN118" s="595"/>
      <c r="AO118" s="595"/>
      <c r="AP118" s="595"/>
      <c r="AQ118" s="595"/>
      <c r="AR118" s="595"/>
      <c r="AS118" s="595"/>
      <c r="AT118" s="595"/>
      <c r="AU118" s="595"/>
      <c r="AV118" s="595"/>
      <c r="AW118" s="595"/>
      <c r="AX118" s="595"/>
      <c r="AY118" s="595"/>
      <c r="AZ118" s="595"/>
      <c r="BA118" s="595"/>
      <c r="BB118" s="595"/>
      <c r="BC118" s="595"/>
      <c r="BD118" s="595"/>
      <c r="BE118" s="595"/>
      <c r="BF118" s="595"/>
      <c r="BG118" s="595"/>
      <c r="BH118" s="595"/>
      <c r="BI118" s="595"/>
      <c r="BJ118" s="595"/>
      <c r="BK118" s="595"/>
      <c r="BL118" s="595"/>
      <c r="BM118" s="595"/>
      <c r="BN118" s="595"/>
      <c r="BO118" s="595"/>
      <c r="BP118" s="595"/>
      <c r="BQ118" s="595"/>
      <c r="BR118" s="595"/>
      <c r="BS118" s="595"/>
      <c r="BT118" s="595"/>
    </row>
    <row r="119" spans="1:72" s="631" customFormat="1" ht="15.75" customHeight="1" x14ac:dyDescent="0.2">
      <c r="A119" s="608"/>
      <c r="B119" s="609"/>
      <c r="C119" s="627"/>
      <c r="D119" s="610"/>
      <c r="E119" s="610" t="s">
        <v>587</v>
      </c>
      <c r="F119" s="620" t="s">
        <v>325</v>
      </c>
      <c r="G119" s="621">
        <f>4416+5864+4914-15194</f>
        <v>0</v>
      </c>
      <c r="H119" s="595"/>
      <c r="I119" s="595"/>
      <c r="J119" s="595"/>
      <c r="K119" s="595"/>
      <c r="L119" s="595"/>
      <c r="M119" s="595"/>
      <c r="N119" s="595"/>
      <c r="O119" s="595"/>
      <c r="P119" s="595"/>
      <c r="Q119" s="595"/>
      <c r="R119" s="595"/>
      <c r="S119" s="595"/>
      <c r="T119" s="595"/>
      <c r="U119" s="595"/>
      <c r="V119" s="595"/>
      <c r="W119" s="595"/>
      <c r="X119" s="595"/>
      <c r="Y119" s="595"/>
      <c r="Z119" s="595"/>
      <c r="AA119" s="595"/>
      <c r="AB119" s="595"/>
      <c r="AC119" s="595"/>
      <c r="AD119" s="595"/>
      <c r="AE119" s="595"/>
      <c r="AF119" s="595"/>
      <c r="AG119" s="595"/>
      <c r="AH119" s="595"/>
      <c r="AI119" s="595"/>
      <c r="AJ119" s="595"/>
      <c r="AK119" s="595"/>
      <c r="AL119" s="595"/>
      <c r="AM119" s="595"/>
      <c r="AN119" s="595"/>
      <c r="AO119" s="595"/>
      <c r="AP119" s="595"/>
      <c r="AQ119" s="595"/>
      <c r="AR119" s="595"/>
      <c r="AS119" s="595"/>
      <c r="AT119" s="595"/>
      <c r="AU119" s="595"/>
      <c r="AV119" s="595"/>
      <c r="AW119" s="595"/>
      <c r="AX119" s="595"/>
      <c r="AY119" s="595"/>
      <c r="AZ119" s="595"/>
      <c r="BA119" s="595"/>
      <c r="BB119" s="595"/>
      <c r="BC119" s="595"/>
      <c r="BD119" s="595"/>
      <c r="BE119" s="595"/>
      <c r="BF119" s="595"/>
      <c r="BG119" s="595"/>
      <c r="BH119" s="595"/>
      <c r="BI119" s="595"/>
      <c r="BJ119" s="595"/>
      <c r="BK119" s="595"/>
      <c r="BL119" s="595"/>
      <c r="BM119" s="595"/>
      <c r="BN119" s="595"/>
      <c r="BO119" s="595"/>
      <c r="BP119" s="595"/>
      <c r="BQ119" s="595"/>
      <c r="BR119" s="595"/>
      <c r="BS119" s="595"/>
      <c r="BT119" s="595"/>
    </row>
    <row r="120" spans="1:72" s="631" customFormat="1" ht="15.75" customHeight="1" x14ac:dyDescent="0.2">
      <c r="A120" s="608"/>
      <c r="B120" s="609"/>
      <c r="C120" s="627"/>
      <c r="D120" s="610"/>
      <c r="E120" s="610" t="s">
        <v>564</v>
      </c>
      <c r="F120" s="620" t="s">
        <v>325</v>
      </c>
      <c r="G120" s="621">
        <f>1079+1433+1201-3713</f>
        <v>0</v>
      </c>
      <c r="H120" s="595"/>
      <c r="I120" s="595"/>
      <c r="J120" s="595"/>
      <c r="K120" s="595"/>
      <c r="L120" s="595"/>
      <c r="M120" s="595"/>
      <c r="N120" s="595"/>
      <c r="O120" s="595"/>
      <c r="P120" s="595"/>
      <c r="Q120" s="595"/>
      <c r="R120" s="595"/>
      <c r="S120" s="595"/>
      <c r="T120" s="595"/>
      <c r="U120" s="595"/>
      <c r="V120" s="595"/>
      <c r="W120" s="595"/>
      <c r="X120" s="595"/>
      <c r="Y120" s="595"/>
      <c r="Z120" s="595"/>
      <c r="AA120" s="595"/>
      <c r="AB120" s="595"/>
      <c r="AC120" s="595"/>
      <c r="AD120" s="595"/>
      <c r="AE120" s="595"/>
      <c r="AF120" s="595"/>
      <c r="AG120" s="595"/>
      <c r="AH120" s="595"/>
      <c r="AI120" s="595"/>
      <c r="AJ120" s="595"/>
      <c r="AK120" s="595"/>
      <c r="AL120" s="595"/>
      <c r="AM120" s="595"/>
      <c r="AN120" s="595"/>
      <c r="AO120" s="595"/>
      <c r="AP120" s="595"/>
      <c r="AQ120" s="595"/>
      <c r="AR120" s="595"/>
      <c r="AS120" s="595"/>
      <c r="AT120" s="595"/>
      <c r="AU120" s="595"/>
      <c r="AV120" s="595"/>
      <c r="AW120" s="595"/>
      <c r="AX120" s="595"/>
      <c r="AY120" s="595"/>
      <c r="AZ120" s="595"/>
      <c r="BA120" s="595"/>
      <c r="BB120" s="595"/>
      <c r="BC120" s="595"/>
      <c r="BD120" s="595"/>
      <c r="BE120" s="595"/>
      <c r="BF120" s="595"/>
      <c r="BG120" s="595"/>
      <c r="BH120" s="595"/>
      <c r="BI120" s="595"/>
      <c r="BJ120" s="595"/>
      <c r="BK120" s="595"/>
      <c r="BL120" s="595"/>
      <c r="BM120" s="595"/>
      <c r="BN120" s="595"/>
      <c r="BO120" s="595"/>
      <c r="BP120" s="595"/>
      <c r="BQ120" s="595"/>
      <c r="BR120" s="595"/>
      <c r="BS120" s="595"/>
      <c r="BT120" s="595"/>
    </row>
    <row r="121" spans="1:72" s="631" customFormat="1" ht="15.75" customHeight="1" x14ac:dyDescent="0.2">
      <c r="A121" s="608"/>
      <c r="B121" s="609"/>
      <c r="C121" s="627"/>
      <c r="D121" s="610"/>
      <c r="E121" s="610" t="s">
        <v>576</v>
      </c>
      <c r="F121" s="620" t="s">
        <v>325</v>
      </c>
      <c r="G121" s="621">
        <f>2000-700</f>
        <v>1300</v>
      </c>
      <c r="H121" s="595"/>
      <c r="I121" s="595"/>
      <c r="J121" s="595"/>
      <c r="K121" s="595"/>
      <c r="L121" s="595"/>
      <c r="M121" s="595"/>
      <c r="N121" s="595"/>
      <c r="O121" s="595"/>
      <c r="P121" s="595"/>
      <c r="Q121" s="595"/>
      <c r="R121" s="595"/>
      <c r="S121" s="595"/>
      <c r="T121" s="595"/>
      <c r="U121" s="595"/>
      <c r="V121" s="595"/>
      <c r="W121" s="595"/>
      <c r="X121" s="595"/>
      <c r="Y121" s="595"/>
      <c r="Z121" s="595"/>
      <c r="AA121" s="595"/>
      <c r="AB121" s="595"/>
      <c r="AC121" s="595"/>
      <c r="AD121" s="595"/>
      <c r="AE121" s="595"/>
      <c r="AF121" s="595"/>
      <c r="AG121" s="595"/>
      <c r="AH121" s="595"/>
      <c r="AI121" s="595"/>
      <c r="AJ121" s="595"/>
      <c r="AK121" s="595"/>
      <c r="AL121" s="595"/>
      <c r="AM121" s="595"/>
      <c r="AN121" s="595"/>
      <c r="AO121" s="595"/>
      <c r="AP121" s="595"/>
      <c r="AQ121" s="595"/>
      <c r="AR121" s="595"/>
      <c r="AS121" s="595"/>
      <c r="AT121" s="595"/>
      <c r="AU121" s="595"/>
      <c r="AV121" s="595"/>
      <c r="AW121" s="595"/>
      <c r="AX121" s="595"/>
      <c r="AY121" s="595"/>
      <c r="AZ121" s="595"/>
      <c r="BA121" s="595"/>
      <c r="BB121" s="595"/>
      <c r="BC121" s="595"/>
      <c r="BD121" s="595"/>
      <c r="BE121" s="595"/>
      <c r="BF121" s="595"/>
      <c r="BG121" s="595"/>
      <c r="BH121" s="595"/>
      <c r="BI121" s="595"/>
      <c r="BJ121" s="595"/>
      <c r="BK121" s="595"/>
      <c r="BL121" s="595"/>
      <c r="BM121" s="595"/>
      <c r="BN121" s="595"/>
      <c r="BO121" s="595"/>
      <c r="BP121" s="595"/>
      <c r="BQ121" s="595"/>
      <c r="BR121" s="595"/>
      <c r="BS121" s="595"/>
      <c r="BT121" s="595"/>
    </row>
    <row r="122" spans="1:72" s="631" customFormat="1" ht="15.75" customHeight="1" x14ac:dyDescent="0.2">
      <c r="A122" s="608"/>
      <c r="B122" s="609"/>
      <c r="C122" s="627"/>
      <c r="D122" s="610"/>
      <c r="E122" s="610"/>
      <c r="F122" s="620"/>
      <c r="G122" s="621"/>
      <c r="H122" s="595"/>
      <c r="I122" s="595"/>
      <c r="J122" s="595"/>
      <c r="K122" s="595"/>
      <c r="L122" s="595"/>
      <c r="M122" s="595"/>
      <c r="N122" s="595"/>
      <c r="O122" s="595"/>
      <c r="P122" s="595"/>
      <c r="Q122" s="595"/>
      <c r="R122" s="595"/>
      <c r="S122" s="595"/>
      <c r="T122" s="595"/>
      <c r="U122" s="595"/>
      <c r="V122" s="595"/>
      <c r="W122" s="595"/>
      <c r="X122" s="595"/>
      <c r="Y122" s="595"/>
      <c r="Z122" s="595"/>
      <c r="AA122" s="595"/>
      <c r="AB122" s="595"/>
      <c r="AC122" s="595"/>
      <c r="AD122" s="595"/>
      <c r="AE122" s="595"/>
      <c r="AF122" s="595"/>
      <c r="AG122" s="595"/>
      <c r="AH122" s="595"/>
      <c r="AI122" s="595"/>
      <c r="AJ122" s="595"/>
      <c r="AK122" s="595"/>
      <c r="AL122" s="595"/>
      <c r="AM122" s="595"/>
      <c r="AN122" s="595"/>
      <c r="AO122" s="595"/>
      <c r="AP122" s="595"/>
      <c r="AQ122" s="595"/>
      <c r="AR122" s="595"/>
      <c r="AS122" s="595"/>
      <c r="AT122" s="595"/>
      <c r="AU122" s="595"/>
      <c r="AV122" s="595"/>
      <c r="AW122" s="595"/>
      <c r="AX122" s="595"/>
      <c r="AY122" s="595"/>
      <c r="AZ122" s="595"/>
      <c r="BA122" s="595"/>
      <c r="BB122" s="595"/>
      <c r="BC122" s="595"/>
      <c r="BD122" s="595"/>
      <c r="BE122" s="595"/>
      <c r="BF122" s="595"/>
      <c r="BG122" s="595"/>
      <c r="BH122" s="595"/>
      <c r="BI122" s="595"/>
      <c r="BJ122" s="595"/>
      <c r="BK122" s="595"/>
      <c r="BL122" s="595"/>
      <c r="BM122" s="595"/>
      <c r="BN122" s="595"/>
      <c r="BO122" s="595"/>
      <c r="BP122" s="595"/>
      <c r="BQ122" s="595"/>
      <c r="BR122" s="595"/>
      <c r="BS122" s="595"/>
      <c r="BT122" s="595"/>
    </row>
    <row r="123" spans="1:72" s="631" customFormat="1" ht="15.75" customHeight="1" x14ac:dyDescent="0.2">
      <c r="A123" s="608"/>
      <c r="B123" s="633" t="s">
        <v>42</v>
      </c>
      <c r="C123" s="610" t="s">
        <v>126</v>
      </c>
      <c r="D123" s="610" t="s">
        <v>591</v>
      </c>
      <c r="E123" s="616" t="s">
        <v>325</v>
      </c>
      <c r="F123" s="617" t="s">
        <v>325</v>
      </c>
      <c r="G123" s="618">
        <f>SUM(G125)</f>
        <v>115616.40999999999</v>
      </c>
      <c r="H123" s="595"/>
      <c r="I123" s="595"/>
      <c r="J123" s="595"/>
      <c r="K123" s="595"/>
      <c r="L123" s="595"/>
      <c r="M123" s="595"/>
      <c r="N123" s="595"/>
      <c r="O123" s="595"/>
      <c r="P123" s="595"/>
      <c r="Q123" s="595"/>
      <c r="R123" s="595"/>
      <c r="S123" s="595"/>
      <c r="T123" s="595"/>
      <c r="U123" s="595"/>
      <c r="V123" s="595"/>
      <c r="W123" s="595"/>
      <c r="X123" s="595"/>
      <c r="Y123" s="595"/>
      <c r="Z123" s="595"/>
      <c r="AA123" s="595"/>
      <c r="AB123" s="595"/>
      <c r="AC123" s="595"/>
      <c r="AD123" s="595"/>
      <c r="AE123" s="595"/>
      <c r="AF123" s="595"/>
      <c r="AG123" s="595"/>
      <c r="AH123" s="595"/>
      <c r="AI123" s="595"/>
      <c r="AJ123" s="595"/>
      <c r="AK123" s="595"/>
      <c r="AL123" s="595"/>
      <c r="AM123" s="595"/>
      <c r="AN123" s="595"/>
      <c r="AO123" s="595"/>
      <c r="AP123" s="595"/>
      <c r="AQ123" s="595"/>
      <c r="AR123" s="595"/>
      <c r="AS123" s="595"/>
      <c r="AT123" s="595"/>
      <c r="AU123" s="595"/>
      <c r="AV123" s="595"/>
      <c r="AW123" s="595"/>
      <c r="AX123" s="595"/>
      <c r="AY123" s="595"/>
      <c r="AZ123" s="595"/>
      <c r="BA123" s="595"/>
      <c r="BB123" s="595"/>
      <c r="BC123" s="595"/>
      <c r="BD123" s="595"/>
      <c r="BE123" s="595"/>
      <c r="BF123" s="595"/>
      <c r="BG123" s="595"/>
      <c r="BH123" s="595"/>
      <c r="BI123" s="595"/>
      <c r="BJ123" s="595"/>
      <c r="BK123" s="595"/>
      <c r="BL123" s="595"/>
      <c r="BM123" s="595"/>
      <c r="BN123" s="595"/>
      <c r="BO123" s="595"/>
      <c r="BP123" s="595"/>
      <c r="BQ123" s="595"/>
      <c r="BR123" s="595"/>
      <c r="BS123" s="595"/>
      <c r="BT123" s="595"/>
    </row>
    <row r="124" spans="1:72" s="631" customFormat="1" ht="11.25" customHeight="1" x14ac:dyDescent="0.2">
      <c r="A124" s="608"/>
      <c r="B124" s="609"/>
      <c r="C124" s="627"/>
      <c r="D124" s="610"/>
      <c r="E124" s="610"/>
      <c r="F124" s="620"/>
      <c r="G124" s="621"/>
      <c r="H124" s="595"/>
      <c r="I124" s="595"/>
      <c r="J124" s="595"/>
      <c r="K124" s="595"/>
      <c r="L124" s="595"/>
      <c r="M124" s="595"/>
      <c r="N124" s="595"/>
      <c r="O124" s="595"/>
      <c r="P124" s="595"/>
      <c r="Q124" s="595"/>
      <c r="R124" s="595"/>
      <c r="S124" s="595"/>
      <c r="T124" s="595"/>
      <c r="U124" s="595"/>
      <c r="V124" s="595"/>
      <c r="W124" s="595"/>
      <c r="X124" s="595"/>
      <c r="Y124" s="595"/>
      <c r="Z124" s="595"/>
      <c r="AA124" s="595"/>
      <c r="AB124" s="595"/>
      <c r="AC124" s="595"/>
      <c r="AD124" s="595"/>
      <c r="AE124" s="595"/>
      <c r="AF124" s="595"/>
      <c r="AG124" s="595"/>
      <c r="AH124" s="595"/>
      <c r="AI124" s="595"/>
      <c r="AJ124" s="595"/>
      <c r="AK124" s="595"/>
      <c r="AL124" s="595"/>
      <c r="AM124" s="595"/>
      <c r="AN124" s="595"/>
      <c r="AO124" s="595"/>
      <c r="AP124" s="595"/>
      <c r="AQ124" s="595"/>
      <c r="AR124" s="595"/>
      <c r="AS124" s="595"/>
      <c r="AT124" s="595"/>
      <c r="AU124" s="595"/>
      <c r="AV124" s="595"/>
      <c r="AW124" s="595"/>
      <c r="AX124" s="595"/>
      <c r="AY124" s="595"/>
      <c r="AZ124" s="595"/>
      <c r="BA124" s="595"/>
      <c r="BB124" s="595"/>
      <c r="BC124" s="595"/>
      <c r="BD124" s="595"/>
      <c r="BE124" s="595"/>
      <c r="BF124" s="595"/>
      <c r="BG124" s="595"/>
      <c r="BH124" s="595"/>
      <c r="BI124" s="595"/>
      <c r="BJ124" s="595"/>
      <c r="BK124" s="595"/>
      <c r="BL124" s="595"/>
      <c r="BM124" s="595"/>
      <c r="BN124" s="595"/>
      <c r="BO124" s="595"/>
      <c r="BP124" s="595"/>
      <c r="BQ124" s="595"/>
      <c r="BR124" s="595"/>
      <c r="BS124" s="595"/>
      <c r="BT124" s="595"/>
    </row>
    <row r="125" spans="1:72" s="631" customFormat="1" ht="15.75" customHeight="1" x14ac:dyDescent="0.2">
      <c r="A125" s="608"/>
      <c r="B125" s="609"/>
      <c r="C125" s="627"/>
      <c r="D125" s="610"/>
      <c r="E125" s="610"/>
      <c r="F125" s="620"/>
      <c r="G125" s="632">
        <f>SUM(G126:G130)</f>
        <v>115616.40999999999</v>
      </c>
      <c r="H125" s="595"/>
      <c r="I125" s="595"/>
      <c r="J125" s="595"/>
      <c r="K125" s="595"/>
      <c r="L125" s="595"/>
      <c r="M125" s="595"/>
      <c r="N125" s="595"/>
      <c r="O125" s="595"/>
      <c r="P125" s="595"/>
      <c r="Q125" s="595"/>
      <c r="R125" s="595"/>
      <c r="S125" s="595"/>
      <c r="T125" s="595"/>
      <c r="U125" s="595"/>
      <c r="V125" s="595"/>
      <c r="W125" s="595"/>
      <c r="X125" s="595"/>
      <c r="Y125" s="595"/>
      <c r="Z125" s="595"/>
      <c r="AA125" s="595"/>
      <c r="AB125" s="595"/>
      <c r="AC125" s="595"/>
      <c r="AD125" s="595"/>
      <c r="AE125" s="595"/>
      <c r="AF125" s="595"/>
      <c r="AG125" s="595"/>
      <c r="AH125" s="595"/>
      <c r="AI125" s="595"/>
      <c r="AJ125" s="595"/>
      <c r="AK125" s="595"/>
      <c r="AL125" s="595"/>
      <c r="AM125" s="595"/>
      <c r="AN125" s="595"/>
      <c r="AO125" s="595"/>
      <c r="AP125" s="595"/>
      <c r="AQ125" s="595"/>
      <c r="AR125" s="595"/>
      <c r="AS125" s="595"/>
      <c r="AT125" s="595"/>
      <c r="AU125" s="595"/>
      <c r="AV125" s="595"/>
      <c r="AW125" s="595"/>
      <c r="AX125" s="595"/>
      <c r="AY125" s="595"/>
      <c r="AZ125" s="595"/>
      <c r="BA125" s="595"/>
      <c r="BB125" s="595"/>
      <c r="BC125" s="595"/>
      <c r="BD125" s="595"/>
      <c r="BE125" s="595"/>
      <c r="BF125" s="595"/>
      <c r="BG125" s="595"/>
      <c r="BH125" s="595"/>
      <c r="BI125" s="595"/>
      <c r="BJ125" s="595"/>
      <c r="BK125" s="595"/>
      <c r="BL125" s="595"/>
      <c r="BM125" s="595"/>
      <c r="BN125" s="595"/>
      <c r="BO125" s="595"/>
      <c r="BP125" s="595"/>
      <c r="BQ125" s="595"/>
      <c r="BR125" s="595"/>
      <c r="BS125" s="595"/>
      <c r="BT125" s="595"/>
    </row>
    <row r="126" spans="1:72" s="631" customFormat="1" ht="15.75" customHeight="1" x14ac:dyDescent="0.2">
      <c r="A126" s="608"/>
      <c r="B126" s="609"/>
      <c r="C126" s="627"/>
      <c r="D126" s="610"/>
      <c r="E126" s="610" t="s">
        <v>175</v>
      </c>
      <c r="F126" s="620" t="s">
        <v>325</v>
      </c>
      <c r="G126" s="621">
        <f>4417.41+137-137+12272+33562+15078-75+869</f>
        <v>66123.41</v>
      </c>
      <c r="H126" s="595"/>
      <c r="I126" s="595"/>
      <c r="J126" s="595"/>
      <c r="K126" s="595"/>
      <c r="L126" s="595"/>
      <c r="M126" s="595"/>
      <c r="N126" s="595"/>
      <c r="O126" s="595"/>
      <c r="P126" s="595"/>
      <c r="Q126" s="595"/>
      <c r="R126" s="595"/>
      <c r="S126" s="595"/>
      <c r="T126" s="595"/>
      <c r="U126" s="595"/>
      <c r="V126" s="595"/>
      <c r="W126" s="595"/>
      <c r="X126" s="595"/>
      <c r="Y126" s="595"/>
      <c r="Z126" s="595"/>
      <c r="AA126" s="595"/>
      <c r="AB126" s="595"/>
      <c r="AC126" s="595"/>
      <c r="AD126" s="595"/>
      <c r="AE126" s="595"/>
      <c r="AF126" s="595"/>
      <c r="AG126" s="595"/>
      <c r="AH126" s="595"/>
      <c r="AI126" s="595"/>
      <c r="AJ126" s="595"/>
      <c r="AK126" s="595"/>
      <c r="AL126" s="595"/>
      <c r="AM126" s="595"/>
      <c r="AN126" s="595"/>
      <c r="AO126" s="595"/>
      <c r="AP126" s="595"/>
      <c r="AQ126" s="595"/>
      <c r="AR126" s="595"/>
      <c r="AS126" s="595"/>
      <c r="AT126" s="595"/>
      <c r="AU126" s="595"/>
      <c r="AV126" s="595"/>
      <c r="AW126" s="595"/>
      <c r="AX126" s="595"/>
      <c r="AY126" s="595"/>
      <c r="AZ126" s="595"/>
      <c r="BA126" s="595"/>
      <c r="BB126" s="595"/>
      <c r="BC126" s="595"/>
      <c r="BD126" s="595"/>
      <c r="BE126" s="595"/>
      <c r="BF126" s="595"/>
      <c r="BG126" s="595"/>
      <c r="BH126" s="595"/>
      <c r="BI126" s="595"/>
      <c r="BJ126" s="595"/>
      <c r="BK126" s="595"/>
      <c r="BL126" s="595"/>
      <c r="BM126" s="595"/>
      <c r="BN126" s="595"/>
      <c r="BO126" s="595"/>
      <c r="BP126" s="595"/>
      <c r="BQ126" s="595"/>
      <c r="BR126" s="595"/>
      <c r="BS126" s="595"/>
      <c r="BT126" s="595"/>
    </row>
    <row r="127" spans="1:72" s="631" customFormat="1" ht="15.75" customHeight="1" x14ac:dyDescent="0.2">
      <c r="A127" s="608"/>
      <c r="B127" s="609"/>
      <c r="C127" s="627"/>
      <c r="D127" s="610"/>
      <c r="E127" s="610" t="s">
        <v>574</v>
      </c>
      <c r="F127" s="620" t="s">
        <v>325</v>
      </c>
      <c r="G127" s="621">
        <f>105+215+30</f>
        <v>350</v>
      </c>
      <c r="H127" s="595"/>
      <c r="I127" s="595"/>
      <c r="J127" s="595"/>
      <c r="K127" s="595"/>
      <c r="L127" s="595"/>
      <c r="M127" s="595"/>
      <c r="N127" s="595"/>
      <c r="O127" s="595"/>
      <c r="P127" s="595"/>
      <c r="Q127" s="595"/>
      <c r="R127" s="595"/>
      <c r="S127" s="595"/>
      <c r="T127" s="595"/>
      <c r="U127" s="595"/>
      <c r="V127" s="595"/>
      <c r="W127" s="595"/>
      <c r="X127" s="595"/>
      <c r="Y127" s="595"/>
      <c r="Z127" s="595"/>
      <c r="AA127" s="595"/>
      <c r="AB127" s="595"/>
      <c r="AC127" s="595"/>
      <c r="AD127" s="595"/>
      <c r="AE127" s="595"/>
      <c r="AF127" s="595"/>
      <c r="AG127" s="595"/>
      <c r="AH127" s="595"/>
      <c r="AI127" s="595"/>
      <c r="AJ127" s="595"/>
      <c r="AK127" s="595"/>
      <c r="AL127" s="595"/>
      <c r="AM127" s="595"/>
      <c r="AN127" s="595"/>
      <c r="AO127" s="595"/>
      <c r="AP127" s="595"/>
      <c r="AQ127" s="595"/>
      <c r="AR127" s="595"/>
      <c r="AS127" s="595"/>
      <c r="AT127" s="595"/>
      <c r="AU127" s="595"/>
      <c r="AV127" s="595"/>
      <c r="AW127" s="595"/>
      <c r="AX127" s="595"/>
      <c r="AY127" s="595"/>
      <c r="AZ127" s="595"/>
      <c r="BA127" s="595"/>
      <c r="BB127" s="595"/>
      <c r="BC127" s="595"/>
      <c r="BD127" s="595"/>
      <c r="BE127" s="595"/>
      <c r="BF127" s="595"/>
      <c r="BG127" s="595"/>
      <c r="BH127" s="595"/>
      <c r="BI127" s="595"/>
      <c r="BJ127" s="595"/>
      <c r="BK127" s="595"/>
      <c r="BL127" s="595"/>
      <c r="BM127" s="595"/>
      <c r="BN127" s="595"/>
      <c r="BO127" s="595"/>
      <c r="BP127" s="595"/>
      <c r="BQ127" s="595"/>
      <c r="BR127" s="595"/>
      <c r="BS127" s="595"/>
      <c r="BT127" s="595"/>
    </row>
    <row r="128" spans="1:72" s="631" customFormat="1" ht="15.75" customHeight="1" x14ac:dyDescent="0.2">
      <c r="A128" s="608"/>
      <c r="B128" s="609"/>
      <c r="C128" s="627"/>
      <c r="D128" s="610"/>
      <c r="E128" s="610" t="s">
        <v>587</v>
      </c>
      <c r="F128" s="620" t="s">
        <v>325</v>
      </c>
      <c r="G128" s="621">
        <f>7396+8670+6065+4705+6442-15716.29+9572+8352</f>
        <v>35485.71</v>
      </c>
      <c r="H128" s="595"/>
      <c r="I128" s="595"/>
      <c r="J128" s="595"/>
      <c r="K128" s="595"/>
      <c r="L128" s="595"/>
      <c r="M128" s="595"/>
      <c r="N128" s="595"/>
      <c r="O128" s="595"/>
      <c r="P128" s="595"/>
      <c r="Q128" s="595"/>
      <c r="R128" s="595"/>
      <c r="S128" s="595"/>
      <c r="T128" s="595"/>
      <c r="U128" s="595"/>
      <c r="V128" s="595"/>
      <c r="W128" s="595"/>
      <c r="X128" s="595"/>
      <c r="Y128" s="595"/>
      <c r="Z128" s="595"/>
      <c r="AA128" s="595"/>
      <c r="AB128" s="595"/>
      <c r="AC128" s="595"/>
      <c r="AD128" s="595"/>
      <c r="AE128" s="595"/>
      <c r="AF128" s="595"/>
      <c r="AG128" s="595"/>
      <c r="AH128" s="595"/>
      <c r="AI128" s="595"/>
      <c r="AJ128" s="595"/>
      <c r="AK128" s="595"/>
      <c r="AL128" s="595"/>
      <c r="AM128" s="595"/>
      <c r="AN128" s="595"/>
      <c r="AO128" s="595"/>
      <c r="AP128" s="595"/>
      <c r="AQ128" s="595"/>
      <c r="AR128" s="595"/>
      <c r="AS128" s="595"/>
      <c r="AT128" s="595"/>
      <c r="AU128" s="595"/>
      <c r="AV128" s="595"/>
      <c r="AW128" s="595"/>
      <c r="AX128" s="595"/>
      <c r="AY128" s="595"/>
      <c r="AZ128" s="595"/>
      <c r="BA128" s="595"/>
      <c r="BB128" s="595"/>
      <c r="BC128" s="595"/>
      <c r="BD128" s="595"/>
      <c r="BE128" s="595"/>
      <c r="BF128" s="595"/>
      <c r="BG128" s="595"/>
      <c r="BH128" s="595"/>
      <c r="BI128" s="595"/>
      <c r="BJ128" s="595"/>
      <c r="BK128" s="595"/>
      <c r="BL128" s="595"/>
      <c r="BM128" s="595"/>
      <c r="BN128" s="595"/>
      <c r="BO128" s="595"/>
      <c r="BP128" s="595"/>
      <c r="BQ128" s="595"/>
      <c r="BR128" s="595"/>
      <c r="BS128" s="595"/>
      <c r="BT128" s="595"/>
    </row>
    <row r="129" spans="1:72" s="631" customFormat="1" ht="15.75" customHeight="1" x14ac:dyDescent="0.2">
      <c r="A129" s="608"/>
      <c r="B129" s="609"/>
      <c r="C129" s="627"/>
      <c r="D129" s="610"/>
      <c r="E129" s="610" t="s">
        <v>564</v>
      </c>
      <c r="F129" s="620" t="s">
        <v>325</v>
      </c>
      <c r="G129" s="621">
        <f>1808+2118+1483+650+844-3086.71+2702+1249</f>
        <v>7767.29</v>
      </c>
      <c r="H129" s="595"/>
      <c r="I129" s="595"/>
      <c r="J129" s="595"/>
      <c r="K129" s="595"/>
      <c r="L129" s="595"/>
      <c r="M129" s="595"/>
      <c r="N129" s="595"/>
      <c r="O129" s="595"/>
      <c r="P129" s="595"/>
      <c r="Q129" s="595"/>
      <c r="R129" s="595"/>
      <c r="S129" s="595"/>
      <c r="T129" s="595"/>
      <c r="U129" s="595"/>
      <c r="V129" s="595"/>
      <c r="W129" s="595"/>
      <c r="X129" s="595"/>
      <c r="Y129" s="595"/>
      <c r="Z129" s="595"/>
      <c r="AA129" s="595"/>
      <c r="AB129" s="595"/>
      <c r="AC129" s="595"/>
      <c r="AD129" s="595"/>
      <c r="AE129" s="595"/>
      <c r="AF129" s="595"/>
      <c r="AG129" s="595"/>
      <c r="AH129" s="595"/>
      <c r="AI129" s="595"/>
      <c r="AJ129" s="595"/>
      <c r="AK129" s="595"/>
      <c r="AL129" s="595"/>
      <c r="AM129" s="595"/>
      <c r="AN129" s="595"/>
      <c r="AO129" s="595"/>
      <c r="AP129" s="595"/>
      <c r="AQ129" s="595"/>
      <c r="AR129" s="595"/>
      <c r="AS129" s="595"/>
      <c r="AT129" s="595"/>
      <c r="AU129" s="595"/>
      <c r="AV129" s="595"/>
      <c r="AW129" s="595"/>
      <c r="AX129" s="595"/>
      <c r="AY129" s="595"/>
      <c r="AZ129" s="595"/>
      <c r="BA129" s="595"/>
      <c r="BB129" s="595"/>
      <c r="BC129" s="595"/>
      <c r="BD129" s="595"/>
      <c r="BE129" s="595"/>
      <c r="BF129" s="595"/>
      <c r="BG129" s="595"/>
      <c r="BH129" s="595"/>
      <c r="BI129" s="595"/>
      <c r="BJ129" s="595"/>
      <c r="BK129" s="595"/>
      <c r="BL129" s="595"/>
      <c r="BM129" s="595"/>
      <c r="BN129" s="595"/>
      <c r="BO129" s="595"/>
      <c r="BP129" s="595"/>
      <c r="BQ129" s="595"/>
      <c r="BR129" s="595"/>
      <c r="BS129" s="595"/>
      <c r="BT129" s="595"/>
    </row>
    <row r="130" spans="1:72" s="631" customFormat="1" ht="15.75" customHeight="1" x14ac:dyDescent="0.2">
      <c r="A130" s="608"/>
      <c r="B130" s="609"/>
      <c r="C130" s="627"/>
      <c r="D130" s="610"/>
      <c r="E130" s="610" t="s">
        <v>576</v>
      </c>
      <c r="F130" s="620" t="s">
        <v>325</v>
      </c>
      <c r="G130" s="621">
        <f>6580+470-1160</f>
        <v>5890</v>
      </c>
      <c r="H130" s="595"/>
      <c r="I130" s="595"/>
      <c r="J130" s="595"/>
      <c r="K130" s="595"/>
      <c r="L130" s="595"/>
      <c r="M130" s="595"/>
      <c r="N130" s="595"/>
      <c r="O130" s="595"/>
      <c r="P130" s="595"/>
      <c r="Q130" s="595"/>
      <c r="R130" s="595"/>
      <c r="S130" s="595"/>
      <c r="T130" s="595"/>
      <c r="U130" s="595"/>
      <c r="V130" s="595"/>
      <c r="W130" s="595"/>
      <c r="X130" s="595"/>
      <c r="Y130" s="595"/>
      <c r="Z130" s="595"/>
      <c r="AA130" s="595"/>
      <c r="AB130" s="595"/>
      <c r="AC130" s="595"/>
      <c r="AD130" s="595"/>
      <c r="AE130" s="595"/>
      <c r="AF130" s="595"/>
      <c r="AG130" s="595"/>
      <c r="AH130" s="595"/>
      <c r="AI130" s="595"/>
      <c r="AJ130" s="595"/>
      <c r="AK130" s="595"/>
      <c r="AL130" s="595"/>
      <c r="AM130" s="595"/>
      <c r="AN130" s="595"/>
      <c r="AO130" s="595"/>
      <c r="AP130" s="595"/>
      <c r="AQ130" s="595"/>
      <c r="AR130" s="595"/>
      <c r="AS130" s="595"/>
      <c r="AT130" s="595"/>
      <c r="AU130" s="595"/>
      <c r="AV130" s="595"/>
      <c r="AW130" s="595"/>
      <c r="AX130" s="595"/>
      <c r="AY130" s="595"/>
      <c r="AZ130" s="595"/>
      <c r="BA130" s="595"/>
      <c r="BB130" s="595"/>
      <c r="BC130" s="595"/>
      <c r="BD130" s="595"/>
      <c r="BE130" s="595"/>
      <c r="BF130" s="595"/>
      <c r="BG130" s="595"/>
      <c r="BH130" s="595"/>
      <c r="BI130" s="595"/>
      <c r="BJ130" s="595"/>
      <c r="BK130" s="595"/>
      <c r="BL130" s="595"/>
      <c r="BM130" s="595"/>
      <c r="BN130" s="595"/>
      <c r="BO130" s="595"/>
      <c r="BP130" s="595"/>
      <c r="BQ130" s="595"/>
      <c r="BR130" s="595"/>
      <c r="BS130" s="595"/>
      <c r="BT130" s="595"/>
    </row>
    <row r="131" spans="1:72" s="631" customFormat="1" ht="15.75" customHeight="1" x14ac:dyDescent="0.2">
      <c r="A131" s="622"/>
      <c r="B131" s="623"/>
      <c r="C131" s="624"/>
      <c r="D131" s="611"/>
      <c r="E131" s="611"/>
      <c r="F131" s="613"/>
      <c r="G131" s="625"/>
      <c r="H131" s="595"/>
      <c r="I131" s="595"/>
      <c r="J131" s="595"/>
      <c r="K131" s="595"/>
      <c r="L131" s="595"/>
      <c r="M131" s="595"/>
      <c r="N131" s="595"/>
      <c r="O131" s="595"/>
      <c r="P131" s="595"/>
      <c r="Q131" s="595"/>
      <c r="R131" s="595"/>
      <c r="S131" s="595"/>
      <c r="T131" s="595"/>
      <c r="U131" s="595"/>
      <c r="V131" s="595"/>
      <c r="W131" s="595"/>
      <c r="X131" s="595"/>
      <c r="Y131" s="595"/>
      <c r="Z131" s="595"/>
      <c r="AA131" s="595"/>
      <c r="AB131" s="595"/>
      <c r="AC131" s="595"/>
      <c r="AD131" s="595"/>
      <c r="AE131" s="595"/>
      <c r="AF131" s="595"/>
      <c r="AG131" s="595"/>
      <c r="AH131" s="595"/>
      <c r="AI131" s="595"/>
      <c r="AJ131" s="595"/>
      <c r="AK131" s="595"/>
      <c r="AL131" s="595"/>
      <c r="AM131" s="595"/>
      <c r="AN131" s="595"/>
      <c r="AO131" s="595"/>
      <c r="AP131" s="595"/>
      <c r="AQ131" s="595"/>
      <c r="AR131" s="595"/>
      <c r="AS131" s="595"/>
      <c r="AT131" s="595"/>
      <c r="AU131" s="595"/>
      <c r="AV131" s="595"/>
      <c r="AW131" s="595"/>
      <c r="AX131" s="595"/>
      <c r="AY131" s="595"/>
      <c r="AZ131" s="595"/>
      <c r="BA131" s="595"/>
      <c r="BB131" s="595"/>
      <c r="BC131" s="595"/>
      <c r="BD131" s="595"/>
      <c r="BE131" s="595"/>
      <c r="BF131" s="595"/>
      <c r="BG131" s="595"/>
      <c r="BH131" s="595"/>
      <c r="BI131" s="595"/>
      <c r="BJ131" s="595"/>
      <c r="BK131" s="595"/>
      <c r="BL131" s="595"/>
      <c r="BM131" s="595"/>
      <c r="BN131" s="595"/>
      <c r="BO131" s="595"/>
      <c r="BP131" s="595"/>
      <c r="BQ131" s="595"/>
      <c r="BR131" s="595"/>
      <c r="BS131" s="595"/>
      <c r="BT131" s="595"/>
    </row>
    <row r="132" spans="1:72" s="631" customFormat="1" ht="21.75" customHeight="1" x14ac:dyDescent="0.2">
      <c r="A132" s="608"/>
      <c r="B132" s="633" t="s">
        <v>56</v>
      </c>
      <c r="C132" s="610" t="s">
        <v>126</v>
      </c>
      <c r="D132" s="610" t="s">
        <v>591</v>
      </c>
      <c r="E132" s="611" t="s">
        <v>325</v>
      </c>
      <c r="F132" s="613" t="s">
        <v>325</v>
      </c>
      <c r="G132" s="612">
        <f>SUM(G134)</f>
        <v>899</v>
      </c>
      <c r="H132" s="595"/>
      <c r="I132" s="595"/>
      <c r="J132" s="595"/>
      <c r="K132" s="595"/>
      <c r="L132" s="595"/>
      <c r="M132" s="595"/>
      <c r="N132" s="595"/>
      <c r="O132" s="595"/>
      <c r="P132" s="595"/>
      <c r="Q132" s="595"/>
      <c r="R132" s="595"/>
      <c r="S132" s="595"/>
      <c r="T132" s="595"/>
      <c r="U132" s="595"/>
      <c r="V132" s="595"/>
      <c r="W132" s="595"/>
      <c r="X132" s="595"/>
      <c r="Y132" s="595"/>
      <c r="Z132" s="595"/>
      <c r="AA132" s="595"/>
      <c r="AB132" s="595"/>
      <c r="AC132" s="595"/>
      <c r="AD132" s="595"/>
      <c r="AE132" s="595"/>
      <c r="AF132" s="595"/>
      <c r="AG132" s="595"/>
      <c r="AH132" s="595"/>
      <c r="AI132" s="595"/>
      <c r="AJ132" s="595"/>
      <c r="AK132" s="595"/>
      <c r="AL132" s="595"/>
      <c r="AM132" s="595"/>
      <c r="AN132" s="595"/>
      <c r="AO132" s="595"/>
      <c r="AP132" s="595"/>
      <c r="AQ132" s="595"/>
      <c r="AR132" s="595"/>
      <c r="AS132" s="595"/>
      <c r="AT132" s="595"/>
      <c r="AU132" s="595"/>
      <c r="AV132" s="595"/>
      <c r="AW132" s="595"/>
      <c r="AX132" s="595"/>
      <c r="AY132" s="595"/>
      <c r="AZ132" s="595"/>
      <c r="BA132" s="595"/>
      <c r="BB132" s="595"/>
      <c r="BC132" s="595"/>
      <c r="BD132" s="595"/>
      <c r="BE132" s="595"/>
      <c r="BF132" s="595"/>
      <c r="BG132" s="595"/>
      <c r="BH132" s="595"/>
      <c r="BI132" s="595"/>
      <c r="BJ132" s="595"/>
      <c r="BK132" s="595"/>
      <c r="BL132" s="595"/>
      <c r="BM132" s="595"/>
      <c r="BN132" s="595"/>
      <c r="BO132" s="595"/>
      <c r="BP132" s="595"/>
      <c r="BQ132" s="595"/>
      <c r="BR132" s="595"/>
      <c r="BS132" s="595"/>
      <c r="BT132" s="595"/>
    </row>
    <row r="133" spans="1:72" s="631" customFormat="1" ht="15.75" customHeight="1" x14ac:dyDescent="0.2">
      <c r="A133" s="608"/>
      <c r="B133" s="609"/>
      <c r="C133" s="627"/>
      <c r="D133" s="610"/>
      <c r="E133" s="610"/>
      <c r="F133" s="620"/>
      <c r="G133" s="621"/>
      <c r="H133" s="595"/>
      <c r="I133" s="595"/>
      <c r="J133" s="595"/>
      <c r="K133" s="595"/>
      <c r="L133" s="595"/>
      <c r="M133" s="595"/>
      <c r="N133" s="595"/>
      <c r="O133" s="595"/>
      <c r="P133" s="595"/>
      <c r="Q133" s="595"/>
      <c r="R133" s="595"/>
      <c r="S133" s="595"/>
      <c r="T133" s="595"/>
      <c r="U133" s="595"/>
      <c r="V133" s="595"/>
      <c r="W133" s="595"/>
      <c r="X133" s="595"/>
      <c r="Y133" s="595"/>
      <c r="Z133" s="595"/>
      <c r="AA133" s="595"/>
      <c r="AB133" s="595"/>
      <c r="AC133" s="595"/>
      <c r="AD133" s="595"/>
      <c r="AE133" s="595"/>
      <c r="AF133" s="595"/>
      <c r="AG133" s="595"/>
      <c r="AH133" s="595"/>
      <c r="AI133" s="595"/>
      <c r="AJ133" s="595"/>
      <c r="AK133" s="595"/>
      <c r="AL133" s="595"/>
      <c r="AM133" s="595"/>
      <c r="AN133" s="595"/>
      <c r="AO133" s="595"/>
      <c r="AP133" s="595"/>
      <c r="AQ133" s="595"/>
      <c r="AR133" s="595"/>
      <c r="AS133" s="595"/>
      <c r="AT133" s="595"/>
      <c r="AU133" s="595"/>
      <c r="AV133" s="595"/>
      <c r="AW133" s="595"/>
      <c r="AX133" s="595"/>
      <c r="AY133" s="595"/>
      <c r="AZ133" s="595"/>
      <c r="BA133" s="595"/>
      <c r="BB133" s="595"/>
      <c r="BC133" s="595"/>
      <c r="BD133" s="595"/>
      <c r="BE133" s="595"/>
      <c r="BF133" s="595"/>
      <c r="BG133" s="595"/>
      <c r="BH133" s="595"/>
      <c r="BI133" s="595"/>
      <c r="BJ133" s="595"/>
      <c r="BK133" s="595"/>
      <c r="BL133" s="595"/>
      <c r="BM133" s="595"/>
      <c r="BN133" s="595"/>
      <c r="BO133" s="595"/>
      <c r="BP133" s="595"/>
      <c r="BQ133" s="595"/>
      <c r="BR133" s="595"/>
      <c r="BS133" s="595"/>
      <c r="BT133" s="595"/>
    </row>
    <row r="134" spans="1:72" s="631" customFormat="1" ht="15.75" customHeight="1" x14ac:dyDescent="0.2">
      <c r="A134" s="608"/>
      <c r="B134" s="609"/>
      <c r="C134" s="627"/>
      <c r="D134" s="610"/>
      <c r="E134" s="610"/>
      <c r="F134" s="620"/>
      <c r="G134" s="632">
        <f>SUM(G135)</f>
        <v>899</v>
      </c>
      <c r="H134" s="595"/>
      <c r="I134" s="595"/>
      <c r="J134" s="595"/>
      <c r="K134" s="595"/>
      <c r="L134" s="595"/>
      <c r="M134" s="595"/>
      <c r="N134" s="595"/>
      <c r="O134" s="595"/>
      <c r="P134" s="595"/>
      <c r="Q134" s="595"/>
      <c r="R134" s="595"/>
      <c r="S134" s="595"/>
      <c r="T134" s="595"/>
      <c r="U134" s="595"/>
      <c r="V134" s="595"/>
      <c r="W134" s="595"/>
      <c r="X134" s="595"/>
      <c r="Y134" s="595"/>
      <c r="Z134" s="595"/>
      <c r="AA134" s="595"/>
      <c r="AB134" s="595"/>
      <c r="AC134" s="595"/>
      <c r="AD134" s="595"/>
      <c r="AE134" s="595"/>
      <c r="AF134" s="595"/>
      <c r="AG134" s="595"/>
      <c r="AH134" s="595"/>
      <c r="AI134" s="595"/>
      <c r="AJ134" s="595"/>
      <c r="AK134" s="595"/>
      <c r="AL134" s="595"/>
      <c r="AM134" s="595"/>
      <c r="AN134" s="595"/>
      <c r="AO134" s="595"/>
      <c r="AP134" s="595"/>
      <c r="AQ134" s="595"/>
      <c r="AR134" s="595"/>
      <c r="AS134" s="595"/>
      <c r="AT134" s="595"/>
      <c r="AU134" s="595"/>
      <c r="AV134" s="595"/>
      <c r="AW134" s="595"/>
      <c r="AX134" s="595"/>
      <c r="AY134" s="595"/>
      <c r="AZ134" s="595"/>
      <c r="BA134" s="595"/>
      <c r="BB134" s="595"/>
      <c r="BC134" s="595"/>
      <c r="BD134" s="595"/>
      <c r="BE134" s="595"/>
      <c r="BF134" s="595"/>
      <c r="BG134" s="595"/>
      <c r="BH134" s="595"/>
      <c r="BI134" s="595"/>
      <c r="BJ134" s="595"/>
      <c r="BK134" s="595"/>
      <c r="BL134" s="595"/>
      <c r="BM134" s="595"/>
      <c r="BN134" s="595"/>
      <c r="BO134" s="595"/>
      <c r="BP134" s="595"/>
      <c r="BQ134" s="595"/>
      <c r="BR134" s="595"/>
      <c r="BS134" s="595"/>
      <c r="BT134" s="595"/>
    </row>
    <row r="135" spans="1:72" s="631" customFormat="1" ht="15.75" customHeight="1" x14ac:dyDescent="0.2">
      <c r="A135" s="608"/>
      <c r="B135" s="609"/>
      <c r="C135" s="627"/>
      <c r="D135" s="610"/>
      <c r="E135" s="610" t="s">
        <v>188</v>
      </c>
      <c r="F135" s="620" t="s">
        <v>325</v>
      </c>
      <c r="G135" s="621">
        <f>899</f>
        <v>899</v>
      </c>
      <c r="H135" s="595"/>
      <c r="I135" s="595"/>
      <c r="J135" s="595"/>
      <c r="K135" s="595"/>
      <c r="L135" s="595"/>
      <c r="M135" s="595"/>
      <c r="N135" s="595"/>
      <c r="O135" s="595"/>
      <c r="P135" s="595"/>
      <c r="Q135" s="595"/>
      <c r="R135" s="595"/>
      <c r="S135" s="595"/>
      <c r="T135" s="595"/>
      <c r="U135" s="595"/>
      <c r="V135" s="595"/>
      <c r="W135" s="595"/>
      <c r="X135" s="595"/>
      <c r="Y135" s="595"/>
      <c r="Z135" s="595"/>
      <c r="AA135" s="595"/>
      <c r="AB135" s="595"/>
      <c r="AC135" s="595"/>
      <c r="AD135" s="595"/>
      <c r="AE135" s="595"/>
      <c r="AF135" s="595"/>
      <c r="AG135" s="595"/>
      <c r="AH135" s="595"/>
      <c r="AI135" s="595"/>
      <c r="AJ135" s="595"/>
      <c r="AK135" s="595"/>
      <c r="AL135" s="595"/>
      <c r="AM135" s="595"/>
      <c r="AN135" s="595"/>
      <c r="AO135" s="595"/>
      <c r="AP135" s="595"/>
      <c r="AQ135" s="595"/>
      <c r="AR135" s="595"/>
      <c r="AS135" s="595"/>
      <c r="AT135" s="595"/>
      <c r="AU135" s="595"/>
      <c r="AV135" s="595"/>
      <c r="AW135" s="595"/>
      <c r="AX135" s="595"/>
      <c r="AY135" s="595"/>
      <c r="AZ135" s="595"/>
      <c r="BA135" s="595"/>
      <c r="BB135" s="595"/>
      <c r="BC135" s="595"/>
      <c r="BD135" s="595"/>
      <c r="BE135" s="595"/>
      <c r="BF135" s="595"/>
      <c r="BG135" s="595"/>
      <c r="BH135" s="595"/>
      <c r="BI135" s="595"/>
      <c r="BJ135" s="595"/>
      <c r="BK135" s="595"/>
      <c r="BL135" s="595"/>
      <c r="BM135" s="595"/>
      <c r="BN135" s="595"/>
      <c r="BO135" s="595"/>
      <c r="BP135" s="595"/>
      <c r="BQ135" s="595"/>
      <c r="BR135" s="595"/>
      <c r="BS135" s="595"/>
      <c r="BT135" s="595"/>
    </row>
    <row r="136" spans="1:72" s="631" customFormat="1" ht="15.6" customHeight="1" x14ac:dyDescent="0.2">
      <c r="A136" s="608"/>
      <c r="B136" s="609"/>
      <c r="C136" s="627"/>
      <c r="D136" s="610"/>
      <c r="E136" s="610"/>
      <c r="F136" s="620"/>
      <c r="G136" s="621"/>
      <c r="H136" s="595"/>
      <c r="I136" s="595"/>
      <c r="J136" s="595"/>
      <c r="K136" s="595"/>
      <c r="L136" s="595"/>
      <c r="M136" s="595"/>
      <c r="N136" s="595"/>
      <c r="O136" s="595"/>
      <c r="P136" s="595"/>
      <c r="Q136" s="595"/>
      <c r="R136" s="595"/>
      <c r="S136" s="595"/>
      <c r="T136" s="595"/>
      <c r="U136" s="595"/>
      <c r="V136" s="595"/>
      <c r="W136" s="595"/>
      <c r="X136" s="595"/>
      <c r="Y136" s="595"/>
      <c r="Z136" s="595"/>
      <c r="AA136" s="595"/>
      <c r="AB136" s="595"/>
      <c r="AC136" s="595"/>
      <c r="AD136" s="595"/>
      <c r="AE136" s="595"/>
      <c r="AF136" s="595"/>
      <c r="AG136" s="595"/>
      <c r="AH136" s="595"/>
      <c r="AI136" s="595"/>
      <c r="AJ136" s="595"/>
      <c r="AK136" s="595"/>
      <c r="AL136" s="595"/>
      <c r="AM136" s="595"/>
      <c r="AN136" s="595"/>
      <c r="AO136" s="595"/>
      <c r="AP136" s="595"/>
      <c r="AQ136" s="595"/>
      <c r="AR136" s="595"/>
      <c r="AS136" s="595"/>
      <c r="AT136" s="595"/>
      <c r="AU136" s="595"/>
      <c r="AV136" s="595"/>
      <c r="AW136" s="595"/>
      <c r="AX136" s="595"/>
      <c r="AY136" s="595"/>
      <c r="AZ136" s="595"/>
      <c r="BA136" s="595"/>
      <c r="BB136" s="595"/>
      <c r="BC136" s="595"/>
      <c r="BD136" s="595"/>
      <c r="BE136" s="595"/>
      <c r="BF136" s="595"/>
      <c r="BG136" s="595"/>
      <c r="BH136" s="595"/>
      <c r="BI136" s="595"/>
      <c r="BJ136" s="595"/>
      <c r="BK136" s="595"/>
      <c r="BL136" s="595"/>
      <c r="BM136" s="595"/>
      <c r="BN136" s="595"/>
      <c r="BO136" s="595"/>
      <c r="BP136" s="595"/>
      <c r="BQ136" s="595"/>
      <c r="BR136" s="595"/>
      <c r="BS136" s="595"/>
      <c r="BT136" s="595"/>
    </row>
    <row r="137" spans="1:72" s="631" customFormat="1" ht="15.75" customHeight="1" x14ac:dyDescent="0.2">
      <c r="A137" s="608"/>
      <c r="B137" s="633" t="s">
        <v>42</v>
      </c>
      <c r="C137" s="610" t="s">
        <v>126</v>
      </c>
      <c r="D137" s="610" t="s">
        <v>592</v>
      </c>
      <c r="E137" s="616" t="s">
        <v>325</v>
      </c>
      <c r="F137" s="617" t="s">
        <v>325</v>
      </c>
      <c r="G137" s="618">
        <f>SUM(G139)</f>
        <v>39969</v>
      </c>
      <c r="H137" s="595"/>
      <c r="I137" s="595"/>
      <c r="J137" s="595"/>
      <c r="K137" s="595"/>
      <c r="L137" s="595"/>
      <c r="M137" s="595"/>
      <c r="N137" s="595"/>
      <c r="O137" s="595"/>
      <c r="P137" s="595"/>
      <c r="Q137" s="595"/>
      <c r="R137" s="595"/>
      <c r="S137" s="595"/>
      <c r="T137" s="595"/>
      <c r="U137" s="595"/>
      <c r="V137" s="595"/>
      <c r="W137" s="595"/>
      <c r="X137" s="595"/>
      <c r="Y137" s="595"/>
      <c r="Z137" s="595"/>
      <c r="AA137" s="595"/>
      <c r="AB137" s="595"/>
      <c r="AC137" s="595"/>
      <c r="AD137" s="595"/>
      <c r="AE137" s="595"/>
      <c r="AF137" s="595"/>
      <c r="AG137" s="595"/>
      <c r="AH137" s="595"/>
      <c r="AI137" s="595"/>
      <c r="AJ137" s="595"/>
      <c r="AK137" s="595"/>
      <c r="AL137" s="595"/>
      <c r="AM137" s="595"/>
      <c r="AN137" s="595"/>
      <c r="AO137" s="595"/>
      <c r="AP137" s="595"/>
      <c r="AQ137" s="595"/>
      <c r="AR137" s="595"/>
      <c r="AS137" s="595"/>
      <c r="AT137" s="595"/>
      <c r="AU137" s="595"/>
      <c r="AV137" s="595"/>
      <c r="AW137" s="595"/>
      <c r="AX137" s="595"/>
      <c r="AY137" s="595"/>
      <c r="AZ137" s="595"/>
      <c r="BA137" s="595"/>
      <c r="BB137" s="595"/>
      <c r="BC137" s="595"/>
      <c r="BD137" s="595"/>
      <c r="BE137" s="595"/>
      <c r="BF137" s="595"/>
      <c r="BG137" s="595"/>
      <c r="BH137" s="595"/>
      <c r="BI137" s="595"/>
      <c r="BJ137" s="595"/>
      <c r="BK137" s="595"/>
      <c r="BL137" s="595"/>
      <c r="BM137" s="595"/>
      <c r="BN137" s="595"/>
      <c r="BO137" s="595"/>
      <c r="BP137" s="595"/>
      <c r="BQ137" s="595"/>
      <c r="BR137" s="595"/>
      <c r="BS137" s="595"/>
      <c r="BT137" s="595"/>
    </row>
    <row r="138" spans="1:72" s="631" customFormat="1" ht="6.75" customHeight="1" x14ac:dyDescent="0.2">
      <c r="A138" s="608"/>
      <c r="B138" s="609"/>
      <c r="C138" s="627"/>
      <c r="D138" s="610"/>
      <c r="E138" s="610"/>
      <c r="F138" s="620"/>
      <c r="G138" s="621"/>
      <c r="H138" s="595"/>
      <c r="I138" s="595"/>
      <c r="J138" s="595"/>
      <c r="K138" s="595"/>
      <c r="L138" s="595"/>
      <c r="M138" s="595"/>
      <c r="N138" s="595"/>
      <c r="O138" s="595"/>
      <c r="P138" s="595"/>
      <c r="Q138" s="595"/>
      <c r="R138" s="595"/>
      <c r="S138" s="595"/>
      <c r="T138" s="595"/>
      <c r="U138" s="595"/>
      <c r="V138" s="595"/>
      <c r="W138" s="595"/>
      <c r="X138" s="595"/>
      <c r="Y138" s="595"/>
      <c r="Z138" s="595"/>
      <c r="AA138" s="595"/>
      <c r="AB138" s="595"/>
      <c r="AC138" s="595"/>
      <c r="AD138" s="595"/>
      <c r="AE138" s="595"/>
      <c r="AF138" s="595"/>
      <c r="AG138" s="595"/>
      <c r="AH138" s="595"/>
      <c r="AI138" s="595"/>
      <c r="AJ138" s="595"/>
      <c r="AK138" s="595"/>
      <c r="AL138" s="595"/>
      <c r="AM138" s="595"/>
      <c r="AN138" s="595"/>
      <c r="AO138" s="595"/>
      <c r="AP138" s="595"/>
      <c r="AQ138" s="595"/>
      <c r="AR138" s="595"/>
      <c r="AS138" s="595"/>
      <c r="AT138" s="595"/>
      <c r="AU138" s="595"/>
      <c r="AV138" s="595"/>
      <c r="AW138" s="595"/>
      <c r="AX138" s="595"/>
      <c r="AY138" s="595"/>
      <c r="AZ138" s="595"/>
      <c r="BA138" s="595"/>
      <c r="BB138" s="595"/>
      <c r="BC138" s="595"/>
      <c r="BD138" s="595"/>
      <c r="BE138" s="595"/>
      <c r="BF138" s="595"/>
      <c r="BG138" s="595"/>
      <c r="BH138" s="595"/>
      <c r="BI138" s="595"/>
      <c r="BJ138" s="595"/>
      <c r="BK138" s="595"/>
      <c r="BL138" s="595"/>
      <c r="BM138" s="595"/>
      <c r="BN138" s="595"/>
      <c r="BO138" s="595"/>
      <c r="BP138" s="595"/>
      <c r="BQ138" s="595"/>
      <c r="BR138" s="595"/>
      <c r="BS138" s="595"/>
      <c r="BT138" s="595"/>
    </row>
    <row r="139" spans="1:72" s="631" customFormat="1" ht="15.75" customHeight="1" x14ac:dyDescent="0.2">
      <c r="A139" s="608"/>
      <c r="B139" s="609"/>
      <c r="C139" s="627"/>
      <c r="D139" s="610"/>
      <c r="E139" s="610"/>
      <c r="F139" s="620"/>
      <c r="G139" s="632">
        <f>SUM(G140:G144)</f>
        <v>39969</v>
      </c>
      <c r="H139" s="595"/>
      <c r="I139" s="595"/>
      <c r="J139" s="595"/>
      <c r="K139" s="595"/>
      <c r="L139" s="595"/>
      <c r="M139" s="595"/>
      <c r="N139" s="595"/>
      <c r="O139" s="595"/>
      <c r="P139" s="595"/>
      <c r="Q139" s="595"/>
      <c r="R139" s="595"/>
      <c r="S139" s="595"/>
      <c r="T139" s="595"/>
      <c r="U139" s="595"/>
      <c r="V139" s="595"/>
      <c r="W139" s="595"/>
      <c r="X139" s="595"/>
      <c r="Y139" s="595"/>
      <c r="Z139" s="595"/>
      <c r="AA139" s="595"/>
      <c r="AB139" s="595"/>
      <c r="AC139" s="595"/>
      <c r="AD139" s="595"/>
      <c r="AE139" s="595"/>
      <c r="AF139" s="595"/>
      <c r="AG139" s="595"/>
      <c r="AH139" s="595"/>
      <c r="AI139" s="595"/>
      <c r="AJ139" s="595"/>
      <c r="AK139" s="595"/>
      <c r="AL139" s="595"/>
      <c r="AM139" s="595"/>
      <c r="AN139" s="595"/>
      <c r="AO139" s="595"/>
      <c r="AP139" s="595"/>
      <c r="AQ139" s="595"/>
      <c r="AR139" s="595"/>
      <c r="AS139" s="595"/>
      <c r="AT139" s="595"/>
      <c r="AU139" s="595"/>
      <c r="AV139" s="595"/>
      <c r="AW139" s="595"/>
      <c r="AX139" s="595"/>
      <c r="AY139" s="595"/>
      <c r="AZ139" s="595"/>
      <c r="BA139" s="595"/>
      <c r="BB139" s="595"/>
      <c r="BC139" s="595"/>
      <c r="BD139" s="595"/>
      <c r="BE139" s="595"/>
      <c r="BF139" s="595"/>
      <c r="BG139" s="595"/>
      <c r="BH139" s="595"/>
      <c r="BI139" s="595"/>
      <c r="BJ139" s="595"/>
      <c r="BK139" s="595"/>
      <c r="BL139" s="595"/>
      <c r="BM139" s="595"/>
      <c r="BN139" s="595"/>
      <c r="BO139" s="595"/>
      <c r="BP139" s="595"/>
      <c r="BQ139" s="595"/>
      <c r="BR139" s="595"/>
      <c r="BS139" s="595"/>
      <c r="BT139" s="595"/>
    </row>
    <row r="140" spans="1:72" s="631" customFormat="1" ht="15.75" customHeight="1" x14ac:dyDescent="0.2">
      <c r="A140" s="608"/>
      <c r="B140" s="609"/>
      <c r="C140" s="627"/>
      <c r="D140" s="610"/>
      <c r="E140" s="610" t="s">
        <v>175</v>
      </c>
      <c r="F140" s="620" t="s">
        <v>325</v>
      </c>
      <c r="G140" s="621">
        <f>3683+6308+2889+1000+2500</f>
        <v>16380</v>
      </c>
      <c r="H140" s="595"/>
      <c r="I140" s="595"/>
      <c r="J140" s="595"/>
      <c r="K140" s="595"/>
      <c r="L140" s="595"/>
      <c r="M140" s="595"/>
      <c r="N140" s="595"/>
      <c r="O140" s="595"/>
      <c r="P140" s="595"/>
      <c r="Q140" s="595"/>
      <c r="R140" s="595"/>
      <c r="S140" s="595"/>
      <c r="T140" s="595"/>
      <c r="U140" s="595"/>
      <c r="V140" s="595"/>
      <c r="W140" s="595"/>
      <c r="X140" s="595"/>
      <c r="Y140" s="595"/>
      <c r="Z140" s="595"/>
      <c r="AA140" s="595"/>
      <c r="AB140" s="595"/>
      <c r="AC140" s="595"/>
      <c r="AD140" s="595"/>
      <c r="AE140" s="595"/>
      <c r="AF140" s="595"/>
      <c r="AG140" s="595"/>
      <c r="AH140" s="595"/>
      <c r="AI140" s="595"/>
      <c r="AJ140" s="595"/>
      <c r="AK140" s="595"/>
      <c r="AL140" s="595"/>
      <c r="AM140" s="595"/>
      <c r="AN140" s="595"/>
      <c r="AO140" s="595"/>
      <c r="AP140" s="595"/>
      <c r="AQ140" s="595"/>
      <c r="AR140" s="595"/>
      <c r="AS140" s="595"/>
      <c r="AT140" s="595"/>
      <c r="AU140" s="595"/>
      <c r="AV140" s="595"/>
      <c r="AW140" s="595"/>
      <c r="AX140" s="595"/>
      <c r="AY140" s="595"/>
      <c r="AZ140" s="595"/>
      <c r="BA140" s="595"/>
      <c r="BB140" s="595"/>
      <c r="BC140" s="595"/>
      <c r="BD140" s="595"/>
      <c r="BE140" s="595"/>
      <c r="BF140" s="595"/>
      <c r="BG140" s="595"/>
      <c r="BH140" s="595"/>
      <c r="BI140" s="595"/>
      <c r="BJ140" s="595"/>
      <c r="BK140" s="595"/>
      <c r="BL140" s="595"/>
      <c r="BM140" s="595"/>
      <c r="BN140" s="595"/>
      <c r="BO140" s="595"/>
      <c r="BP140" s="595"/>
      <c r="BQ140" s="595"/>
      <c r="BR140" s="595"/>
      <c r="BS140" s="595"/>
      <c r="BT140" s="595"/>
    </row>
    <row r="141" spans="1:72" s="631" customFormat="1" ht="15.75" customHeight="1" x14ac:dyDescent="0.2">
      <c r="A141" s="608"/>
      <c r="B141" s="609"/>
      <c r="C141" s="627"/>
      <c r="D141" s="610"/>
      <c r="E141" s="610" t="s">
        <v>574</v>
      </c>
      <c r="F141" s="620" t="s">
        <v>325</v>
      </c>
      <c r="G141" s="621">
        <f>200</f>
        <v>200</v>
      </c>
      <c r="H141" s="595"/>
      <c r="I141" s="595"/>
      <c r="J141" s="595"/>
      <c r="K141" s="595"/>
      <c r="L141" s="595"/>
      <c r="M141" s="595"/>
      <c r="N141" s="595"/>
      <c r="O141" s="595"/>
      <c r="P141" s="595"/>
      <c r="Q141" s="595"/>
      <c r="R141" s="595"/>
      <c r="S141" s="595"/>
      <c r="T141" s="595"/>
      <c r="U141" s="595"/>
      <c r="V141" s="595"/>
      <c r="W141" s="595"/>
      <c r="X141" s="595"/>
      <c r="Y141" s="595"/>
      <c r="Z141" s="595"/>
      <c r="AA141" s="595"/>
      <c r="AB141" s="595"/>
      <c r="AC141" s="595"/>
      <c r="AD141" s="595"/>
      <c r="AE141" s="595"/>
      <c r="AF141" s="595"/>
      <c r="AG141" s="595"/>
      <c r="AH141" s="595"/>
      <c r="AI141" s="595"/>
      <c r="AJ141" s="595"/>
      <c r="AK141" s="595"/>
      <c r="AL141" s="595"/>
      <c r="AM141" s="595"/>
      <c r="AN141" s="595"/>
      <c r="AO141" s="595"/>
      <c r="AP141" s="595"/>
      <c r="AQ141" s="595"/>
      <c r="AR141" s="595"/>
      <c r="AS141" s="595"/>
      <c r="AT141" s="595"/>
      <c r="AU141" s="595"/>
      <c r="AV141" s="595"/>
      <c r="AW141" s="595"/>
      <c r="AX141" s="595"/>
      <c r="AY141" s="595"/>
      <c r="AZ141" s="595"/>
      <c r="BA141" s="595"/>
      <c r="BB141" s="595"/>
      <c r="BC141" s="595"/>
      <c r="BD141" s="595"/>
      <c r="BE141" s="595"/>
      <c r="BF141" s="595"/>
      <c r="BG141" s="595"/>
      <c r="BH141" s="595"/>
      <c r="BI141" s="595"/>
      <c r="BJ141" s="595"/>
      <c r="BK141" s="595"/>
      <c r="BL141" s="595"/>
      <c r="BM141" s="595"/>
      <c r="BN141" s="595"/>
      <c r="BO141" s="595"/>
      <c r="BP141" s="595"/>
      <c r="BQ141" s="595"/>
      <c r="BR141" s="595"/>
      <c r="BS141" s="595"/>
      <c r="BT141" s="595"/>
    </row>
    <row r="142" spans="1:72" s="631" customFormat="1" ht="15.75" customHeight="1" x14ac:dyDescent="0.2">
      <c r="A142" s="608"/>
      <c r="B142" s="609"/>
      <c r="C142" s="627"/>
      <c r="D142" s="610"/>
      <c r="E142" s="610" t="s">
        <v>587</v>
      </c>
      <c r="F142" s="620" t="s">
        <v>325</v>
      </c>
      <c r="G142" s="621">
        <f>2060+2334+4352-3000-2166+2423+9441</f>
        <v>15444</v>
      </c>
      <c r="H142" s="595"/>
      <c r="I142" s="595"/>
      <c r="J142" s="595"/>
      <c r="K142" s="595"/>
      <c r="L142" s="595"/>
      <c r="M142" s="595"/>
      <c r="N142" s="595"/>
      <c r="O142" s="595"/>
      <c r="P142" s="595"/>
      <c r="Q142" s="595"/>
      <c r="R142" s="595"/>
      <c r="S142" s="595"/>
      <c r="T142" s="595"/>
      <c r="U142" s="595"/>
      <c r="V142" s="595"/>
      <c r="W142" s="595"/>
      <c r="X142" s="595"/>
      <c r="Y142" s="595"/>
      <c r="Z142" s="595"/>
      <c r="AA142" s="595"/>
      <c r="AB142" s="595"/>
      <c r="AC142" s="595"/>
      <c r="AD142" s="595"/>
      <c r="AE142" s="595"/>
      <c r="AF142" s="595"/>
      <c r="AG142" s="595"/>
      <c r="AH142" s="595"/>
      <c r="AI142" s="595"/>
      <c r="AJ142" s="595"/>
      <c r="AK142" s="595"/>
      <c r="AL142" s="595"/>
      <c r="AM142" s="595"/>
      <c r="AN142" s="595"/>
      <c r="AO142" s="595"/>
      <c r="AP142" s="595"/>
      <c r="AQ142" s="595"/>
      <c r="AR142" s="595"/>
      <c r="AS142" s="595"/>
      <c r="AT142" s="595"/>
      <c r="AU142" s="595"/>
      <c r="AV142" s="595"/>
      <c r="AW142" s="595"/>
      <c r="AX142" s="595"/>
      <c r="AY142" s="595"/>
      <c r="AZ142" s="595"/>
      <c r="BA142" s="595"/>
      <c r="BB142" s="595"/>
      <c r="BC142" s="595"/>
      <c r="BD142" s="595"/>
      <c r="BE142" s="595"/>
      <c r="BF142" s="595"/>
      <c r="BG142" s="595"/>
      <c r="BH142" s="595"/>
      <c r="BI142" s="595"/>
      <c r="BJ142" s="595"/>
      <c r="BK142" s="595"/>
      <c r="BL142" s="595"/>
      <c r="BM142" s="595"/>
      <c r="BN142" s="595"/>
      <c r="BO142" s="595"/>
      <c r="BP142" s="595"/>
      <c r="BQ142" s="595"/>
      <c r="BR142" s="595"/>
      <c r="BS142" s="595"/>
      <c r="BT142" s="595"/>
    </row>
    <row r="143" spans="1:72" s="631" customFormat="1" ht="15.75" customHeight="1" x14ac:dyDescent="0.2">
      <c r="A143" s="608"/>
      <c r="B143" s="609"/>
      <c r="C143" s="627"/>
      <c r="D143" s="610"/>
      <c r="E143" s="610" t="s">
        <v>564</v>
      </c>
      <c r="F143" s="620" t="s">
        <v>325</v>
      </c>
      <c r="G143" s="621">
        <f>504+570+1062-1000-476+500+1885</f>
        <v>3045</v>
      </c>
      <c r="H143" s="595"/>
      <c r="I143" s="595"/>
      <c r="J143" s="595"/>
      <c r="K143" s="595"/>
      <c r="L143" s="595"/>
      <c r="M143" s="595"/>
      <c r="N143" s="595"/>
      <c r="O143" s="595"/>
      <c r="P143" s="595"/>
      <c r="Q143" s="595"/>
      <c r="R143" s="595"/>
      <c r="S143" s="595"/>
      <c r="T143" s="595"/>
      <c r="U143" s="595"/>
      <c r="V143" s="595"/>
      <c r="W143" s="595"/>
      <c r="X143" s="595"/>
      <c r="Y143" s="595"/>
      <c r="Z143" s="595"/>
      <c r="AA143" s="595"/>
      <c r="AB143" s="595"/>
      <c r="AC143" s="595"/>
      <c r="AD143" s="595"/>
      <c r="AE143" s="595"/>
      <c r="AF143" s="595"/>
      <c r="AG143" s="595"/>
      <c r="AH143" s="595"/>
      <c r="AI143" s="595"/>
      <c r="AJ143" s="595"/>
      <c r="AK143" s="595"/>
      <c r="AL143" s="595"/>
      <c r="AM143" s="595"/>
      <c r="AN143" s="595"/>
      <c r="AO143" s="595"/>
      <c r="AP143" s="595"/>
      <c r="AQ143" s="595"/>
      <c r="AR143" s="595"/>
      <c r="AS143" s="595"/>
      <c r="AT143" s="595"/>
      <c r="AU143" s="595"/>
      <c r="AV143" s="595"/>
      <c r="AW143" s="595"/>
      <c r="AX143" s="595"/>
      <c r="AY143" s="595"/>
      <c r="AZ143" s="595"/>
      <c r="BA143" s="595"/>
      <c r="BB143" s="595"/>
      <c r="BC143" s="595"/>
      <c r="BD143" s="595"/>
      <c r="BE143" s="595"/>
      <c r="BF143" s="595"/>
      <c r="BG143" s="595"/>
      <c r="BH143" s="595"/>
      <c r="BI143" s="595"/>
      <c r="BJ143" s="595"/>
      <c r="BK143" s="595"/>
      <c r="BL143" s="595"/>
      <c r="BM143" s="595"/>
      <c r="BN143" s="595"/>
      <c r="BO143" s="595"/>
      <c r="BP143" s="595"/>
      <c r="BQ143" s="595"/>
      <c r="BR143" s="595"/>
      <c r="BS143" s="595"/>
      <c r="BT143" s="595"/>
    </row>
    <row r="144" spans="1:72" s="631" customFormat="1" ht="15.75" customHeight="1" x14ac:dyDescent="0.2">
      <c r="A144" s="608"/>
      <c r="B144" s="609"/>
      <c r="C144" s="627"/>
      <c r="D144" s="610"/>
      <c r="E144" s="610" t="s">
        <v>576</v>
      </c>
      <c r="F144" s="620" t="s">
        <v>325</v>
      </c>
      <c r="G144" s="621">
        <f>4800+100</f>
        <v>4900</v>
      </c>
      <c r="H144" s="595"/>
      <c r="I144" s="595"/>
      <c r="J144" s="595"/>
      <c r="K144" s="595"/>
      <c r="L144" s="595"/>
      <c r="M144" s="595"/>
      <c r="N144" s="595"/>
      <c r="O144" s="595"/>
      <c r="P144" s="595"/>
      <c r="Q144" s="595"/>
      <c r="R144" s="595"/>
      <c r="S144" s="595"/>
      <c r="T144" s="595"/>
      <c r="U144" s="595"/>
      <c r="V144" s="595"/>
      <c r="W144" s="595"/>
      <c r="X144" s="595"/>
      <c r="Y144" s="595"/>
      <c r="Z144" s="595"/>
      <c r="AA144" s="595"/>
      <c r="AB144" s="595"/>
      <c r="AC144" s="595"/>
      <c r="AD144" s="595"/>
      <c r="AE144" s="595"/>
      <c r="AF144" s="595"/>
      <c r="AG144" s="595"/>
      <c r="AH144" s="595"/>
      <c r="AI144" s="595"/>
      <c r="AJ144" s="595"/>
      <c r="AK144" s="595"/>
      <c r="AL144" s="595"/>
      <c r="AM144" s="595"/>
      <c r="AN144" s="595"/>
      <c r="AO144" s="595"/>
      <c r="AP144" s="595"/>
      <c r="AQ144" s="595"/>
      <c r="AR144" s="595"/>
      <c r="AS144" s="595"/>
      <c r="AT144" s="595"/>
      <c r="AU144" s="595"/>
      <c r="AV144" s="595"/>
      <c r="AW144" s="595"/>
      <c r="AX144" s="595"/>
      <c r="AY144" s="595"/>
      <c r="AZ144" s="595"/>
      <c r="BA144" s="595"/>
      <c r="BB144" s="595"/>
      <c r="BC144" s="595"/>
      <c r="BD144" s="595"/>
      <c r="BE144" s="595"/>
      <c r="BF144" s="595"/>
      <c r="BG144" s="595"/>
      <c r="BH144" s="595"/>
      <c r="BI144" s="595"/>
      <c r="BJ144" s="595"/>
      <c r="BK144" s="595"/>
      <c r="BL144" s="595"/>
      <c r="BM144" s="595"/>
      <c r="BN144" s="595"/>
      <c r="BO144" s="595"/>
      <c r="BP144" s="595"/>
      <c r="BQ144" s="595"/>
      <c r="BR144" s="595"/>
      <c r="BS144" s="595"/>
      <c r="BT144" s="595"/>
    </row>
    <row r="145" spans="1:72" s="631" customFormat="1" ht="7.5" customHeight="1" x14ac:dyDescent="0.2">
      <c r="A145" s="608"/>
      <c r="B145" s="609"/>
      <c r="C145" s="627"/>
      <c r="D145" s="610"/>
      <c r="E145" s="611"/>
      <c r="F145" s="613"/>
      <c r="G145" s="625"/>
      <c r="H145" s="595"/>
      <c r="I145" s="595"/>
      <c r="J145" s="595"/>
      <c r="K145" s="595"/>
      <c r="L145" s="595"/>
      <c r="M145" s="595"/>
      <c r="N145" s="595"/>
      <c r="O145" s="595"/>
      <c r="P145" s="595"/>
      <c r="Q145" s="595"/>
      <c r="R145" s="595"/>
      <c r="S145" s="595"/>
      <c r="T145" s="595"/>
      <c r="U145" s="595"/>
      <c r="V145" s="595"/>
      <c r="W145" s="595"/>
      <c r="X145" s="595"/>
      <c r="Y145" s="595"/>
      <c r="Z145" s="595"/>
      <c r="AA145" s="595"/>
      <c r="AB145" s="595"/>
      <c r="AC145" s="595"/>
      <c r="AD145" s="595"/>
      <c r="AE145" s="595"/>
      <c r="AF145" s="595"/>
      <c r="AG145" s="595"/>
      <c r="AH145" s="595"/>
      <c r="AI145" s="595"/>
      <c r="AJ145" s="595"/>
      <c r="AK145" s="595"/>
      <c r="AL145" s="595"/>
      <c r="AM145" s="595"/>
      <c r="AN145" s="595"/>
      <c r="AO145" s="595"/>
      <c r="AP145" s="595"/>
      <c r="AQ145" s="595"/>
      <c r="AR145" s="595"/>
      <c r="AS145" s="595"/>
      <c r="AT145" s="595"/>
      <c r="AU145" s="595"/>
      <c r="AV145" s="595"/>
      <c r="AW145" s="595"/>
      <c r="AX145" s="595"/>
      <c r="AY145" s="595"/>
      <c r="AZ145" s="595"/>
      <c r="BA145" s="595"/>
      <c r="BB145" s="595"/>
      <c r="BC145" s="595"/>
      <c r="BD145" s="595"/>
      <c r="BE145" s="595"/>
      <c r="BF145" s="595"/>
      <c r="BG145" s="595"/>
      <c r="BH145" s="595"/>
      <c r="BI145" s="595"/>
      <c r="BJ145" s="595"/>
      <c r="BK145" s="595"/>
      <c r="BL145" s="595"/>
      <c r="BM145" s="595"/>
      <c r="BN145" s="595"/>
      <c r="BO145" s="595"/>
      <c r="BP145" s="595"/>
      <c r="BQ145" s="595"/>
      <c r="BR145" s="595"/>
      <c r="BS145" s="595"/>
      <c r="BT145" s="595"/>
    </row>
    <row r="146" spans="1:72" s="631" customFormat="1" ht="18.75" customHeight="1" x14ac:dyDescent="0.2">
      <c r="A146" s="608"/>
      <c r="B146" s="633" t="s">
        <v>56</v>
      </c>
      <c r="C146" s="610" t="s">
        <v>126</v>
      </c>
      <c r="D146" s="610" t="s">
        <v>592</v>
      </c>
      <c r="E146" s="611" t="s">
        <v>325</v>
      </c>
      <c r="F146" s="613" t="s">
        <v>325</v>
      </c>
      <c r="G146" s="612">
        <f>SUM(G148)</f>
        <v>9804.67</v>
      </c>
      <c r="H146" s="595"/>
      <c r="I146" s="595"/>
      <c r="J146" s="595"/>
      <c r="K146" s="595"/>
      <c r="L146" s="595"/>
      <c r="M146" s="595"/>
      <c r="N146" s="595"/>
      <c r="O146" s="595"/>
      <c r="P146" s="595"/>
      <c r="Q146" s="595"/>
      <c r="R146" s="595"/>
      <c r="S146" s="595"/>
      <c r="T146" s="595"/>
      <c r="U146" s="595"/>
      <c r="V146" s="595"/>
      <c r="W146" s="595"/>
      <c r="X146" s="595"/>
      <c r="Y146" s="595"/>
      <c r="Z146" s="595"/>
      <c r="AA146" s="595"/>
      <c r="AB146" s="595"/>
      <c r="AC146" s="595"/>
      <c r="AD146" s="595"/>
      <c r="AE146" s="595"/>
      <c r="AF146" s="595"/>
      <c r="AG146" s="595"/>
      <c r="AH146" s="595"/>
      <c r="AI146" s="595"/>
      <c r="AJ146" s="595"/>
      <c r="AK146" s="595"/>
      <c r="AL146" s="595"/>
      <c r="AM146" s="595"/>
      <c r="AN146" s="595"/>
      <c r="AO146" s="595"/>
      <c r="AP146" s="595"/>
      <c r="AQ146" s="595"/>
      <c r="AR146" s="595"/>
      <c r="AS146" s="595"/>
      <c r="AT146" s="595"/>
      <c r="AU146" s="595"/>
      <c r="AV146" s="595"/>
      <c r="AW146" s="595"/>
      <c r="AX146" s="595"/>
      <c r="AY146" s="595"/>
      <c r="AZ146" s="595"/>
      <c r="BA146" s="595"/>
      <c r="BB146" s="595"/>
      <c r="BC146" s="595"/>
      <c r="BD146" s="595"/>
      <c r="BE146" s="595"/>
      <c r="BF146" s="595"/>
      <c r="BG146" s="595"/>
      <c r="BH146" s="595"/>
      <c r="BI146" s="595"/>
      <c r="BJ146" s="595"/>
      <c r="BK146" s="595"/>
      <c r="BL146" s="595"/>
      <c r="BM146" s="595"/>
      <c r="BN146" s="595"/>
      <c r="BO146" s="595"/>
      <c r="BP146" s="595"/>
      <c r="BQ146" s="595"/>
      <c r="BR146" s="595"/>
      <c r="BS146" s="595"/>
      <c r="BT146" s="595"/>
    </row>
    <row r="147" spans="1:72" s="631" customFormat="1" ht="6" customHeight="1" x14ac:dyDescent="0.2">
      <c r="A147" s="608"/>
      <c r="B147" s="609"/>
      <c r="C147" s="627"/>
      <c r="D147" s="610"/>
      <c r="E147" s="610"/>
      <c r="F147" s="620"/>
      <c r="G147" s="621"/>
      <c r="H147" s="595"/>
      <c r="I147" s="595"/>
      <c r="J147" s="595"/>
      <c r="K147" s="595"/>
      <c r="L147" s="595"/>
      <c r="M147" s="595"/>
      <c r="N147" s="595"/>
      <c r="O147" s="595"/>
      <c r="P147" s="595"/>
      <c r="Q147" s="595"/>
      <c r="R147" s="595"/>
      <c r="S147" s="595"/>
      <c r="T147" s="595"/>
      <c r="U147" s="595"/>
      <c r="V147" s="595"/>
      <c r="W147" s="595"/>
      <c r="X147" s="595"/>
      <c r="Y147" s="595"/>
      <c r="Z147" s="595"/>
      <c r="AA147" s="595"/>
      <c r="AB147" s="595"/>
      <c r="AC147" s="595"/>
      <c r="AD147" s="595"/>
      <c r="AE147" s="595"/>
      <c r="AF147" s="595"/>
      <c r="AG147" s="595"/>
      <c r="AH147" s="595"/>
      <c r="AI147" s="595"/>
      <c r="AJ147" s="595"/>
      <c r="AK147" s="595"/>
      <c r="AL147" s="595"/>
      <c r="AM147" s="595"/>
      <c r="AN147" s="595"/>
      <c r="AO147" s="595"/>
      <c r="AP147" s="595"/>
      <c r="AQ147" s="595"/>
      <c r="AR147" s="595"/>
      <c r="AS147" s="595"/>
      <c r="AT147" s="595"/>
      <c r="AU147" s="595"/>
      <c r="AV147" s="595"/>
      <c r="AW147" s="595"/>
      <c r="AX147" s="595"/>
      <c r="AY147" s="595"/>
      <c r="AZ147" s="595"/>
      <c r="BA147" s="595"/>
      <c r="BB147" s="595"/>
      <c r="BC147" s="595"/>
      <c r="BD147" s="595"/>
      <c r="BE147" s="595"/>
      <c r="BF147" s="595"/>
      <c r="BG147" s="595"/>
      <c r="BH147" s="595"/>
      <c r="BI147" s="595"/>
      <c r="BJ147" s="595"/>
      <c r="BK147" s="595"/>
      <c r="BL147" s="595"/>
      <c r="BM147" s="595"/>
      <c r="BN147" s="595"/>
      <c r="BO147" s="595"/>
      <c r="BP147" s="595"/>
      <c r="BQ147" s="595"/>
      <c r="BR147" s="595"/>
      <c r="BS147" s="595"/>
      <c r="BT147" s="595"/>
    </row>
    <row r="148" spans="1:72" s="631" customFormat="1" ht="15.75" customHeight="1" x14ac:dyDescent="0.2">
      <c r="A148" s="608"/>
      <c r="B148" s="609"/>
      <c r="C148" s="627"/>
      <c r="D148" s="610"/>
      <c r="E148" s="610"/>
      <c r="F148" s="620"/>
      <c r="G148" s="632">
        <f>SUM(G149)</f>
        <v>9804.67</v>
      </c>
      <c r="H148" s="595"/>
      <c r="I148" s="595"/>
      <c r="J148" s="595"/>
      <c r="K148" s="595"/>
      <c r="L148" s="595"/>
      <c r="M148" s="595"/>
      <c r="N148" s="595"/>
      <c r="O148" s="595"/>
      <c r="P148" s="595"/>
      <c r="Q148" s="595"/>
      <c r="R148" s="595"/>
      <c r="S148" s="595"/>
      <c r="T148" s="595"/>
      <c r="U148" s="595"/>
      <c r="V148" s="595"/>
      <c r="W148" s="595"/>
      <c r="X148" s="595"/>
      <c r="Y148" s="595"/>
      <c r="Z148" s="595"/>
      <c r="AA148" s="595"/>
      <c r="AB148" s="595"/>
      <c r="AC148" s="595"/>
      <c r="AD148" s="595"/>
      <c r="AE148" s="595"/>
      <c r="AF148" s="595"/>
      <c r="AG148" s="595"/>
      <c r="AH148" s="595"/>
      <c r="AI148" s="595"/>
      <c r="AJ148" s="595"/>
      <c r="AK148" s="595"/>
      <c r="AL148" s="595"/>
      <c r="AM148" s="595"/>
      <c r="AN148" s="595"/>
      <c r="AO148" s="595"/>
      <c r="AP148" s="595"/>
      <c r="AQ148" s="595"/>
      <c r="AR148" s="595"/>
      <c r="AS148" s="595"/>
      <c r="AT148" s="595"/>
      <c r="AU148" s="595"/>
      <c r="AV148" s="595"/>
      <c r="AW148" s="595"/>
      <c r="AX148" s="595"/>
      <c r="AY148" s="595"/>
      <c r="AZ148" s="595"/>
      <c r="BA148" s="595"/>
      <c r="BB148" s="595"/>
      <c r="BC148" s="595"/>
      <c r="BD148" s="595"/>
      <c r="BE148" s="595"/>
      <c r="BF148" s="595"/>
      <c r="BG148" s="595"/>
      <c r="BH148" s="595"/>
      <c r="BI148" s="595"/>
      <c r="BJ148" s="595"/>
      <c r="BK148" s="595"/>
      <c r="BL148" s="595"/>
      <c r="BM148" s="595"/>
      <c r="BN148" s="595"/>
      <c r="BO148" s="595"/>
      <c r="BP148" s="595"/>
      <c r="BQ148" s="595"/>
      <c r="BR148" s="595"/>
      <c r="BS148" s="595"/>
      <c r="BT148" s="595"/>
    </row>
    <row r="149" spans="1:72" s="631" customFormat="1" ht="15.75" customHeight="1" x14ac:dyDescent="0.2">
      <c r="A149" s="608"/>
      <c r="B149" s="609"/>
      <c r="C149" s="627"/>
      <c r="D149" s="610"/>
      <c r="E149" s="610" t="s">
        <v>188</v>
      </c>
      <c r="F149" s="620" t="s">
        <v>325</v>
      </c>
      <c r="G149" s="621">
        <f>741.67+861+776+10353+828+796-8665+856+854+2404</f>
        <v>9804.67</v>
      </c>
      <c r="H149" s="595"/>
      <c r="I149" s="595"/>
      <c r="J149" s="595"/>
      <c r="K149" s="595"/>
      <c r="L149" s="595"/>
      <c r="M149" s="595"/>
      <c r="N149" s="595"/>
      <c r="O149" s="595"/>
      <c r="P149" s="595"/>
      <c r="Q149" s="595"/>
      <c r="R149" s="595"/>
      <c r="S149" s="595"/>
      <c r="T149" s="595"/>
      <c r="U149" s="595"/>
      <c r="V149" s="595"/>
      <c r="W149" s="595"/>
      <c r="X149" s="595"/>
      <c r="Y149" s="595"/>
      <c r="Z149" s="595"/>
      <c r="AA149" s="595"/>
      <c r="AB149" s="595"/>
      <c r="AC149" s="595"/>
      <c r="AD149" s="595"/>
      <c r="AE149" s="595"/>
      <c r="AF149" s="595"/>
      <c r="AG149" s="595"/>
      <c r="AH149" s="595"/>
      <c r="AI149" s="595"/>
      <c r="AJ149" s="595"/>
      <c r="AK149" s="595"/>
      <c r="AL149" s="595"/>
      <c r="AM149" s="595"/>
      <c r="AN149" s="595"/>
      <c r="AO149" s="595"/>
      <c r="AP149" s="595"/>
      <c r="AQ149" s="595"/>
      <c r="AR149" s="595"/>
      <c r="AS149" s="595"/>
      <c r="AT149" s="595"/>
      <c r="AU149" s="595"/>
      <c r="AV149" s="595"/>
      <c r="AW149" s="595"/>
      <c r="AX149" s="595"/>
      <c r="AY149" s="595"/>
      <c r="AZ149" s="595"/>
      <c r="BA149" s="595"/>
      <c r="BB149" s="595"/>
      <c r="BC149" s="595"/>
      <c r="BD149" s="595"/>
      <c r="BE149" s="595"/>
      <c r="BF149" s="595"/>
      <c r="BG149" s="595"/>
      <c r="BH149" s="595"/>
      <c r="BI149" s="595"/>
      <c r="BJ149" s="595"/>
      <c r="BK149" s="595"/>
      <c r="BL149" s="595"/>
      <c r="BM149" s="595"/>
      <c r="BN149" s="595"/>
      <c r="BO149" s="595"/>
      <c r="BP149" s="595"/>
      <c r="BQ149" s="595"/>
      <c r="BR149" s="595"/>
      <c r="BS149" s="595"/>
      <c r="BT149" s="595"/>
    </row>
    <row r="150" spans="1:72" s="631" customFormat="1" ht="6" customHeight="1" x14ac:dyDescent="0.2">
      <c r="A150" s="608"/>
      <c r="B150" s="609"/>
      <c r="C150" s="627"/>
      <c r="D150" s="610"/>
      <c r="E150" s="611"/>
      <c r="F150" s="613"/>
      <c r="G150" s="625"/>
      <c r="H150" s="595"/>
      <c r="I150" s="595"/>
      <c r="J150" s="595"/>
      <c r="K150" s="595"/>
      <c r="L150" s="595"/>
      <c r="M150" s="595"/>
      <c r="N150" s="595"/>
      <c r="O150" s="595"/>
      <c r="P150" s="595"/>
      <c r="Q150" s="595"/>
      <c r="R150" s="595"/>
      <c r="S150" s="595"/>
      <c r="T150" s="595"/>
      <c r="U150" s="595"/>
      <c r="V150" s="595"/>
      <c r="W150" s="595"/>
      <c r="X150" s="595"/>
      <c r="Y150" s="595"/>
      <c r="Z150" s="595"/>
      <c r="AA150" s="595"/>
      <c r="AB150" s="595"/>
      <c r="AC150" s="595"/>
      <c r="AD150" s="595"/>
      <c r="AE150" s="595"/>
      <c r="AF150" s="595"/>
      <c r="AG150" s="595"/>
      <c r="AH150" s="595"/>
      <c r="AI150" s="595"/>
      <c r="AJ150" s="595"/>
      <c r="AK150" s="595"/>
      <c r="AL150" s="595"/>
      <c r="AM150" s="595"/>
      <c r="AN150" s="595"/>
      <c r="AO150" s="595"/>
      <c r="AP150" s="595"/>
      <c r="AQ150" s="595"/>
      <c r="AR150" s="595"/>
      <c r="AS150" s="595"/>
      <c r="AT150" s="595"/>
      <c r="AU150" s="595"/>
      <c r="AV150" s="595"/>
      <c r="AW150" s="595"/>
      <c r="AX150" s="595"/>
      <c r="AY150" s="595"/>
      <c r="AZ150" s="595"/>
      <c r="BA150" s="595"/>
      <c r="BB150" s="595"/>
      <c r="BC150" s="595"/>
      <c r="BD150" s="595"/>
      <c r="BE150" s="595"/>
      <c r="BF150" s="595"/>
      <c r="BG150" s="595"/>
      <c r="BH150" s="595"/>
      <c r="BI150" s="595"/>
      <c r="BJ150" s="595"/>
      <c r="BK150" s="595"/>
      <c r="BL150" s="595"/>
      <c r="BM150" s="595"/>
      <c r="BN150" s="595"/>
      <c r="BO150" s="595"/>
      <c r="BP150" s="595"/>
      <c r="BQ150" s="595"/>
      <c r="BR150" s="595"/>
      <c r="BS150" s="595"/>
      <c r="BT150" s="595"/>
    </row>
    <row r="151" spans="1:72" s="631" customFormat="1" ht="18.75" customHeight="1" x14ac:dyDescent="0.2">
      <c r="A151" s="608"/>
      <c r="B151" s="633" t="s">
        <v>42</v>
      </c>
      <c r="C151" s="610" t="s">
        <v>126</v>
      </c>
      <c r="D151" s="610" t="s">
        <v>593</v>
      </c>
      <c r="E151" s="611" t="s">
        <v>325</v>
      </c>
      <c r="F151" s="613" t="s">
        <v>325</v>
      </c>
      <c r="G151" s="612">
        <f>SUM(G153)</f>
        <v>156412.75</v>
      </c>
      <c r="H151" s="595"/>
      <c r="I151" s="595"/>
      <c r="J151" s="595"/>
      <c r="K151" s="595"/>
      <c r="L151" s="595"/>
      <c r="M151" s="595"/>
      <c r="N151" s="595"/>
      <c r="O151" s="595"/>
      <c r="P151" s="595"/>
      <c r="Q151" s="595"/>
      <c r="R151" s="595"/>
      <c r="S151" s="595"/>
      <c r="T151" s="595"/>
      <c r="U151" s="595"/>
      <c r="V151" s="595"/>
      <c r="W151" s="595"/>
      <c r="X151" s="595"/>
      <c r="Y151" s="595"/>
      <c r="Z151" s="595"/>
      <c r="AA151" s="595"/>
      <c r="AB151" s="595"/>
      <c r="AC151" s="595"/>
      <c r="AD151" s="595"/>
      <c r="AE151" s="595"/>
      <c r="AF151" s="595"/>
      <c r="AG151" s="595"/>
      <c r="AH151" s="595"/>
      <c r="AI151" s="595"/>
      <c r="AJ151" s="595"/>
      <c r="AK151" s="595"/>
      <c r="AL151" s="595"/>
      <c r="AM151" s="595"/>
      <c r="AN151" s="595"/>
      <c r="AO151" s="595"/>
      <c r="AP151" s="595"/>
      <c r="AQ151" s="595"/>
      <c r="AR151" s="595"/>
      <c r="AS151" s="595"/>
      <c r="AT151" s="595"/>
      <c r="AU151" s="595"/>
      <c r="AV151" s="595"/>
      <c r="AW151" s="595"/>
      <c r="AX151" s="595"/>
      <c r="AY151" s="595"/>
      <c r="AZ151" s="595"/>
      <c r="BA151" s="595"/>
      <c r="BB151" s="595"/>
      <c r="BC151" s="595"/>
      <c r="BD151" s="595"/>
      <c r="BE151" s="595"/>
      <c r="BF151" s="595"/>
      <c r="BG151" s="595"/>
      <c r="BH151" s="595"/>
      <c r="BI151" s="595"/>
      <c r="BJ151" s="595"/>
      <c r="BK151" s="595"/>
      <c r="BL151" s="595"/>
      <c r="BM151" s="595"/>
      <c r="BN151" s="595"/>
      <c r="BO151" s="595"/>
      <c r="BP151" s="595"/>
      <c r="BQ151" s="595"/>
      <c r="BR151" s="595"/>
      <c r="BS151" s="595"/>
      <c r="BT151" s="595"/>
    </row>
    <row r="152" spans="1:72" s="631" customFormat="1" ht="6" customHeight="1" x14ac:dyDescent="0.2">
      <c r="A152" s="608"/>
      <c r="B152" s="609"/>
      <c r="C152" s="627"/>
      <c r="D152" s="610"/>
      <c r="E152" s="610"/>
      <c r="F152" s="620"/>
      <c r="G152" s="621"/>
      <c r="H152" s="595"/>
      <c r="I152" s="595"/>
      <c r="J152" s="595"/>
      <c r="K152" s="595"/>
      <c r="L152" s="595"/>
      <c r="M152" s="595"/>
      <c r="N152" s="595"/>
      <c r="O152" s="595"/>
      <c r="P152" s="595"/>
      <c r="Q152" s="595"/>
      <c r="R152" s="595"/>
      <c r="S152" s="595"/>
      <c r="T152" s="595"/>
      <c r="U152" s="595"/>
      <c r="V152" s="595"/>
      <c r="W152" s="595"/>
      <c r="X152" s="595"/>
      <c r="Y152" s="595"/>
      <c r="Z152" s="595"/>
      <c r="AA152" s="595"/>
      <c r="AB152" s="595"/>
      <c r="AC152" s="595"/>
      <c r="AD152" s="595"/>
      <c r="AE152" s="595"/>
      <c r="AF152" s="595"/>
      <c r="AG152" s="595"/>
      <c r="AH152" s="595"/>
      <c r="AI152" s="595"/>
      <c r="AJ152" s="595"/>
      <c r="AK152" s="595"/>
      <c r="AL152" s="595"/>
      <c r="AM152" s="595"/>
      <c r="AN152" s="595"/>
      <c r="AO152" s="595"/>
      <c r="AP152" s="595"/>
      <c r="AQ152" s="595"/>
      <c r="AR152" s="595"/>
      <c r="AS152" s="595"/>
      <c r="AT152" s="595"/>
      <c r="AU152" s="595"/>
      <c r="AV152" s="595"/>
      <c r="AW152" s="595"/>
      <c r="AX152" s="595"/>
      <c r="AY152" s="595"/>
      <c r="AZ152" s="595"/>
      <c r="BA152" s="595"/>
      <c r="BB152" s="595"/>
      <c r="BC152" s="595"/>
      <c r="BD152" s="595"/>
      <c r="BE152" s="595"/>
      <c r="BF152" s="595"/>
      <c r="BG152" s="595"/>
      <c r="BH152" s="595"/>
      <c r="BI152" s="595"/>
      <c r="BJ152" s="595"/>
      <c r="BK152" s="595"/>
      <c r="BL152" s="595"/>
      <c r="BM152" s="595"/>
      <c r="BN152" s="595"/>
      <c r="BO152" s="595"/>
      <c r="BP152" s="595"/>
      <c r="BQ152" s="595"/>
      <c r="BR152" s="595"/>
      <c r="BS152" s="595"/>
      <c r="BT152" s="595"/>
    </row>
    <row r="153" spans="1:72" s="631" customFormat="1" ht="15.75" customHeight="1" x14ac:dyDescent="0.2">
      <c r="A153" s="608"/>
      <c r="B153" s="609"/>
      <c r="C153" s="627"/>
      <c r="D153" s="610"/>
      <c r="E153" s="610"/>
      <c r="F153" s="620"/>
      <c r="G153" s="632">
        <f>SUM(G154:G158)</f>
        <v>156412.75</v>
      </c>
      <c r="H153" s="595"/>
      <c r="I153" s="595"/>
      <c r="J153" s="595"/>
      <c r="K153" s="595"/>
      <c r="L153" s="595"/>
      <c r="M153" s="595"/>
      <c r="N153" s="595"/>
      <c r="O153" s="595"/>
      <c r="P153" s="595"/>
      <c r="Q153" s="595"/>
      <c r="R153" s="595"/>
      <c r="S153" s="595"/>
      <c r="T153" s="595"/>
      <c r="U153" s="595"/>
      <c r="V153" s="595"/>
      <c r="W153" s="595"/>
      <c r="X153" s="595"/>
      <c r="Y153" s="595"/>
      <c r="Z153" s="595"/>
      <c r="AA153" s="595"/>
      <c r="AB153" s="595"/>
      <c r="AC153" s="595"/>
      <c r="AD153" s="595"/>
      <c r="AE153" s="595"/>
      <c r="AF153" s="595"/>
      <c r="AG153" s="595"/>
      <c r="AH153" s="595"/>
      <c r="AI153" s="595"/>
      <c r="AJ153" s="595"/>
      <c r="AK153" s="595"/>
      <c r="AL153" s="595"/>
      <c r="AM153" s="595"/>
      <c r="AN153" s="595"/>
      <c r="AO153" s="595"/>
      <c r="AP153" s="595"/>
      <c r="AQ153" s="595"/>
      <c r="AR153" s="595"/>
      <c r="AS153" s="595"/>
      <c r="AT153" s="595"/>
      <c r="AU153" s="595"/>
      <c r="AV153" s="595"/>
      <c r="AW153" s="595"/>
      <c r="AX153" s="595"/>
      <c r="AY153" s="595"/>
      <c r="AZ153" s="595"/>
      <c r="BA153" s="595"/>
      <c r="BB153" s="595"/>
      <c r="BC153" s="595"/>
      <c r="BD153" s="595"/>
      <c r="BE153" s="595"/>
      <c r="BF153" s="595"/>
      <c r="BG153" s="595"/>
      <c r="BH153" s="595"/>
      <c r="BI153" s="595"/>
      <c r="BJ153" s="595"/>
      <c r="BK153" s="595"/>
      <c r="BL153" s="595"/>
      <c r="BM153" s="595"/>
      <c r="BN153" s="595"/>
      <c r="BO153" s="595"/>
      <c r="BP153" s="595"/>
      <c r="BQ153" s="595"/>
      <c r="BR153" s="595"/>
      <c r="BS153" s="595"/>
      <c r="BT153" s="595"/>
    </row>
    <row r="154" spans="1:72" s="631" customFormat="1" ht="15.75" customHeight="1" x14ac:dyDescent="0.2">
      <c r="A154" s="608"/>
      <c r="B154" s="609"/>
      <c r="C154" s="627"/>
      <c r="D154" s="610"/>
      <c r="E154" s="610" t="s">
        <v>175</v>
      </c>
      <c r="F154" s="620" t="s">
        <v>325</v>
      </c>
      <c r="G154" s="621">
        <f>14616.75+1000+7819+34972+11749+1000</f>
        <v>71156.75</v>
      </c>
      <c r="H154" s="595"/>
      <c r="I154" s="595"/>
      <c r="J154" s="595"/>
      <c r="K154" s="595"/>
      <c r="L154" s="595"/>
      <c r="M154" s="595"/>
      <c r="N154" s="595"/>
      <c r="O154" s="595"/>
      <c r="P154" s="595"/>
      <c r="Q154" s="595"/>
      <c r="R154" s="595"/>
      <c r="S154" s="595"/>
      <c r="T154" s="595"/>
      <c r="U154" s="595"/>
      <c r="V154" s="595"/>
      <c r="W154" s="595"/>
      <c r="X154" s="595"/>
      <c r="Y154" s="595"/>
      <c r="Z154" s="595"/>
      <c r="AA154" s="595"/>
      <c r="AB154" s="595"/>
      <c r="AC154" s="595"/>
      <c r="AD154" s="595"/>
      <c r="AE154" s="595"/>
      <c r="AF154" s="595"/>
      <c r="AG154" s="595"/>
      <c r="AH154" s="595"/>
      <c r="AI154" s="595"/>
      <c r="AJ154" s="595"/>
      <c r="AK154" s="595"/>
      <c r="AL154" s="595"/>
      <c r="AM154" s="595"/>
      <c r="AN154" s="595"/>
      <c r="AO154" s="595"/>
      <c r="AP154" s="595"/>
      <c r="AQ154" s="595"/>
      <c r="AR154" s="595"/>
      <c r="AS154" s="595"/>
      <c r="AT154" s="595"/>
      <c r="AU154" s="595"/>
      <c r="AV154" s="595"/>
      <c r="AW154" s="595"/>
      <c r="AX154" s="595"/>
      <c r="AY154" s="595"/>
      <c r="AZ154" s="595"/>
      <c r="BA154" s="595"/>
      <c r="BB154" s="595"/>
      <c r="BC154" s="595"/>
      <c r="BD154" s="595"/>
      <c r="BE154" s="595"/>
      <c r="BF154" s="595"/>
      <c r="BG154" s="595"/>
      <c r="BH154" s="595"/>
      <c r="BI154" s="595"/>
      <c r="BJ154" s="595"/>
      <c r="BK154" s="595"/>
      <c r="BL154" s="595"/>
      <c r="BM154" s="595"/>
      <c r="BN154" s="595"/>
      <c r="BO154" s="595"/>
      <c r="BP154" s="595"/>
      <c r="BQ154" s="595"/>
      <c r="BR154" s="595"/>
      <c r="BS154" s="595"/>
      <c r="BT154" s="595"/>
    </row>
    <row r="155" spans="1:72" s="631" customFormat="1" ht="15.75" customHeight="1" x14ac:dyDescent="0.2">
      <c r="A155" s="608"/>
      <c r="B155" s="609"/>
      <c r="C155" s="627"/>
      <c r="D155" s="610"/>
      <c r="E155" s="610" t="s">
        <v>574</v>
      </c>
      <c r="F155" s="620" t="s">
        <v>325</v>
      </c>
      <c r="G155" s="621">
        <f>530+150-100</f>
        <v>580</v>
      </c>
      <c r="H155" s="595"/>
      <c r="I155" s="595"/>
      <c r="J155" s="595"/>
      <c r="K155" s="595"/>
      <c r="L155" s="595"/>
      <c r="M155" s="595"/>
      <c r="N155" s="595"/>
      <c r="O155" s="595"/>
      <c r="P155" s="595"/>
      <c r="Q155" s="595"/>
      <c r="R155" s="595"/>
      <c r="S155" s="595"/>
      <c r="T155" s="595"/>
      <c r="U155" s="595"/>
      <c r="V155" s="595"/>
      <c r="W155" s="595"/>
      <c r="X155" s="595"/>
      <c r="Y155" s="595"/>
      <c r="Z155" s="595"/>
      <c r="AA155" s="595"/>
      <c r="AB155" s="595"/>
      <c r="AC155" s="595"/>
      <c r="AD155" s="595"/>
      <c r="AE155" s="595"/>
      <c r="AF155" s="595"/>
      <c r="AG155" s="595"/>
      <c r="AH155" s="595"/>
      <c r="AI155" s="595"/>
      <c r="AJ155" s="595"/>
      <c r="AK155" s="595"/>
      <c r="AL155" s="595"/>
      <c r="AM155" s="595"/>
      <c r="AN155" s="595"/>
      <c r="AO155" s="595"/>
      <c r="AP155" s="595"/>
      <c r="AQ155" s="595"/>
      <c r="AR155" s="595"/>
      <c r="AS155" s="595"/>
      <c r="AT155" s="595"/>
      <c r="AU155" s="595"/>
      <c r="AV155" s="595"/>
      <c r="AW155" s="595"/>
      <c r="AX155" s="595"/>
      <c r="AY155" s="595"/>
      <c r="AZ155" s="595"/>
      <c r="BA155" s="595"/>
      <c r="BB155" s="595"/>
      <c r="BC155" s="595"/>
      <c r="BD155" s="595"/>
      <c r="BE155" s="595"/>
      <c r="BF155" s="595"/>
      <c r="BG155" s="595"/>
      <c r="BH155" s="595"/>
      <c r="BI155" s="595"/>
      <c r="BJ155" s="595"/>
      <c r="BK155" s="595"/>
      <c r="BL155" s="595"/>
      <c r="BM155" s="595"/>
      <c r="BN155" s="595"/>
      <c r="BO155" s="595"/>
      <c r="BP155" s="595"/>
      <c r="BQ155" s="595"/>
      <c r="BR155" s="595"/>
      <c r="BS155" s="595"/>
      <c r="BT155" s="595"/>
    </row>
    <row r="156" spans="1:72" s="631" customFormat="1" ht="15.75" customHeight="1" x14ac:dyDescent="0.2">
      <c r="A156" s="608"/>
      <c r="B156" s="609"/>
      <c r="C156" s="627"/>
      <c r="D156" s="610"/>
      <c r="E156" s="610" t="s">
        <v>587</v>
      </c>
      <c r="F156" s="620" t="s">
        <v>325</v>
      </c>
      <c r="G156" s="621">
        <f>8879+10058+9065+2972+14457+8521-15798+9732+9749</f>
        <v>57635</v>
      </c>
      <c r="H156" s="595"/>
      <c r="I156" s="595"/>
      <c r="J156" s="595"/>
      <c r="K156" s="595"/>
      <c r="L156" s="595"/>
      <c r="M156" s="595"/>
      <c r="N156" s="595"/>
      <c r="O156" s="595"/>
      <c r="P156" s="595"/>
      <c r="Q156" s="595"/>
      <c r="R156" s="595"/>
      <c r="S156" s="595"/>
      <c r="T156" s="595"/>
      <c r="U156" s="595"/>
      <c r="V156" s="595"/>
      <c r="W156" s="595"/>
      <c r="X156" s="595"/>
      <c r="Y156" s="595"/>
      <c r="Z156" s="595"/>
      <c r="AA156" s="595"/>
      <c r="AB156" s="595"/>
      <c r="AC156" s="595"/>
      <c r="AD156" s="595"/>
      <c r="AE156" s="595"/>
      <c r="AF156" s="595"/>
      <c r="AG156" s="595"/>
      <c r="AH156" s="595"/>
      <c r="AI156" s="595"/>
      <c r="AJ156" s="595"/>
      <c r="AK156" s="595"/>
      <c r="AL156" s="595"/>
      <c r="AM156" s="595"/>
      <c r="AN156" s="595"/>
      <c r="AO156" s="595"/>
      <c r="AP156" s="595"/>
      <c r="AQ156" s="595"/>
      <c r="AR156" s="595"/>
      <c r="AS156" s="595"/>
      <c r="AT156" s="595"/>
      <c r="AU156" s="595"/>
      <c r="AV156" s="595"/>
      <c r="AW156" s="595"/>
      <c r="AX156" s="595"/>
      <c r="AY156" s="595"/>
      <c r="AZ156" s="595"/>
      <c r="BA156" s="595"/>
      <c r="BB156" s="595"/>
      <c r="BC156" s="595"/>
      <c r="BD156" s="595"/>
      <c r="BE156" s="595"/>
      <c r="BF156" s="595"/>
      <c r="BG156" s="595"/>
      <c r="BH156" s="595"/>
      <c r="BI156" s="595"/>
      <c r="BJ156" s="595"/>
      <c r="BK156" s="595"/>
      <c r="BL156" s="595"/>
      <c r="BM156" s="595"/>
      <c r="BN156" s="595"/>
      <c r="BO156" s="595"/>
      <c r="BP156" s="595"/>
      <c r="BQ156" s="595"/>
      <c r="BR156" s="595"/>
      <c r="BS156" s="595"/>
      <c r="BT156" s="595"/>
    </row>
    <row r="157" spans="1:72" s="631" customFormat="1" ht="15.75" customHeight="1" x14ac:dyDescent="0.2">
      <c r="A157" s="608"/>
      <c r="B157" s="609"/>
      <c r="C157" s="627"/>
      <c r="D157" s="610"/>
      <c r="E157" s="610" t="s">
        <v>564</v>
      </c>
      <c r="F157" s="620" t="s">
        <v>325</v>
      </c>
      <c r="G157" s="621">
        <f>2170+2458+2216+1210+3500-3699+2000+2686</f>
        <v>12541</v>
      </c>
      <c r="H157" s="595"/>
      <c r="I157" s="595"/>
      <c r="J157" s="595"/>
      <c r="K157" s="595"/>
      <c r="L157" s="595"/>
      <c r="M157" s="595"/>
      <c r="N157" s="595"/>
      <c r="O157" s="595"/>
      <c r="P157" s="595"/>
      <c r="Q157" s="595"/>
      <c r="R157" s="595"/>
      <c r="S157" s="595"/>
      <c r="T157" s="595"/>
      <c r="U157" s="595"/>
      <c r="V157" s="595"/>
      <c r="W157" s="595"/>
      <c r="X157" s="595"/>
      <c r="Y157" s="595"/>
      <c r="Z157" s="595"/>
      <c r="AA157" s="595"/>
      <c r="AB157" s="595"/>
      <c r="AC157" s="595"/>
      <c r="AD157" s="595"/>
      <c r="AE157" s="595"/>
      <c r="AF157" s="595"/>
      <c r="AG157" s="595"/>
      <c r="AH157" s="595"/>
      <c r="AI157" s="595"/>
      <c r="AJ157" s="595"/>
      <c r="AK157" s="595"/>
      <c r="AL157" s="595"/>
      <c r="AM157" s="595"/>
      <c r="AN157" s="595"/>
      <c r="AO157" s="595"/>
      <c r="AP157" s="595"/>
      <c r="AQ157" s="595"/>
      <c r="AR157" s="595"/>
      <c r="AS157" s="595"/>
      <c r="AT157" s="595"/>
      <c r="AU157" s="595"/>
      <c r="AV157" s="595"/>
      <c r="AW157" s="595"/>
      <c r="AX157" s="595"/>
      <c r="AY157" s="595"/>
      <c r="AZ157" s="595"/>
      <c r="BA157" s="595"/>
      <c r="BB157" s="595"/>
      <c r="BC157" s="595"/>
      <c r="BD157" s="595"/>
      <c r="BE157" s="595"/>
      <c r="BF157" s="595"/>
      <c r="BG157" s="595"/>
      <c r="BH157" s="595"/>
      <c r="BI157" s="595"/>
      <c r="BJ157" s="595"/>
      <c r="BK157" s="595"/>
      <c r="BL157" s="595"/>
      <c r="BM157" s="595"/>
      <c r="BN157" s="595"/>
      <c r="BO157" s="595"/>
      <c r="BP157" s="595"/>
      <c r="BQ157" s="595"/>
      <c r="BR157" s="595"/>
      <c r="BS157" s="595"/>
      <c r="BT157" s="595"/>
    </row>
    <row r="158" spans="1:72" s="631" customFormat="1" ht="15.75" customHeight="1" x14ac:dyDescent="0.2">
      <c r="A158" s="608"/>
      <c r="B158" s="609"/>
      <c r="C158" s="627"/>
      <c r="D158" s="610"/>
      <c r="E158" s="610" t="s">
        <v>576</v>
      </c>
      <c r="F158" s="620" t="s">
        <v>325</v>
      </c>
      <c r="G158" s="621">
        <f>8946+9554-4000</f>
        <v>14500</v>
      </c>
      <c r="H158" s="595"/>
      <c r="I158" s="595"/>
      <c r="J158" s="595"/>
      <c r="K158" s="595"/>
      <c r="L158" s="595"/>
      <c r="M158" s="595"/>
      <c r="N158" s="595"/>
      <c r="O158" s="595"/>
      <c r="P158" s="595"/>
      <c r="Q158" s="595"/>
      <c r="R158" s="595"/>
      <c r="S158" s="595"/>
      <c r="T158" s="595"/>
      <c r="U158" s="595"/>
      <c r="V158" s="595"/>
      <c r="W158" s="595"/>
      <c r="X158" s="595"/>
      <c r="Y158" s="595"/>
      <c r="Z158" s="595"/>
      <c r="AA158" s="595"/>
      <c r="AB158" s="595"/>
      <c r="AC158" s="595"/>
      <c r="AD158" s="595"/>
      <c r="AE158" s="595"/>
      <c r="AF158" s="595"/>
      <c r="AG158" s="595"/>
      <c r="AH158" s="595"/>
      <c r="AI158" s="595"/>
      <c r="AJ158" s="595"/>
      <c r="AK158" s="595"/>
      <c r="AL158" s="595"/>
      <c r="AM158" s="595"/>
      <c r="AN158" s="595"/>
      <c r="AO158" s="595"/>
      <c r="AP158" s="595"/>
      <c r="AQ158" s="595"/>
      <c r="AR158" s="595"/>
      <c r="AS158" s="595"/>
      <c r="AT158" s="595"/>
      <c r="AU158" s="595"/>
      <c r="AV158" s="595"/>
      <c r="AW158" s="595"/>
      <c r="AX158" s="595"/>
      <c r="AY158" s="595"/>
      <c r="AZ158" s="595"/>
      <c r="BA158" s="595"/>
      <c r="BB158" s="595"/>
      <c r="BC158" s="595"/>
      <c r="BD158" s="595"/>
      <c r="BE158" s="595"/>
      <c r="BF158" s="595"/>
      <c r="BG158" s="595"/>
      <c r="BH158" s="595"/>
      <c r="BI158" s="595"/>
      <c r="BJ158" s="595"/>
      <c r="BK158" s="595"/>
      <c r="BL158" s="595"/>
      <c r="BM158" s="595"/>
      <c r="BN158" s="595"/>
      <c r="BO158" s="595"/>
      <c r="BP158" s="595"/>
      <c r="BQ158" s="595"/>
      <c r="BR158" s="595"/>
      <c r="BS158" s="595"/>
      <c r="BT158" s="595"/>
    </row>
    <row r="159" spans="1:72" s="631" customFormat="1" ht="6" customHeight="1" x14ac:dyDescent="0.2">
      <c r="A159" s="608"/>
      <c r="B159" s="609"/>
      <c r="C159" s="627"/>
      <c r="D159" s="610"/>
      <c r="E159" s="610"/>
      <c r="F159" s="620"/>
      <c r="G159" s="621"/>
      <c r="H159" s="595"/>
      <c r="I159" s="595"/>
      <c r="J159" s="595"/>
      <c r="K159" s="595"/>
      <c r="L159" s="595"/>
      <c r="M159" s="595"/>
      <c r="N159" s="595"/>
      <c r="O159" s="595"/>
      <c r="P159" s="595"/>
      <c r="Q159" s="595"/>
      <c r="R159" s="595"/>
      <c r="S159" s="595"/>
      <c r="T159" s="595"/>
      <c r="U159" s="595"/>
      <c r="V159" s="595"/>
      <c r="W159" s="595"/>
      <c r="X159" s="595"/>
      <c r="Y159" s="595"/>
      <c r="Z159" s="595"/>
      <c r="AA159" s="595"/>
      <c r="AB159" s="595"/>
      <c r="AC159" s="595"/>
      <c r="AD159" s="595"/>
      <c r="AE159" s="595"/>
      <c r="AF159" s="595"/>
      <c r="AG159" s="595"/>
      <c r="AH159" s="595"/>
      <c r="AI159" s="595"/>
      <c r="AJ159" s="595"/>
      <c r="AK159" s="595"/>
      <c r="AL159" s="595"/>
      <c r="AM159" s="595"/>
      <c r="AN159" s="595"/>
      <c r="AO159" s="595"/>
      <c r="AP159" s="595"/>
      <c r="AQ159" s="595"/>
      <c r="AR159" s="595"/>
      <c r="AS159" s="595"/>
      <c r="AT159" s="595"/>
      <c r="AU159" s="595"/>
      <c r="AV159" s="595"/>
      <c r="AW159" s="595"/>
      <c r="AX159" s="595"/>
      <c r="AY159" s="595"/>
      <c r="AZ159" s="595"/>
      <c r="BA159" s="595"/>
      <c r="BB159" s="595"/>
      <c r="BC159" s="595"/>
      <c r="BD159" s="595"/>
      <c r="BE159" s="595"/>
      <c r="BF159" s="595"/>
      <c r="BG159" s="595"/>
      <c r="BH159" s="595"/>
      <c r="BI159" s="595"/>
      <c r="BJ159" s="595"/>
      <c r="BK159" s="595"/>
      <c r="BL159" s="595"/>
      <c r="BM159" s="595"/>
      <c r="BN159" s="595"/>
      <c r="BO159" s="595"/>
      <c r="BP159" s="595"/>
      <c r="BQ159" s="595"/>
      <c r="BR159" s="595"/>
      <c r="BS159" s="595"/>
      <c r="BT159" s="595"/>
    </row>
    <row r="160" spans="1:72" s="631" customFormat="1" ht="15.75" customHeight="1" x14ac:dyDescent="0.2">
      <c r="A160" s="608"/>
      <c r="B160" s="633" t="s">
        <v>56</v>
      </c>
      <c r="C160" s="610" t="s">
        <v>126</v>
      </c>
      <c r="D160" s="610" t="s">
        <v>593</v>
      </c>
      <c r="E160" s="616" t="s">
        <v>325</v>
      </c>
      <c r="F160" s="617" t="s">
        <v>325</v>
      </c>
      <c r="G160" s="618">
        <f>SUM(G162)</f>
        <v>93117.4</v>
      </c>
      <c r="H160" s="595"/>
      <c r="I160" s="595"/>
      <c r="J160" s="595"/>
      <c r="K160" s="595"/>
      <c r="L160" s="595"/>
      <c r="M160" s="595"/>
      <c r="N160" s="595"/>
      <c r="O160" s="595"/>
      <c r="P160" s="595"/>
      <c r="Q160" s="595"/>
      <c r="R160" s="595"/>
      <c r="S160" s="595"/>
      <c r="T160" s="595"/>
      <c r="U160" s="595"/>
      <c r="V160" s="595"/>
      <c r="W160" s="595"/>
      <c r="X160" s="595"/>
      <c r="Y160" s="595"/>
      <c r="Z160" s="595"/>
      <c r="AA160" s="595"/>
      <c r="AB160" s="595"/>
      <c r="AC160" s="595"/>
      <c r="AD160" s="595"/>
      <c r="AE160" s="595"/>
      <c r="AF160" s="595"/>
      <c r="AG160" s="595"/>
      <c r="AH160" s="595"/>
      <c r="AI160" s="595"/>
      <c r="AJ160" s="595"/>
      <c r="AK160" s="595"/>
      <c r="AL160" s="595"/>
      <c r="AM160" s="595"/>
      <c r="AN160" s="595"/>
      <c r="AO160" s="595"/>
      <c r="AP160" s="595"/>
      <c r="AQ160" s="595"/>
      <c r="AR160" s="595"/>
      <c r="AS160" s="595"/>
      <c r="AT160" s="595"/>
      <c r="AU160" s="595"/>
      <c r="AV160" s="595"/>
      <c r="AW160" s="595"/>
      <c r="AX160" s="595"/>
      <c r="AY160" s="595"/>
      <c r="AZ160" s="595"/>
      <c r="BA160" s="595"/>
      <c r="BB160" s="595"/>
      <c r="BC160" s="595"/>
      <c r="BD160" s="595"/>
      <c r="BE160" s="595"/>
      <c r="BF160" s="595"/>
      <c r="BG160" s="595"/>
      <c r="BH160" s="595"/>
      <c r="BI160" s="595"/>
      <c r="BJ160" s="595"/>
      <c r="BK160" s="595"/>
      <c r="BL160" s="595"/>
      <c r="BM160" s="595"/>
      <c r="BN160" s="595"/>
      <c r="BO160" s="595"/>
      <c r="BP160" s="595"/>
      <c r="BQ160" s="595"/>
      <c r="BR160" s="595"/>
      <c r="BS160" s="595"/>
      <c r="BT160" s="595"/>
    </row>
    <row r="161" spans="1:72" s="631" customFormat="1" ht="6" customHeight="1" x14ac:dyDescent="0.2">
      <c r="A161" s="608"/>
      <c r="B161" s="609"/>
      <c r="C161" s="627"/>
      <c r="D161" s="610"/>
      <c r="E161" s="610"/>
      <c r="F161" s="620"/>
      <c r="G161" s="621"/>
      <c r="H161" s="595"/>
      <c r="I161" s="595"/>
      <c r="J161" s="595"/>
      <c r="K161" s="595"/>
      <c r="L161" s="595"/>
      <c r="M161" s="595"/>
      <c r="N161" s="595"/>
      <c r="O161" s="595"/>
      <c r="P161" s="595"/>
      <c r="Q161" s="595"/>
      <c r="R161" s="595"/>
      <c r="S161" s="595"/>
      <c r="T161" s="595"/>
      <c r="U161" s="595"/>
      <c r="V161" s="595"/>
      <c r="W161" s="595"/>
      <c r="X161" s="595"/>
      <c r="Y161" s="595"/>
      <c r="Z161" s="595"/>
      <c r="AA161" s="595"/>
      <c r="AB161" s="595"/>
      <c r="AC161" s="595"/>
      <c r="AD161" s="595"/>
      <c r="AE161" s="595"/>
      <c r="AF161" s="595"/>
      <c r="AG161" s="595"/>
      <c r="AH161" s="595"/>
      <c r="AI161" s="595"/>
      <c r="AJ161" s="595"/>
      <c r="AK161" s="595"/>
      <c r="AL161" s="595"/>
      <c r="AM161" s="595"/>
      <c r="AN161" s="595"/>
      <c r="AO161" s="595"/>
      <c r="AP161" s="595"/>
      <c r="AQ161" s="595"/>
      <c r="AR161" s="595"/>
      <c r="AS161" s="595"/>
      <c r="AT161" s="595"/>
      <c r="AU161" s="595"/>
      <c r="AV161" s="595"/>
      <c r="AW161" s="595"/>
      <c r="AX161" s="595"/>
      <c r="AY161" s="595"/>
      <c r="AZ161" s="595"/>
      <c r="BA161" s="595"/>
      <c r="BB161" s="595"/>
      <c r="BC161" s="595"/>
      <c r="BD161" s="595"/>
      <c r="BE161" s="595"/>
      <c r="BF161" s="595"/>
      <c r="BG161" s="595"/>
      <c r="BH161" s="595"/>
      <c r="BI161" s="595"/>
      <c r="BJ161" s="595"/>
      <c r="BK161" s="595"/>
      <c r="BL161" s="595"/>
      <c r="BM161" s="595"/>
      <c r="BN161" s="595"/>
      <c r="BO161" s="595"/>
      <c r="BP161" s="595"/>
      <c r="BQ161" s="595"/>
      <c r="BR161" s="595"/>
      <c r="BS161" s="595"/>
      <c r="BT161" s="595"/>
    </row>
    <row r="162" spans="1:72" s="631" customFormat="1" ht="15.75" customHeight="1" x14ac:dyDescent="0.2">
      <c r="A162" s="608"/>
      <c r="B162" s="609"/>
      <c r="C162" s="627"/>
      <c r="D162" s="610"/>
      <c r="E162" s="610"/>
      <c r="F162" s="620"/>
      <c r="G162" s="632">
        <f>SUM(G163)</f>
        <v>93117.4</v>
      </c>
      <c r="H162" s="595"/>
      <c r="I162" s="595"/>
      <c r="J162" s="595"/>
      <c r="K162" s="595"/>
      <c r="L162" s="595"/>
      <c r="M162" s="595"/>
      <c r="N162" s="595"/>
      <c r="O162" s="595"/>
      <c r="P162" s="595"/>
      <c r="Q162" s="595"/>
      <c r="R162" s="595"/>
      <c r="S162" s="595"/>
      <c r="T162" s="595"/>
      <c r="U162" s="595"/>
      <c r="V162" s="595"/>
      <c r="W162" s="595"/>
      <c r="X162" s="595"/>
      <c r="Y162" s="595"/>
      <c r="Z162" s="595"/>
      <c r="AA162" s="595"/>
      <c r="AB162" s="595"/>
      <c r="AC162" s="595"/>
      <c r="AD162" s="595"/>
      <c r="AE162" s="595"/>
      <c r="AF162" s="595"/>
      <c r="AG162" s="595"/>
      <c r="AH162" s="595"/>
      <c r="AI162" s="595"/>
      <c r="AJ162" s="595"/>
      <c r="AK162" s="595"/>
      <c r="AL162" s="595"/>
      <c r="AM162" s="595"/>
      <c r="AN162" s="595"/>
      <c r="AO162" s="595"/>
      <c r="AP162" s="595"/>
      <c r="AQ162" s="595"/>
      <c r="AR162" s="595"/>
      <c r="AS162" s="595"/>
      <c r="AT162" s="595"/>
      <c r="AU162" s="595"/>
      <c r="AV162" s="595"/>
      <c r="AW162" s="595"/>
      <c r="AX162" s="595"/>
      <c r="AY162" s="595"/>
      <c r="AZ162" s="595"/>
      <c r="BA162" s="595"/>
      <c r="BB162" s="595"/>
      <c r="BC162" s="595"/>
      <c r="BD162" s="595"/>
      <c r="BE162" s="595"/>
      <c r="BF162" s="595"/>
      <c r="BG162" s="595"/>
      <c r="BH162" s="595"/>
      <c r="BI162" s="595"/>
      <c r="BJ162" s="595"/>
      <c r="BK162" s="595"/>
      <c r="BL162" s="595"/>
      <c r="BM162" s="595"/>
      <c r="BN162" s="595"/>
      <c r="BO162" s="595"/>
      <c r="BP162" s="595"/>
      <c r="BQ162" s="595"/>
      <c r="BR162" s="595"/>
      <c r="BS162" s="595"/>
      <c r="BT162" s="595"/>
    </row>
    <row r="163" spans="1:72" s="631" customFormat="1" ht="15.75" customHeight="1" x14ac:dyDescent="0.2">
      <c r="A163" s="608"/>
      <c r="B163" s="609"/>
      <c r="C163" s="627"/>
      <c r="D163" s="610"/>
      <c r="E163" s="610" t="s">
        <v>188</v>
      </c>
      <c r="F163" s="620" t="s">
        <v>325</v>
      </c>
      <c r="G163" s="621">
        <f>8442.4+10140+9354+859+9992+9982+19497+10331+10316+4204</f>
        <v>93117.4</v>
      </c>
      <c r="H163" s="595"/>
      <c r="I163" s="595"/>
      <c r="J163" s="595"/>
      <c r="K163" s="595"/>
      <c r="L163" s="595"/>
      <c r="M163" s="595"/>
      <c r="N163" s="595"/>
      <c r="O163" s="595"/>
      <c r="P163" s="595"/>
      <c r="Q163" s="595"/>
      <c r="R163" s="595"/>
      <c r="S163" s="595"/>
      <c r="T163" s="595"/>
      <c r="U163" s="595"/>
      <c r="V163" s="595"/>
      <c r="W163" s="595"/>
      <c r="X163" s="595"/>
      <c r="Y163" s="595"/>
      <c r="Z163" s="595"/>
      <c r="AA163" s="595"/>
      <c r="AB163" s="595"/>
      <c r="AC163" s="595"/>
      <c r="AD163" s="595"/>
      <c r="AE163" s="595"/>
      <c r="AF163" s="595"/>
      <c r="AG163" s="595"/>
      <c r="AH163" s="595"/>
      <c r="AI163" s="595"/>
      <c r="AJ163" s="595"/>
      <c r="AK163" s="595"/>
      <c r="AL163" s="595"/>
      <c r="AM163" s="595"/>
      <c r="AN163" s="595"/>
      <c r="AO163" s="595"/>
      <c r="AP163" s="595"/>
      <c r="AQ163" s="595"/>
      <c r="AR163" s="595"/>
      <c r="AS163" s="595"/>
      <c r="AT163" s="595"/>
      <c r="AU163" s="595"/>
      <c r="AV163" s="595"/>
      <c r="AW163" s="595"/>
      <c r="AX163" s="595"/>
      <c r="AY163" s="595"/>
      <c r="AZ163" s="595"/>
      <c r="BA163" s="595"/>
      <c r="BB163" s="595"/>
      <c r="BC163" s="595"/>
      <c r="BD163" s="595"/>
      <c r="BE163" s="595"/>
      <c r="BF163" s="595"/>
      <c r="BG163" s="595"/>
      <c r="BH163" s="595"/>
      <c r="BI163" s="595"/>
      <c r="BJ163" s="595"/>
      <c r="BK163" s="595"/>
      <c r="BL163" s="595"/>
      <c r="BM163" s="595"/>
      <c r="BN163" s="595"/>
      <c r="BO163" s="595"/>
      <c r="BP163" s="595"/>
      <c r="BQ163" s="595"/>
      <c r="BR163" s="595"/>
      <c r="BS163" s="595"/>
      <c r="BT163" s="595"/>
    </row>
    <row r="164" spans="1:72" s="631" customFormat="1" ht="11.25" customHeight="1" x14ac:dyDescent="0.2">
      <c r="A164" s="608"/>
      <c r="B164" s="609"/>
      <c r="C164" s="627"/>
      <c r="D164" s="610"/>
      <c r="E164" s="610"/>
      <c r="F164" s="620"/>
      <c r="G164" s="621"/>
      <c r="H164" s="595"/>
      <c r="I164" s="595"/>
      <c r="J164" s="595"/>
      <c r="K164" s="595"/>
      <c r="L164" s="595"/>
      <c r="M164" s="595"/>
      <c r="N164" s="595"/>
      <c r="O164" s="595"/>
      <c r="P164" s="595"/>
      <c r="Q164" s="595"/>
      <c r="R164" s="595"/>
      <c r="S164" s="595"/>
      <c r="T164" s="595"/>
      <c r="U164" s="595"/>
      <c r="V164" s="595"/>
      <c r="W164" s="595"/>
      <c r="X164" s="595"/>
      <c r="Y164" s="595"/>
      <c r="Z164" s="595"/>
      <c r="AA164" s="595"/>
      <c r="AB164" s="595"/>
      <c r="AC164" s="595"/>
      <c r="AD164" s="595"/>
      <c r="AE164" s="595"/>
      <c r="AF164" s="595"/>
      <c r="AG164" s="595"/>
      <c r="AH164" s="595"/>
      <c r="AI164" s="595"/>
      <c r="AJ164" s="595"/>
      <c r="AK164" s="595"/>
      <c r="AL164" s="595"/>
      <c r="AM164" s="595"/>
      <c r="AN164" s="595"/>
      <c r="AO164" s="595"/>
      <c r="AP164" s="595"/>
      <c r="AQ164" s="595"/>
      <c r="AR164" s="595"/>
      <c r="AS164" s="595"/>
      <c r="AT164" s="595"/>
      <c r="AU164" s="595"/>
      <c r="AV164" s="595"/>
      <c r="AW164" s="595"/>
      <c r="AX164" s="595"/>
      <c r="AY164" s="595"/>
      <c r="AZ164" s="595"/>
      <c r="BA164" s="595"/>
      <c r="BB164" s="595"/>
      <c r="BC164" s="595"/>
      <c r="BD164" s="595"/>
      <c r="BE164" s="595"/>
      <c r="BF164" s="595"/>
      <c r="BG164" s="595"/>
      <c r="BH164" s="595"/>
      <c r="BI164" s="595"/>
      <c r="BJ164" s="595"/>
      <c r="BK164" s="595"/>
      <c r="BL164" s="595"/>
      <c r="BM164" s="595"/>
      <c r="BN164" s="595"/>
      <c r="BO164" s="595"/>
      <c r="BP164" s="595"/>
      <c r="BQ164" s="595"/>
      <c r="BR164" s="595"/>
      <c r="BS164" s="595"/>
      <c r="BT164" s="595"/>
    </row>
    <row r="165" spans="1:72" s="631" customFormat="1" ht="15.75" customHeight="1" x14ac:dyDescent="0.2">
      <c r="A165" s="608"/>
      <c r="B165" s="633" t="s">
        <v>42</v>
      </c>
      <c r="C165" s="610" t="s">
        <v>126</v>
      </c>
      <c r="D165" s="610" t="s">
        <v>594</v>
      </c>
      <c r="E165" s="616" t="s">
        <v>325</v>
      </c>
      <c r="F165" s="617" t="s">
        <v>325</v>
      </c>
      <c r="G165" s="618">
        <f>SUM(G167)</f>
        <v>58223.78</v>
      </c>
      <c r="H165" s="595"/>
      <c r="I165" s="595"/>
      <c r="J165" s="595"/>
      <c r="K165" s="595"/>
      <c r="L165" s="595"/>
      <c r="M165" s="595"/>
      <c r="N165" s="595"/>
      <c r="O165" s="595"/>
      <c r="P165" s="595"/>
      <c r="Q165" s="595"/>
      <c r="R165" s="595"/>
      <c r="S165" s="595"/>
      <c r="T165" s="595"/>
      <c r="U165" s="595"/>
      <c r="V165" s="595"/>
      <c r="W165" s="595"/>
      <c r="X165" s="595"/>
      <c r="Y165" s="595"/>
      <c r="Z165" s="595"/>
      <c r="AA165" s="595"/>
      <c r="AB165" s="595"/>
      <c r="AC165" s="595"/>
      <c r="AD165" s="595"/>
      <c r="AE165" s="595"/>
      <c r="AF165" s="595"/>
      <c r="AG165" s="595"/>
      <c r="AH165" s="595"/>
      <c r="AI165" s="595"/>
      <c r="AJ165" s="595"/>
      <c r="AK165" s="595"/>
      <c r="AL165" s="595"/>
      <c r="AM165" s="595"/>
      <c r="AN165" s="595"/>
      <c r="AO165" s="595"/>
      <c r="AP165" s="595"/>
      <c r="AQ165" s="595"/>
      <c r="AR165" s="595"/>
      <c r="AS165" s="595"/>
      <c r="AT165" s="595"/>
      <c r="AU165" s="595"/>
      <c r="AV165" s="595"/>
      <c r="AW165" s="595"/>
      <c r="AX165" s="595"/>
      <c r="AY165" s="595"/>
      <c r="AZ165" s="595"/>
      <c r="BA165" s="595"/>
      <c r="BB165" s="595"/>
      <c r="BC165" s="595"/>
      <c r="BD165" s="595"/>
      <c r="BE165" s="595"/>
      <c r="BF165" s="595"/>
      <c r="BG165" s="595"/>
      <c r="BH165" s="595"/>
      <c r="BI165" s="595"/>
      <c r="BJ165" s="595"/>
      <c r="BK165" s="595"/>
      <c r="BL165" s="595"/>
      <c r="BM165" s="595"/>
      <c r="BN165" s="595"/>
      <c r="BO165" s="595"/>
      <c r="BP165" s="595"/>
      <c r="BQ165" s="595"/>
      <c r="BR165" s="595"/>
      <c r="BS165" s="595"/>
      <c r="BT165" s="595"/>
    </row>
    <row r="166" spans="1:72" s="631" customFormat="1" ht="9" customHeight="1" x14ac:dyDescent="0.2">
      <c r="A166" s="608"/>
      <c r="B166" s="609"/>
      <c r="C166" s="627"/>
      <c r="D166" s="610"/>
      <c r="E166" s="610"/>
      <c r="F166" s="620"/>
      <c r="G166" s="621"/>
      <c r="H166" s="595"/>
      <c r="I166" s="595"/>
      <c r="J166" s="595"/>
      <c r="K166" s="595"/>
      <c r="L166" s="595"/>
      <c r="M166" s="595"/>
      <c r="N166" s="595"/>
      <c r="O166" s="595"/>
      <c r="P166" s="595"/>
      <c r="Q166" s="595"/>
      <c r="R166" s="595"/>
      <c r="S166" s="595"/>
      <c r="T166" s="595"/>
      <c r="U166" s="595"/>
      <c r="V166" s="595"/>
      <c r="W166" s="595"/>
      <c r="X166" s="595"/>
      <c r="Y166" s="595"/>
      <c r="Z166" s="595"/>
      <c r="AA166" s="595"/>
      <c r="AB166" s="595"/>
      <c r="AC166" s="595"/>
      <c r="AD166" s="595"/>
      <c r="AE166" s="595"/>
      <c r="AF166" s="595"/>
      <c r="AG166" s="595"/>
      <c r="AH166" s="595"/>
      <c r="AI166" s="595"/>
      <c r="AJ166" s="595"/>
      <c r="AK166" s="595"/>
      <c r="AL166" s="595"/>
      <c r="AM166" s="595"/>
      <c r="AN166" s="595"/>
      <c r="AO166" s="595"/>
      <c r="AP166" s="595"/>
      <c r="AQ166" s="595"/>
      <c r="AR166" s="595"/>
      <c r="AS166" s="595"/>
      <c r="AT166" s="595"/>
      <c r="AU166" s="595"/>
      <c r="AV166" s="595"/>
      <c r="AW166" s="595"/>
      <c r="AX166" s="595"/>
      <c r="AY166" s="595"/>
      <c r="AZ166" s="595"/>
      <c r="BA166" s="595"/>
      <c r="BB166" s="595"/>
      <c r="BC166" s="595"/>
      <c r="BD166" s="595"/>
      <c r="BE166" s="595"/>
      <c r="BF166" s="595"/>
      <c r="BG166" s="595"/>
      <c r="BH166" s="595"/>
      <c r="BI166" s="595"/>
      <c r="BJ166" s="595"/>
      <c r="BK166" s="595"/>
      <c r="BL166" s="595"/>
      <c r="BM166" s="595"/>
      <c r="BN166" s="595"/>
      <c r="BO166" s="595"/>
      <c r="BP166" s="595"/>
      <c r="BQ166" s="595"/>
      <c r="BR166" s="595"/>
      <c r="BS166" s="595"/>
      <c r="BT166" s="595"/>
    </row>
    <row r="167" spans="1:72" s="631" customFormat="1" ht="15.75" customHeight="1" x14ac:dyDescent="0.2">
      <c r="A167" s="608"/>
      <c r="B167" s="609"/>
      <c r="C167" s="627"/>
      <c r="D167" s="610"/>
      <c r="E167" s="610"/>
      <c r="F167" s="620"/>
      <c r="G167" s="632">
        <f>SUM(G168:G172)</f>
        <v>58223.78</v>
      </c>
      <c r="H167" s="595"/>
      <c r="I167" s="595"/>
      <c r="J167" s="595"/>
      <c r="K167" s="595"/>
      <c r="L167" s="595"/>
      <c r="M167" s="595"/>
      <c r="N167" s="595"/>
      <c r="O167" s="595"/>
      <c r="P167" s="595"/>
      <c r="Q167" s="595"/>
      <c r="R167" s="595"/>
      <c r="S167" s="595"/>
      <c r="T167" s="595"/>
      <c r="U167" s="595"/>
      <c r="V167" s="595"/>
      <c r="W167" s="595"/>
      <c r="X167" s="595"/>
      <c r="Y167" s="595"/>
      <c r="Z167" s="595"/>
      <c r="AA167" s="595"/>
      <c r="AB167" s="595"/>
      <c r="AC167" s="595"/>
      <c r="AD167" s="595"/>
      <c r="AE167" s="595"/>
      <c r="AF167" s="595"/>
      <c r="AG167" s="595"/>
      <c r="AH167" s="595"/>
      <c r="AI167" s="595"/>
      <c r="AJ167" s="595"/>
      <c r="AK167" s="595"/>
      <c r="AL167" s="595"/>
      <c r="AM167" s="595"/>
      <c r="AN167" s="595"/>
      <c r="AO167" s="595"/>
      <c r="AP167" s="595"/>
      <c r="AQ167" s="595"/>
      <c r="AR167" s="595"/>
      <c r="AS167" s="595"/>
      <c r="AT167" s="595"/>
      <c r="AU167" s="595"/>
      <c r="AV167" s="595"/>
      <c r="AW167" s="595"/>
      <c r="AX167" s="595"/>
      <c r="AY167" s="595"/>
      <c r="AZ167" s="595"/>
      <c r="BA167" s="595"/>
      <c r="BB167" s="595"/>
      <c r="BC167" s="595"/>
      <c r="BD167" s="595"/>
      <c r="BE167" s="595"/>
      <c r="BF167" s="595"/>
      <c r="BG167" s="595"/>
      <c r="BH167" s="595"/>
      <c r="BI167" s="595"/>
      <c r="BJ167" s="595"/>
      <c r="BK167" s="595"/>
      <c r="BL167" s="595"/>
      <c r="BM167" s="595"/>
      <c r="BN167" s="595"/>
      <c r="BO167" s="595"/>
      <c r="BP167" s="595"/>
      <c r="BQ167" s="595"/>
      <c r="BR167" s="595"/>
      <c r="BS167" s="595"/>
      <c r="BT167" s="595"/>
    </row>
    <row r="168" spans="1:72" s="631" customFormat="1" ht="15.75" customHeight="1" x14ac:dyDescent="0.2">
      <c r="A168" s="608"/>
      <c r="B168" s="609"/>
      <c r="C168" s="627"/>
      <c r="D168" s="610"/>
      <c r="E168" s="610" t="s">
        <v>175</v>
      </c>
      <c r="F168" s="620" t="s">
        <v>325</v>
      </c>
      <c r="G168" s="621">
        <f>461.78+1000+3872+14334+5924</f>
        <v>25591.78</v>
      </c>
      <c r="H168" s="595"/>
      <c r="I168" s="595"/>
      <c r="J168" s="595"/>
      <c r="K168" s="595"/>
      <c r="L168" s="595"/>
      <c r="M168" s="595"/>
      <c r="N168" s="595"/>
      <c r="O168" s="595"/>
      <c r="P168" s="595"/>
      <c r="Q168" s="595"/>
      <c r="R168" s="595"/>
      <c r="S168" s="595"/>
      <c r="T168" s="595"/>
      <c r="U168" s="595"/>
      <c r="V168" s="595"/>
      <c r="W168" s="595"/>
      <c r="X168" s="595"/>
      <c r="Y168" s="595"/>
      <c r="Z168" s="595"/>
      <c r="AA168" s="595"/>
      <c r="AB168" s="595"/>
      <c r="AC168" s="595"/>
      <c r="AD168" s="595"/>
      <c r="AE168" s="595"/>
      <c r="AF168" s="595"/>
      <c r="AG168" s="595"/>
      <c r="AH168" s="595"/>
      <c r="AI168" s="595"/>
      <c r="AJ168" s="595"/>
      <c r="AK168" s="595"/>
      <c r="AL168" s="595"/>
      <c r="AM168" s="595"/>
      <c r="AN168" s="595"/>
      <c r="AO168" s="595"/>
      <c r="AP168" s="595"/>
      <c r="AQ168" s="595"/>
      <c r="AR168" s="595"/>
      <c r="AS168" s="595"/>
      <c r="AT168" s="595"/>
      <c r="AU168" s="595"/>
      <c r="AV168" s="595"/>
      <c r="AW168" s="595"/>
      <c r="AX168" s="595"/>
      <c r="AY168" s="595"/>
      <c r="AZ168" s="595"/>
      <c r="BA168" s="595"/>
      <c r="BB168" s="595"/>
      <c r="BC168" s="595"/>
      <c r="BD168" s="595"/>
      <c r="BE168" s="595"/>
      <c r="BF168" s="595"/>
      <c r="BG168" s="595"/>
      <c r="BH168" s="595"/>
      <c r="BI168" s="595"/>
      <c r="BJ168" s="595"/>
      <c r="BK168" s="595"/>
      <c r="BL168" s="595"/>
      <c r="BM168" s="595"/>
      <c r="BN168" s="595"/>
      <c r="BO168" s="595"/>
      <c r="BP168" s="595"/>
      <c r="BQ168" s="595"/>
      <c r="BR168" s="595"/>
      <c r="BS168" s="595"/>
      <c r="BT168" s="595"/>
    </row>
    <row r="169" spans="1:72" s="631" customFormat="1" ht="15.75" customHeight="1" x14ac:dyDescent="0.2">
      <c r="A169" s="608"/>
      <c r="B169" s="609"/>
      <c r="C169" s="627"/>
      <c r="D169" s="610"/>
      <c r="E169" s="610" t="s">
        <v>574</v>
      </c>
      <c r="F169" s="620" t="s">
        <v>325</v>
      </c>
      <c r="G169" s="621">
        <f>100</f>
        <v>100</v>
      </c>
      <c r="H169" s="595"/>
      <c r="I169" s="595"/>
      <c r="J169" s="595"/>
      <c r="K169" s="595"/>
      <c r="L169" s="595"/>
      <c r="M169" s="595"/>
      <c r="N169" s="595"/>
      <c r="O169" s="595"/>
      <c r="P169" s="595"/>
      <c r="Q169" s="595"/>
      <c r="R169" s="595"/>
      <c r="S169" s="595"/>
      <c r="T169" s="595"/>
      <c r="U169" s="595"/>
      <c r="V169" s="595"/>
      <c r="W169" s="595"/>
      <c r="X169" s="595"/>
      <c r="Y169" s="595"/>
      <c r="Z169" s="595"/>
      <c r="AA169" s="595"/>
      <c r="AB169" s="595"/>
      <c r="AC169" s="595"/>
      <c r="AD169" s="595"/>
      <c r="AE169" s="595"/>
      <c r="AF169" s="595"/>
      <c r="AG169" s="595"/>
      <c r="AH169" s="595"/>
      <c r="AI169" s="595"/>
      <c r="AJ169" s="595"/>
      <c r="AK169" s="595"/>
      <c r="AL169" s="595"/>
      <c r="AM169" s="595"/>
      <c r="AN169" s="595"/>
      <c r="AO169" s="595"/>
      <c r="AP169" s="595"/>
      <c r="AQ169" s="595"/>
      <c r="AR169" s="595"/>
      <c r="AS169" s="595"/>
      <c r="AT169" s="595"/>
      <c r="AU169" s="595"/>
      <c r="AV169" s="595"/>
      <c r="AW169" s="595"/>
      <c r="AX169" s="595"/>
      <c r="AY169" s="595"/>
      <c r="AZ169" s="595"/>
      <c r="BA169" s="595"/>
      <c r="BB169" s="595"/>
      <c r="BC169" s="595"/>
      <c r="BD169" s="595"/>
      <c r="BE169" s="595"/>
      <c r="BF169" s="595"/>
      <c r="BG169" s="595"/>
      <c r="BH169" s="595"/>
      <c r="BI169" s="595"/>
      <c r="BJ169" s="595"/>
      <c r="BK169" s="595"/>
      <c r="BL169" s="595"/>
      <c r="BM169" s="595"/>
      <c r="BN169" s="595"/>
      <c r="BO169" s="595"/>
      <c r="BP169" s="595"/>
      <c r="BQ169" s="595"/>
      <c r="BR169" s="595"/>
      <c r="BS169" s="595"/>
      <c r="BT169" s="595"/>
    </row>
    <row r="170" spans="1:72" s="631" customFormat="1" ht="15.75" customHeight="1" x14ac:dyDescent="0.2">
      <c r="A170" s="608"/>
      <c r="B170" s="609"/>
      <c r="C170" s="627"/>
      <c r="D170" s="610"/>
      <c r="E170" s="610" t="s">
        <v>587</v>
      </c>
      <c r="F170" s="620" t="s">
        <v>325</v>
      </c>
      <c r="G170" s="621">
        <f>4126+4769+4304+1329+4432+2239-7000+4921+4617</f>
        <v>23737</v>
      </c>
      <c r="H170" s="595"/>
      <c r="I170" s="595"/>
      <c r="J170" s="595"/>
      <c r="K170" s="595"/>
      <c r="L170" s="595"/>
      <c r="M170" s="595"/>
      <c r="N170" s="595"/>
      <c r="O170" s="595"/>
      <c r="P170" s="595"/>
      <c r="Q170" s="595"/>
      <c r="R170" s="595"/>
      <c r="S170" s="595"/>
      <c r="T170" s="595"/>
      <c r="U170" s="595"/>
      <c r="V170" s="595"/>
      <c r="W170" s="595"/>
      <c r="X170" s="595"/>
      <c r="Y170" s="595"/>
      <c r="Z170" s="595"/>
      <c r="AA170" s="595"/>
      <c r="AB170" s="595"/>
      <c r="AC170" s="595"/>
      <c r="AD170" s="595"/>
      <c r="AE170" s="595"/>
      <c r="AF170" s="595"/>
      <c r="AG170" s="595"/>
      <c r="AH170" s="595"/>
      <c r="AI170" s="595"/>
      <c r="AJ170" s="595"/>
      <c r="AK170" s="595"/>
      <c r="AL170" s="595"/>
      <c r="AM170" s="595"/>
      <c r="AN170" s="595"/>
      <c r="AO170" s="595"/>
      <c r="AP170" s="595"/>
      <c r="AQ170" s="595"/>
      <c r="AR170" s="595"/>
      <c r="AS170" s="595"/>
      <c r="AT170" s="595"/>
      <c r="AU170" s="595"/>
      <c r="AV170" s="595"/>
      <c r="AW170" s="595"/>
      <c r="AX170" s="595"/>
      <c r="AY170" s="595"/>
      <c r="AZ170" s="595"/>
      <c r="BA170" s="595"/>
      <c r="BB170" s="595"/>
      <c r="BC170" s="595"/>
      <c r="BD170" s="595"/>
      <c r="BE170" s="595"/>
      <c r="BF170" s="595"/>
      <c r="BG170" s="595"/>
      <c r="BH170" s="595"/>
      <c r="BI170" s="595"/>
      <c r="BJ170" s="595"/>
      <c r="BK170" s="595"/>
      <c r="BL170" s="595"/>
      <c r="BM170" s="595"/>
      <c r="BN170" s="595"/>
      <c r="BO170" s="595"/>
      <c r="BP170" s="595"/>
      <c r="BQ170" s="595"/>
      <c r="BR170" s="595"/>
      <c r="BS170" s="595"/>
      <c r="BT170" s="595"/>
    </row>
    <row r="171" spans="1:72" s="631" customFormat="1" ht="15.75" customHeight="1" x14ac:dyDescent="0.2">
      <c r="A171" s="608"/>
      <c r="B171" s="609"/>
      <c r="C171" s="627"/>
      <c r="D171" s="610"/>
      <c r="E171" s="610" t="s">
        <v>564</v>
      </c>
      <c r="F171" s="620" t="s">
        <v>325</v>
      </c>
      <c r="G171" s="621">
        <f>1008+1165+1052+1300-1600+1000+1370</f>
        <v>5295</v>
      </c>
      <c r="H171" s="595"/>
      <c r="I171" s="595"/>
      <c r="J171" s="595"/>
      <c r="K171" s="595"/>
      <c r="L171" s="595"/>
      <c r="M171" s="595"/>
      <c r="N171" s="595"/>
      <c r="O171" s="595"/>
      <c r="P171" s="595"/>
      <c r="Q171" s="595"/>
      <c r="R171" s="595"/>
      <c r="S171" s="595"/>
      <c r="T171" s="595"/>
      <c r="U171" s="595"/>
      <c r="V171" s="595"/>
      <c r="W171" s="595"/>
      <c r="X171" s="595"/>
      <c r="Y171" s="595"/>
      <c r="Z171" s="595"/>
      <c r="AA171" s="595"/>
      <c r="AB171" s="595"/>
      <c r="AC171" s="595"/>
      <c r="AD171" s="595"/>
      <c r="AE171" s="595"/>
      <c r="AF171" s="595"/>
      <c r="AG171" s="595"/>
      <c r="AH171" s="595"/>
      <c r="AI171" s="595"/>
      <c r="AJ171" s="595"/>
      <c r="AK171" s="595"/>
      <c r="AL171" s="595"/>
      <c r="AM171" s="595"/>
      <c r="AN171" s="595"/>
      <c r="AO171" s="595"/>
      <c r="AP171" s="595"/>
      <c r="AQ171" s="595"/>
      <c r="AR171" s="595"/>
      <c r="AS171" s="595"/>
      <c r="AT171" s="595"/>
      <c r="AU171" s="595"/>
      <c r="AV171" s="595"/>
      <c r="AW171" s="595"/>
      <c r="AX171" s="595"/>
      <c r="AY171" s="595"/>
      <c r="AZ171" s="595"/>
      <c r="BA171" s="595"/>
      <c r="BB171" s="595"/>
      <c r="BC171" s="595"/>
      <c r="BD171" s="595"/>
      <c r="BE171" s="595"/>
      <c r="BF171" s="595"/>
      <c r="BG171" s="595"/>
      <c r="BH171" s="595"/>
      <c r="BI171" s="595"/>
      <c r="BJ171" s="595"/>
      <c r="BK171" s="595"/>
      <c r="BL171" s="595"/>
      <c r="BM171" s="595"/>
      <c r="BN171" s="595"/>
      <c r="BO171" s="595"/>
      <c r="BP171" s="595"/>
      <c r="BQ171" s="595"/>
      <c r="BR171" s="595"/>
      <c r="BS171" s="595"/>
      <c r="BT171" s="595"/>
    </row>
    <row r="172" spans="1:72" s="631" customFormat="1" ht="15.75" customHeight="1" x14ac:dyDescent="0.2">
      <c r="A172" s="608"/>
      <c r="B172" s="609"/>
      <c r="C172" s="627"/>
      <c r="D172" s="610"/>
      <c r="E172" s="610" t="s">
        <v>576</v>
      </c>
      <c r="F172" s="620" t="s">
        <v>325</v>
      </c>
      <c r="G172" s="621">
        <f>3500</f>
        <v>3500</v>
      </c>
      <c r="H172" s="595"/>
      <c r="I172" s="595"/>
      <c r="J172" s="595"/>
      <c r="K172" s="595"/>
      <c r="L172" s="595"/>
      <c r="M172" s="595"/>
      <c r="N172" s="595"/>
      <c r="O172" s="595"/>
      <c r="P172" s="595"/>
      <c r="Q172" s="595"/>
      <c r="R172" s="595"/>
      <c r="S172" s="595"/>
      <c r="T172" s="595"/>
      <c r="U172" s="595"/>
      <c r="V172" s="595"/>
      <c r="W172" s="595"/>
      <c r="X172" s="595"/>
      <c r="Y172" s="595"/>
      <c r="Z172" s="595"/>
      <c r="AA172" s="595"/>
      <c r="AB172" s="595"/>
      <c r="AC172" s="595"/>
      <c r="AD172" s="595"/>
      <c r="AE172" s="595"/>
      <c r="AF172" s="595"/>
      <c r="AG172" s="595"/>
      <c r="AH172" s="595"/>
      <c r="AI172" s="595"/>
      <c r="AJ172" s="595"/>
      <c r="AK172" s="595"/>
      <c r="AL172" s="595"/>
      <c r="AM172" s="595"/>
      <c r="AN172" s="595"/>
      <c r="AO172" s="595"/>
      <c r="AP172" s="595"/>
      <c r="AQ172" s="595"/>
      <c r="AR172" s="595"/>
      <c r="AS172" s="595"/>
      <c r="AT172" s="595"/>
      <c r="AU172" s="595"/>
      <c r="AV172" s="595"/>
      <c r="AW172" s="595"/>
      <c r="AX172" s="595"/>
      <c r="AY172" s="595"/>
      <c r="AZ172" s="595"/>
      <c r="BA172" s="595"/>
      <c r="BB172" s="595"/>
      <c r="BC172" s="595"/>
      <c r="BD172" s="595"/>
      <c r="BE172" s="595"/>
      <c r="BF172" s="595"/>
      <c r="BG172" s="595"/>
      <c r="BH172" s="595"/>
      <c r="BI172" s="595"/>
      <c r="BJ172" s="595"/>
      <c r="BK172" s="595"/>
      <c r="BL172" s="595"/>
      <c r="BM172" s="595"/>
      <c r="BN172" s="595"/>
      <c r="BO172" s="595"/>
      <c r="BP172" s="595"/>
      <c r="BQ172" s="595"/>
      <c r="BR172" s="595"/>
      <c r="BS172" s="595"/>
      <c r="BT172" s="595"/>
    </row>
    <row r="173" spans="1:72" s="631" customFormat="1" ht="15.6" customHeight="1" x14ac:dyDescent="0.2">
      <c r="A173" s="608"/>
      <c r="B173" s="609"/>
      <c r="C173" s="627"/>
      <c r="D173" s="610"/>
      <c r="E173" s="610"/>
      <c r="F173" s="620"/>
      <c r="G173" s="621"/>
      <c r="H173" s="595"/>
      <c r="I173" s="595"/>
      <c r="J173" s="595"/>
      <c r="K173" s="595"/>
      <c r="L173" s="595"/>
      <c r="M173" s="595"/>
      <c r="N173" s="595"/>
      <c r="O173" s="595"/>
      <c r="P173" s="595"/>
      <c r="Q173" s="595"/>
      <c r="R173" s="595"/>
      <c r="S173" s="595"/>
      <c r="T173" s="595"/>
      <c r="U173" s="595"/>
      <c r="V173" s="595"/>
      <c r="W173" s="595"/>
      <c r="X173" s="595"/>
      <c r="Y173" s="595"/>
      <c r="Z173" s="595"/>
      <c r="AA173" s="595"/>
      <c r="AB173" s="595"/>
      <c r="AC173" s="595"/>
      <c r="AD173" s="595"/>
      <c r="AE173" s="595"/>
      <c r="AF173" s="595"/>
      <c r="AG173" s="595"/>
      <c r="AH173" s="595"/>
      <c r="AI173" s="595"/>
      <c r="AJ173" s="595"/>
      <c r="AK173" s="595"/>
      <c r="AL173" s="595"/>
      <c r="AM173" s="595"/>
      <c r="AN173" s="595"/>
      <c r="AO173" s="595"/>
      <c r="AP173" s="595"/>
      <c r="AQ173" s="595"/>
      <c r="AR173" s="595"/>
      <c r="AS173" s="595"/>
      <c r="AT173" s="595"/>
      <c r="AU173" s="595"/>
      <c r="AV173" s="595"/>
      <c r="AW173" s="595"/>
      <c r="AX173" s="595"/>
      <c r="AY173" s="595"/>
      <c r="AZ173" s="595"/>
      <c r="BA173" s="595"/>
      <c r="BB173" s="595"/>
      <c r="BC173" s="595"/>
      <c r="BD173" s="595"/>
      <c r="BE173" s="595"/>
      <c r="BF173" s="595"/>
      <c r="BG173" s="595"/>
      <c r="BH173" s="595"/>
      <c r="BI173" s="595"/>
      <c r="BJ173" s="595"/>
      <c r="BK173" s="595"/>
      <c r="BL173" s="595"/>
      <c r="BM173" s="595"/>
      <c r="BN173" s="595"/>
      <c r="BO173" s="595"/>
      <c r="BP173" s="595"/>
      <c r="BQ173" s="595"/>
      <c r="BR173" s="595"/>
      <c r="BS173" s="595"/>
      <c r="BT173" s="595"/>
    </row>
    <row r="174" spans="1:72" s="631" customFormat="1" ht="15.6" customHeight="1" x14ac:dyDescent="0.2">
      <c r="A174" s="608"/>
      <c r="B174" s="633" t="s">
        <v>42</v>
      </c>
      <c r="C174" s="610" t="s">
        <v>126</v>
      </c>
      <c r="D174" s="610" t="s">
        <v>595</v>
      </c>
      <c r="E174" s="616" t="s">
        <v>325</v>
      </c>
      <c r="F174" s="617" t="s">
        <v>325</v>
      </c>
      <c r="G174" s="618">
        <f>SUM(G176)</f>
        <v>661</v>
      </c>
      <c r="H174" s="595"/>
      <c r="I174" s="595"/>
      <c r="J174" s="595"/>
      <c r="K174" s="595"/>
      <c r="L174" s="595"/>
      <c r="M174" s="595"/>
      <c r="N174" s="595"/>
      <c r="O174" s="595"/>
      <c r="P174" s="595"/>
      <c r="Q174" s="595"/>
      <c r="R174" s="595"/>
      <c r="S174" s="595"/>
      <c r="T174" s="595"/>
      <c r="U174" s="595"/>
      <c r="V174" s="595"/>
      <c r="W174" s="595"/>
      <c r="X174" s="595"/>
      <c r="Y174" s="595"/>
      <c r="Z174" s="595"/>
      <c r="AA174" s="595"/>
      <c r="AB174" s="595"/>
      <c r="AC174" s="595"/>
      <c r="AD174" s="595"/>
      <c r="AE174" s="595"/>
      <c r="AF174" s="595"/>
      <c r="AG174" s="595"/>
      <c r="AH174" s="595"/>
      <c r="AI174" s="595"/>
      <c r="AJ174" s="595"/>
      <c r="AK174" s="595"/>
      <c r="AL174" s="595"/>
      <c r="AM174" s="595"/>
      <c r="AN174" s="595"/>
      <c r="AO174" s="595"/>
      <c r="AP174" s="595"/>
      <c r="AQ174" s="595"/>
      <c r="AR174" s="595"/>
      <c r="AS174" s="595"/>
      <c r="AT174" s="595"/>
      <c r="AU174" s="595"/>
      <c r="AV174" s="595"/>
      <c r="AW174" s="595"/>
      <c r="AX174" s="595"/>
      <c r="AY174" s="595"/>
      <c r="AZ174" s="595"/>
      <c r="BA174" s="595"/>
      <c r="BB174" s="595"/>
      <c r="BC174" s="595"/>
      <c r="BD174" s="595"/>
      <c r="BE174" s="595"/>
      <c r="BF174" s="595"/>
      <c r="BG174" s="595"/>
      <c r="BH174" s="595"/>
      <c r="BI174" s="595"/>
      <c r="BJ174" s="595"/>
      <c r="BK174" s="595"/>
      <c r="BL174" s="595"/>
      <c r="BM174" s="595"/>
      <c r="BN174" s="595"/>
      <c r="BO174" s="595"/>
      <c r="BP174" s="595"/>
      <c r="BQ174" s="595"/>
      <c r="BR174" s="595"/>
      <c r="BS174" s="595"/>
      <c r="BT174" s="595"/>
    </row>
    <row r="175" spans="1:72" s="631" customFormat="1" ht="15.6" customHeight="1" x14ac:dyDescent="0.2">
      <c r="A175" s="608"/>
      <c r="B175" s="609"/>
      <c r="C175" s="627"/>
      <c r="D175" s="610"/>
      <c r="E175" s="610"/>
      <c r="F175" s="620"/>
      <c r="G175" s="621"/>
      <c r="H175" s="595"/>
      <c r="I175" s="595"/>
      <c r="J175" s="595"/>
      <c r="K175" s="595"/>
      <c r="L175" s="595"/>
      <c r="M175" s="595"/>
      <c r="N175" s="595"/>
      <c r="O175" s="595"/>
      <c r="P175" s="595"/>
      <c r="Q175" s="595"/>
      <c r="R175" s="595"/>
      <c r="S175" s="595"/>
      <c r="T175" s="595"/>
      <c r="U175" s="595"/>
      <c r="V175" s="595"/>
      <c r="W175" s="595"/>
      <c r="X175" s="595"/>
      <c r="Y175" s="595"/>
      <c r="Z175" s="595"/>
      <c r="AA175" s="595"/>
      <c r="AB175" s="595"/>
      <c r="AC175" s="595"/>
      <c r="AD175" s="595"/>
      <c r="AE175" s="595"/>
      <c r="AF175" s="595"/>
      <c r="AG175" s="595"/>
      <c r="AH175" s="595"/>
      <c r="AI175" s="595"/>
      <c r="AJ175" s="595"/>
      <c r="AK175" s="595"/>
      <c r="AL175" s="595"/>
      <c r="AM175" s="595"/>
      <c r="AN175" s="595"/>
      <c r="AO175" s="595"/>
      <c r="AP175" s="595"/>
      <c r="AQ175" s="595"/>
      <c r="AR175" s="595"/>
      <c r="AS175" s="595"/>
      <c r="AT175" s="595"/>
      <c r="AU175" s="595"/>
      <c r="AV175" s="595"/>
      <c r="AW175" s="595"/>
      <c r="AX175" s="595"/>
      <c r="AY175" s="595"/>
      <c r="AZ175" s="595"/>
      <c r="BA175" s="595"/>
      <c r="BB175" s="595"/>
      <c r="BC175" s="595"/>
      <c r="BD175" s="595"/>
      <c r="BE175" s="595"/>
      <c r="BF175" s="595"/>
      <c r="BG175" s="595"/>
      <c r="BH175" s="595"/>
      <c r="BI175" s="595"/>
      <c r="BJ175" s="595"/>
      <c r="BK175" s="595"/>
      <c r="BL175" s="595"/>
      <c r="BM175" s="595"/>
      <c r="BN175" s="595"/>
      <c r="BO175" s="595"/>
      <c r="BP175" s="595"/>
      <c r="BQ175" s="595"/>
      <c r="BR175" s="595"/>
      <c r="BS175" s="595"/>
      <c r="BT175" s="595"/>
    </row>
    <row r="176" spans="1:72" s="631" customFormat="1" ht="15.6" customHeight="1" x14ac:dyDescent="0.2">
      <c r="A176" s="608"/>
      <c r="B176" s="609"/>
      <c r="C176" s="627"/>
      <c r="D176" s="610"/>
      <c r="E176" s="610"/>
      <c r="F176" s="620"/>
      <c r="G176" s="632">
        <f>SUM(G177:G177)</f>
        <v>661</v>
      </c>
      <c r="H176" s="595"/>
      <c r="I176" s="595"/>
      <c r="J176" s="595"/>
      <c r="K176" s="595"/>
      <c r="L176" s="595"/>
      <c r="M176" s="595"/>
      <c r="N176" s="595"/>
      <c r="O176" s="595"/>
      <c r="P176" s="595"/>
      <c r="Q176" s="595"/>
      <c r="R176" s="595"/>
      <c r="S176" s="595"/>
      <c r="T176" s="595"/>
      <c r="U176" s="595"/>
      <c r="V176" s="595"/>
      <c r="W176" s="595"/>
      <c r="X176" s="595"/>
      <c r="Y176" s="595"/>
      <c r="Z176" s="595"/>
      <c r="AA176" s="595"/>
      <c r="AB176" s="595"/>
      <c r="AC176" s="595"/>
      <c r="AD176" s="595"/>
      <c r="AE176" s="595"/>
      <c r="AF176" s="595"/>
      <c r="AG176" s="595"/>
      <c r="AH176" s="595"/>
      <c r="AI176" s="595"/>
      <c r="AJ176" s="595"/>
      <c r="AK176" s="595"/>
      <c r="AL176" s="595"/>
      <c r="AM176" s="595"/>
      <c r="AN176" s="595"/>
      <c r="AO176" s="595"/>
      <c r="AP176" s="595"/>
      <c r="AQ176" s="595"/>
      <c r="AR176" s="595"/>
      <c r="AS176" s="595"/>
      <c r="AT176" s="595"/>
      <c r="AU176" s="595"/>
      <c r="AV176" s="595"/>
      <c r="AW176" s="595"/>
      <c r="AX176" s="595"/>
      <c r="AY176" s="595"/>
      <c r="AZ176" s="595"/>
      <c r="BA176" s="595"/>
      <c r="BB176" s="595"/>
      <c r="BC176" s="595"/>
      <c r="BD176" s="595"/>
      <c r="BE176" s="595"/>
      <c r="BF176" s="595"/>
      <c r="BG176" s="595"/>
      <c r="BH176" s="595"/>
      <c r="BI176" s="595"/>
      <c r="BJ176" s="595"/>
      <c r="BK176" s="595"/>
      <c r="BL176" s="595"/>
      <c r="BM176" s="595"/>
      <c r="BN176" s="595"/>
      <c r="BO176" s="595"/>
      <c r="BP176" s="595"/>
      <c r="BQ176" s="595"/>
      <c r="BR176" s="595"/>
      <c r="BS176" s="595"/>
      <c r="BT176" s="595"/>
    </row>
    <row r="177" spans="1:72" s="631" customFormat="1" ht="15.6" customHeight="1" x14ac:dyDescent="0.2">
      <c r="A177" s="608"/>
      <c r="B177" s="609"/>
      <c r="C177" s="627"/>
      <c r="D177" s="610"/>
      <c r="E177" s="610" t="s">
        <v>175</v>
      </c>
      <c r="F177" s="620" t="s">
        <v>325</v>
      </c>
      <c r="G177" s="621">
        <f>661</f>
        <v>661</v>
      </c>
      <c r="H177" s="595"/>
      <c r="I177" s="595"/>
      <c r="J177" s="595"/>
      <c r="K177" s="595"/>
      <c r="L177" s="595"/>
      <c r="M177" s="595"/>
      <c r="N177" s="595"/>
      <c r="O177" s="595"/>
      <c r="P177" s="595"/>
      <c r="Q177" s="595"/>
      <c r="R177" s="595"/>
      <c r="S177" s="595"/>
      <c r="T177" s="595"/>
      <c r="U177" s="595"/>
      <c r="V177" s="595"/>
      <c r="W177" s="595"/>
      <c r="X177" s="595"/>
      <c r="Y177" s="595"/>
      <c r="Z177" s="595"/>
      <c r="AA177" s="595"/>
      <c r="AB177" s="595"/>
      <c r="AC177" s="595"/>
      <c r="AD177" s="595"/>
      <c r="AE177" s="595"/>
      <c r="AF177" s="595"/>
      <c r="AG177" s="595"/>
      <c r="AH177" s="595"/>
      <c r="AI177" s="595"/>
      <c r="AJ177" s="595"/>
      <c r="AK177" s="595"/>
      <c r="AL177" s="595"/>
      <c r="AM177" s="595"/>
      <c r="AN177" s="595"/>
      <c r="AO177" s="595"/>
      <c r="AP177" s="595"/>
      <c r="AQ177" s="595"/>
      <c r="AR177" s="595"/>
      <c r="AS177" s="595"/>
      <c r="AT177" s="595"/>
      <c r="AU177" s="595"/>
      <c r="AV177" s="595"/>
      <c r="AW177" s="595"/>
      <c r="AX177" s="595"/>
      <c r="AY177" s="595"/>
      <c r="AZ177" s="595"/>
      <c r="BA177" s="595"/>
      <c r="BB177" s="595"/>
      <c r="BC177" s="595"/>
      <c r="BD177" s="595"/>
      <c r="BE177" s="595"/>
      <c r="BF177" s="595"/>
      <c r="BG177" s="595"/>
      <c r="BH177" s="595"/>
      <c r="BI177" s="595"/>
      <c r="BJ177" s="595"/>
      <c r="BK177" s="595"/>
      <c r="BL177" s="595"/>
      <c r="BM177" s="595"/>
      <c r="BN177" s="595"/>
      <c r="BO177" s="595"/>
      <c r="BP177" s="595"/>
      <c r="BQ177" s="595"/>
      <c r="BR177" s="595"/>
      <c r="BS177" s="595"/>
      <c r="BT177" s="595"/>
    </row>
    <row r="178" spans="1:72" s="631" customFormat="1" ht="15.6" customHeight="1" x14ac:dyDescent="0.2">
      <c r="A178" s="622"/>
      <c r="B178" s="623"/>
      <c r="C178" s="624"/>
      <c r="D178" s="611"/>
      <c r="E178" s="611"/>
      <c r="F178" s="613"/>
      <c r="G178" s="625"/>
      <c r="H178" s="595"/>
      <c r="I178" s="595"/>
      <c r="J178" s="595"/>
      <c r="K178" s="595"/>
      <c r="L178" s="595"/>
      <c r="M178" s="595"/>
      <c r="N178" s="595"/>
      <c r="O178" s="595"/>
      <c r="P178" s="595"/>
      <c r="Q178" s="595"/>
      <c r="R178" s="595"/>
      <c r="S178" s="595"/>
      <c r="T178" s="595"/>
      <c r="U178" s="595"/>
      <c r="V178" s="595"/>
      <c r="W178" s="595"/>
      <c r="X178" s="595"/>
      <c r="Y178" s="595"/>
      <c r="Z178" s="595"/>
      <c r="AA178" s="595"/>
      <c r="AB178" s="595"/>
      <c r="AC178" s="595"/>
      <c r="AD178" s="595"/>
      <c r="AE178" s="595"/>
      <c r="AF178" s="595"/>
      <c r="AG178" s="595"/>
      <c r="AH178" s="595"/>
      <c r="AI178" s="595"/>
      <c r="AJ178" s="595"/>
      <c r="AK178" s="595"/>
      <c r="AL178" s="595"/>
      <c r="AM178" s="595"/>
      <c r="AN178" s="595"/>
      <c r="AO178" s="595"/>
      <c r="AP178" s="595"/>
      <c r="AQ178" s="595"/>
      <c r="AR178" s="595"/>
      <c r="AS178" s="595"/>
      <c r="AT178" s="595"/>
      <c r="AU178" s="595"/>
      <c r="AV178" s="595"/>
      <c r="AW178" s="595"/>
      <c r="AX178" s="595"/>
      <c r="AY178" s="595"/>
      <c r="AZ178" s="595"/>
      <c r="BA178" s="595"/>
      <c r="BB178" s="595"/>
      <c r="BC178" s="595"/>
      <c r="BD178" s="595"/>
      <c r="BE178" s="595"/>
      <c r="BF178" s="595"/>
      <c r="BG178" s="595"/>
      <c r="BH178" s="595"/>
      <c r="BI178" s="595"/>
      <c r="BJ178" s="595"/>
      <c r="BK178" s="595"/>
      <c r="BL178" s="595"/>
      <c r="BM178" s="595"/>
      <c r="BN178" s="595"/>
      <c r="BO178" s="595"/>
      <c r="BP178" s="595"/>
      <c r="BQ178" s="595"/>
      <c r="BR178" s="595"/>
      <c r="BS178" s="595"/>
      <c r="BT178" s="595"/>
    </row>
    <row r="179" spans="1:72" s="631" customFormat="1" ht="18.75" customHeight="1" x14ac:dyDescent="0.2">
      <c r="A179" s="608"/>
      <c r="B179" s="633" t="s">
        <v>42</v>
      </c>
      <c r="C179" s="610" t="s">
        <v>126</v>
      </c>
      <c r="D179" s="610" t="s">
        <v>596</v>
      </c>
      <c r="E179" s="611" t="s">
        <v>325</v>
      </c>
      <c r="F179" s="613" t="s">
        <v>325</v>
      </c>
      <c r="G179" s="612">
        <f>SUM(G181)</f>
        <v>12500</v>
      </c>
      <c r="H179" s="595"/>
      <c r="I179" s="595"/>
      <c r="J179" s="595"/>
      <c r="K179" s="595"/>
      <c r="L179" s="595"/>
      <c r="M179" s="595"/>
      <c r="N179" s="595"/>
      <c r="O179" s="595"/>
      <c r="P179" s="595"/>
      <c r="Q179" s="595"/>
      <c r="R179" s="595"/>
      <c r="S179" s="595"/>
      <c r="T179" s="595"/>
      <c r="U179" s="595"/>
      <c r="V179" s="595"/>
      <c r="W179" s="595"/>
      <c r="X179" s="595"/>
      <c r="Y179" s="595"/>
      <c r="Z179" s="595"/>
      <c r="AA179" s="595"/>
      <c r="AB179" s="595"/>
      <c r="AC179" s="595"/>
      <c r="AD179" s="595"/>
      <c r="AE179" s="595"/>
      <c r="AF179" s="595"/>
      <c r="AG179" s="595"/>
      <c r="AH179" s="595"/>
      <c r="AI179" s="595"/>
      <c r="AJ179" s="595"/>
      <c r="AK179" s="595"/>
      <c r="AL179" s="595"/>
      <c r="AM179" s="595"/>
      <c r="AN179" s="595"/>
      <c r="AO179" s="595"/>
      <c r="AP179" s="595"/>
      <c r="AQ179" s="595"/>
      <c r="AR179" s="595"/>
      <c r="AS179" s="595"/>
      <c r="AT179" s="595"/>
      <c r="AU179" s="595"/>
      <c r="AV179" s="595"/>
      <c r="AW179" s="595"/>
      <c r="AX179" s="595"/>
      <c r="AY179" s="595"/>
      <c r="AZ179" s="595"/>
      <c r="BA179" s="595"/>
      <c r="BB179" s="595"/>
      <c r="BC179" s="595"/>
      <c r="BD179" s="595"/>
      <c r="BE179" s="595"/>
      <c r="BF179" s="595"/>
      <c r="BG179" s="595"/>
      <c r="BH179" s="595"/>
      <c r="BI179" s="595"/>
      <c r="BJ179" s="595"/>
      <c r="BK179" s="595"/>
      <c r="BL179" s="595"/>
      <c r="BM179" s="595"/>
      <c r="BN179" s="595"/>
      <c r="BO179" s="595"/>
      <c r="BP179" s="595"/>
      <c r="BQ179" s="595"/>
      <c r="BR179" s="595"/>
      <c r="BS179" s="595"/>
      <c r="BT179" s="595"/>
    </row>
    <row r="180" spans="1:72" s="631" customFormat="1" ht="9" customHeight="1" x14ac:dyDescent="0.2">
      <c r="A180" s="608"/>
      <c r="B180" s="609"/>
      <c r="C180" s="627"/>
      <c r="D180" s="610"/>
      <c r="E180" s="610"/>
      <c r="F180" s="620"/>
      <c r="G180" s="621"/>
      <c r="H180" s="595"/>
      <c r="I180" s="595"/>
      <c r="J180" s="595"/>
      <c r="K180" s="595"/>
      <c r="L180" s="595"/>
      <c r="M180" s="595"/>
      <c r="N180" s="595"/>
      <c r="O180" s="595"/>
      <c r="P180" s="595"/>
      <c r="Q180" s="595"/>
      <c r="R180" s="595"/>
      <c r="S180" s="595"/>
      <c r="T180" s="595"/>
      <c r="U180" s="595"/>
      <c r="V180" s="595"/>
      <c r="W180" s="595"/>
      <c r="X180" s="595"/>
      <c r="Y180" s="595"/>
      <c r="Z180" s="595"/>
      <c r="AA180" s="595"/>
      <c r="AB180" s="595"/>
      <c r="AC180" s="595"/>
      <c r="AD180" s="595"/>
      <c r="AE180" s="595"/>
      <c r="AF180" s="595"/>
      <c r="AG180" s="595"/>
      <c r="AH180" s="595"/>
      <c r="AI180" s="595"/>
      <c r="AJ180" s="595"/>
      <c r="AK180" s="595"/>
      <c r="AL180" s="595"/>
      <c r="AM180" s="595"/>
      <c r="AN180" s="595"/>
      <c r="AO180" s="595"/>
      <c r="AP180" s="595"/>
      <c r="AQ180" s="595"/>
      <c r="AR180" s="595"/>
      <c r="AS180" s="595"/>
      <c r="AT180" s="595"/>
      <c r="AU180" s="595"/>
      <c r="AV180" s="595"/>
      <c r="AW180" s="595"/>
      <c r="AX180" s="595"/>
      <c r="AY180" s="595"/>
      <c r="AZ180" s="595"/>
      <c r="BA180" s="595"/>
      <c r="BB180" s="595"/>
      <c r="BC180" s="595"/>
      <c r="BD180" s="595"/>
      <c r="BE180" s="595"/>
      <c r="BF180" s="595"/>
      <c r="BG180" s="595"/>
      <c r="BH180" s="595"/>
      <c r="BI180" s="595"/>
      <c r="BJ180" s="595"/>
      <c r="BK180" s="595"/>
      <c r="BL180" s="595"/>
      <c r="BM180" s="595"/>
      <c r="BN180" s="595"/>
      <c r="BO180" s="595"/>
      <c r="BP180" s="595"/>
      <c r="BQ180" s="595"/>
      <c r="BR180" s="595"/>
      <c r="BS180" s="595"/>
      <c r="BT180" s="595"/>
    </row>
    <row r="181" spans="1:72" s="631" customFormat="1" ht="15.75" customHeight="1" x14ac:dyDescent="0.2">
      <c r="A181" s="608"/>
      <c r="B181" s="609"/>
      <c r="C181" s="627"/>
      <c r="D181" s="610"/>
      <c r="E181" s="610"/>
      <c r="F181" s="620"/>
      <c r="G181" s="632">
        <f>SUM(G182:G182)</f>
        <v>12500</v>
      </c>
      <c r="H181" s="595"/>
      <c r="I181" s="595"/>
      <c r="J181" s="595"/>
      <c r="K181" s="595"/>
      <c r="L181" s="595"/>
      <c r="M181" s="595"/>
      <c r="N181" s="595"/>
      <c r="O181" s="595"/>
      <c r="P181" s="595"/>
      <c r="Q181" s="595"/>
      <c r="R181" s="595"/>
      <c r="S181" s="595"/>
      <c r="T181" s="595"/>
      <c r="U181" s="595"/>
      <c r="V181" s="595"/>
      <c r="W181" s="595"/>
      <c r="X181" s="595"/>
      <c r="Y181" s="595"/>
      <c r="Z181" s="595"/>
      <c r="AA181" s="595"/>
      <c r="AB181" s="595"/>
      <c r="AC181" s="595"/>
      <c r="AD181" s="595"/>
      <c r="AE181" s="595"/>
      <c r="AF181" s="595"/>
      <c r="AG181" s="595"/>
      <c r="AH181" s="595"/>
      <c r="AI181" s="595"/>
      <c r="AJ181" s="595"/>
      <c r="AK181" s="595"/>
      <c r="AL181" s="595"/>
      <c r="AM181" s="595"/>
      <c r="AN181" s="595"/>
      <c r="AO181" s="595"/>
      <c r="AP181" s="595"/>
      <c r="AQ181" s="595"/>
      <c r="AR181" s="595"/>
      <c r="AS181" s="595"/>
      <c r="AT181" s="595"/>
      <c r="AU181" s="595"/>
      <c r="AV181" s="595"/>
      <c r="AW181" s="595"/>
      <c r="AX181" s="595"/>
      <c r="AY181" s="595"/>
      <c r="AZ181" s="595"/>
      <c r="BA181" s="595"/>
      <c r="BB181" s="595"/>
      <c r="BC181" s="595"/>
      <c r="BD181" s="595"/>
      <c r="BE181" s="595"/>
      <c r="BF181" s="595"/>
      <c r="BG181" s="595"/>
      <c r="BH181" s="595"/>
      <c r="BI181" s="595"/>
      <c r="BJ181" s="595"/>
      <c r="BK181" s="595"/>
      <c r="BL181" s="595"/>
      <c r="BM181" s="595"/>
      <c r="BN181" s="595"/>
      <c r="BO181" s="595"/>
      <c r="BP181" s="595"/>
      <c r="BQ181" s="595"/>
      <c r="BR181" s="595"/>
      <c r="BS181" s="595"/>
      <c r="BT181" s="595"/>
    </row>
    <row r="182" spans="1:72" s="631" customFormat="1" ht="15.75" customHeight="1" x14ac:dyDescent="0.2">
      <c r="A182" s="608"/>
      <c r="B182" s="609"/>
      <c r="C182" s="627"/>
      <c r="D182" s="610"/>
      <c r="E182" s="610" t="s">
        <v>175</v>
      </c>
      <c r="F182" s="620" t="s">
        <v>325</v>
      </c>
      <c r="G182" s="621">
        <f>12500</f>
        <v>12500</v>
      </c>
      <c r="H182" s="595"/>
      <c r="I182" s="595"/>
      <c r="J182" s="595"/>
      <c r="K182" s="595"/>
      <c r="L182" s="595"/>
      <c r="M182" s="595"/>
      <c r="N182" s="595"/>
      <c r="O182" s="595"/>
      <c r="P182" s="595"/>
      <c r="Q182" s="595"/>
      <c r="R182" s="595"/>
      <c r="S182" s="595"/>
      <c r="T182" s="595"/>
      <c r="U182" s="595"/>
      <c r="V182" s="595"/>
      <c r="W182" s="595"/>
      <c r="X182" s="595"/>
      <c r="Y182" s="595"/>
      <c r="Z182" s="595"/>
      <c r="AA182" s="595"/>
      <c r="AB182" s="595"/>
      <c r="AC182" s="595"/>
      <c r="AD182" s="595"/>
      <c r="AE182" s="595"/>
      <c r="AF182" s="595"/>
      <c r="AG182" s="595"/>
      <c r="AH182" s="595"/>
      <c r="AI182" s="595"/>
      <c r="AJ182" s="595"/>
      <c r="AK182" s="595"/>
      <c r="AL182" s="595"/>
      <c r="AM182" s="595"/>
      <c r="AN182" s="595"/>
      <c r="AO182" s="595"/>
      <c r="AP182" s="595"/>
      <c r="AQ182" s="595"/>
      <c r="AR182" s="595"/>
      <c r="AS182" s="595"/>
      <c r="AT182" s="595"/>
      <c r="AU182" s="595"/>
      <c r="AV182" s="595"/>
      <c r="AW182" s="595"/>
      <c r="AX182" s="595"/>
      <c r="AY182" s="595"/>
      <c r="AZ182" s="595"/>
      <c r="BA182" s="595"/>
      <c r="BB182" s="595"/>
      <c r="BC182" s="595"/>
      <c r="BD182" s="595"/>
      <c r="BE182" s="595"/>
      <c r="BF182" s="595"/>
      <c r="BG182" s="595"/>
      <c r="BH182" s="595"/>
      <c r="BI182" s="595"/>
      <c r="BJ182" s="595"/>
      <c r="BK182" s="595"/>
      <c r="BL182" s="595"/>
      <c r="BM182" s="595"/>
      <c r="BN182" s="595"/>
      <c r="BO182" s="595"/>
      <c r="BP182" s="595"/>
      <c r="BQ182" s="595"/>
      <c r="BR182" s="595"/>
      <c r="BS182" s="595"/>
      <c r="BT182" s="595"/>
    </row>
    <row r="183" spans="1:72" s="631" customFormat="1" ht="9" customHeight="1" x14ac:dyDescent="0.2">
      <c r="A183" s="608"/>
      <c r="B183" s="609"/>
      <c r="C183" s="627"/>
      <c r="D183" s="610"/>
      <c r="E183" s="610"/>
      <c r="F183" s="620"/>
      <c r="G183" s="621"/>
      <c r="H183" s="595"/>
      <c r="I183" s="595"/>
      <c r="J183" s="595"/>
      <c r="K183" s="595"/>
      <c r="L183" s="595"/>
      <c r="M183" s="595"/>
      <c r="N183" s="595"/>
      <c r="O183" s="595"/>
      <c r="P183" s="595"/>
      <c r="Q183" s="595"/>
      <c r="R183" s="595"/>
      <c r="S183" s="595"/>
      <c r="T183" s="595"/>
      <c r="U183" s="595"/>
      <c r="V183" s="595"/>
      <c r="W183" s="595"/>
      <c r="X183" s="595"/>
      <c r="Y183" s="595"/>
      <c r="Z183" s="595"/>
      <c r="AA183" s="595"/>
      <c r="AB183" s="595"/>
      <c r="AC183" s="595"/>
      <c r="AD183" s="595"/>
      <c r="AE183" s="595"/>
      <c r="AF183" s="595"/>
      <c r="AG183" s="595"/>
      <c r="AH183" s="595"/>
      <c r="AI183" s="595"/>
      <c r="AJ183" s="595"/>
      <c r="AK183" s="595"/>
      <c r="AL183" s="595"/>
      <c r="AM183" s="595"/>
      <c r="AN183" s="595"/>
      <c r="AO183" s="595"/>
      <c r="AP183" s="595"/>
      <c r="AQ183" s="595"/>
      <c r="AR183" s="595"/>
      <c r="AS183" s="595"/>
      <c r="AT183" s="595"/>
      <c r="AU183" s="595"/>
      <c r="AV183" s="595"/>
      <c r="AW183" s="595"/>
      <c r="AX183" s="595"/>
      <c r="AY183" s="595"/>
      <c r="AZ183" s="595"/>
      <c r="BA183" s="595"/>
      <c r="BB183" s="595"/>
      <c r="BC183" s="595"/>
      <c r="BD183" s="595"/>
      <c r="BE183" s="595"/>
      <c r="BF183" s="595"/>
      <c r="BG183" s="595"/>
      <c r="BH183" s="595"/>
      <c r="BI183" s="595"/>
      <c r="BJ183" s="595"/>
      <c r="BK183" s="595"/>
      <c r="BL183" s="595"/>
      <c r="BM183" s="595"/>
      <c r="BN183" s="595"/>
      <c r="BO183" s="595"/>
      <c r="BP183" s="595"/>
      <c r="BQ183" s="595"/>
      <c r="BR183" s="595"/>
      <c r="BS183" s="595"/>
      <c r="BT183" s="595"/>
    </row>
    <row r="184" spans="1:72" s="631" customFormat="1" ht="15.75" customHeight="1" x14ac:dyDescent="0.2">
      <c r="A184" s="608"/>
      <c r="B184" s="633" t="s">
        <v>42</v>
      </c>
      <c r="C184" s="610" t="s">
        <v>597</v>
      </c>
      <c r="D184" s="610" t="s">
        <v>598</v>
      </c>
      <c r="E184" s="616" t="s">
        <v>325</v>
      </c>
      <c r="F184" s="617" t="s">
        <v>325</v>
      </c>
      <c r="G184" s="618">
        <f>SUM(G186)</f>
        <v>40216.43</v>
      </c>
      <c r="H184" s="595"/>
      <c r="I184" s="595"/>
      <c r="J184" s="595"/>
      <c r="K184" s="595"/>
      <c r="L184" s="595"/>
      <c r="M184" s="595"/>
      <c r="N184" s="595"/>
      <c r="O184" s="595"/>
      <c r="P184" s="595"/>
      <c r="Q184" s="595"/>
      <c r="R184" s="595"/>
      <c r="S184" s="595"/>
      <c r="T184" s="595"/>
      <c r="U184" s="595"/>
      <c r="V184" s="595"/>
      <c r="W184" s="595"/>
      <c r="X184" s="595"/>
      <c r="Y184" s="595"/>
      <c r="Z184" s="595"/>
      <c r="AA184" s="595"/>
      <c r="AB184" s="595"/>
      <c r="AC184" s="595"/>
      <c r="AD184" s="595"/>
      <c r="AE184" s="595"/>
      <c r="AF184" s="595"/>
      <c r="AG184" s="595"/>
      <c r="AH184" s="595"/>
      <c r="AI184" s="595"/>
      <c r="AJ184" s="595"/>
      <c r="AK184" s="595"/>
      <c r="AL184" s="595"/>
      <c r="AM184" s="595"/>
      <c r="AN184" s="595"/>
      <c r="AO184" s="595"/>
      <c r="AP184" s="595"/>
      <c r="AQ184" s="595"/>
      <c r="AR184" s="595"/>
      <c r="AS184" s="595"/>
      <c r="AT184" s="595"/>
      <c r="AU184" s="595"/>
      <c r="AV184" s="595"/>
      <c r="AW184" s="595"/>
      <c r="AX184" s="595"/>
      <c r="AY184" s="595"/>
      <c r="AZ184" s="595"/>
      <c r="BA184" s="595"/>
      <c r="BB184" s="595"/>
      <c r="BC184" s="595"/>
      <c r="BD184" s="595"/>
      <c r="BE184" s="595"/>
      <c r="BF184" s="595"/>
      <c r="BG184" s="595"/>
      <c r="BH184" s="595"/>
      <c r="BI184" s="595"/>
      <c r="BJ184" s="595"/>
      <c r="BK184" s="595"/>
      <c r="BL184" s="595"/>
      <c r="BM184" s="595"/>
      <c r="BN184" s="595"/>
      <c r="BO184" s="595"/>
      <c r="BP184" s="595"/>
      <c r="BQ184" s="595"/>
      <c r="BR184" s="595"/>
      <c r="BS184" s="595"/>
      <c r="BT184" s="595"/>
    </row>
    <row r="185" spans="1:72" s="631" customFormat="1" ht="4.5" customHeight="1" x14ac:dyDescent="0.2">
      <c r="A185" s="608"/>
      <c r="B185" s="609"/>
      <c r="C185" s="627"/>
      <c r="D185" s="610"/>
      <c r="E185" s="610"/>
      <c r="F185" s="620"/>
      <c r="G185" s="621"/>
      <c r="H185" s="595"/>
      <c r="I185" s="595"/>
      <c r="J185" s="595"/>
      <c r="K185" s="595"/>
      <c r="L185" s="595"/>
      <c r="M185" s="595"/>
      <c r="N185" s="595"/>
      <c r="O185" s="595"/>
      <c r="P185" s="595"/>
      <c r="Q185" s="595"/>
      <c r="R185" s="595"/>
      <c r="S185" s="595"/>
      <c r="T185" s="595"/>
      <c r="U185" s="595"/>
      <c r="V185" s="595"/>
      <c r="W185" s="595"/>
      <c r="X185" s="595"/>
      <c r="Y185" s="595"/>
      <c r="Z185" s="595"/>
      <c r="AA185" s="595"/>
      <c r="AB185" s="595"/>
      <c r="AC185" s="595"/>
      <c r="AD185" s="595"/>
      <c r="AE185" s="595"/>
      <c r="AF185" s="595"/>
      <c r="AG185" s="595"/>
      <c r="AH185" s="595"/>
      <c r="AI185" s="595"/>
      <c r="AJ185" s="595"/>
      <c r="AK185" s="595"/>
      <c r="AL185" s="595"/>
      <c r="AM185" s="595"/>
      <c r="AN185" s="595"/>
      <c r="AO185" s="595"/>
      <c r="AP185" s="595"/>
      <c r="AQ185" s="595"/>
      <c r="AR185" s="595"/>
      <c r="AS185" s="595"/>
      <c r="AT185" s="595"/>
      <c r="AU185" s="595"/>
      <c r="AV185" s="595"/>
      <c r="AW185" s="595"/>
      <c r="AX185" s="595"/>
      <c r="AY185" s="595"/>
      <c r="AZ185" s="595"/>
      <c r="BA185" s="595"/>
      <c r="BB185" s="595"/>
      <c r="BC185" s="595"/>
      <c r="BD185" s="595"/>
      <c r="BE185" s="595"/>
      <c r="BF185" s="595"/>
      <c r="BG185" s="595"/>
      <c r="BH185" s="595"/>
      <c r="BI185" s="595"/>
      <c r="BJ185" s="595"/>
      <c r="BK185" s="595"/>
      <c r="BL185" s="595"/>
      <c r="BM185" s="595"/>
      <c r="BN185" s="595"/>
      <c r="BO185" s="595"/>
      <c r="BP185" s="595"/>
      <c r="BQ185" s="595"/>
      <c r="BR185" s="595"/>
      <c r="BS185" s="595"/>
      <c r="BT185" s="595"/>
    </row>
    <row r="186" spans="1:72" s="631" customFormat="1" ht="15.75" customHeight="1" x14ac:dyDescent="0.2">
      <c r="A186" s="608"/>
      <c r="B186" s="609"/>
      <c r="C186" s="627"/>
      <c r="D186" s="610"/>
      <c r="E186" s="610"/>
      <c r="F186" s="620"/>
      <c r="G186" s="632">
        <f>SUM(G187:G189)</f>
        <v>40216.43</v>
      </c>
      <c r="H186" s="595"/>
      <c r="I186" s="595"/>
      <c r="J186" s="595"/>
      <c r="K186" s="595"/>
      <c r="L186" s="595"/>
      <c r="M186" s="595"/>
      <c r="N186" s="595"/>
      <c r="O186" s="595"/>
      <c r="P186" s="595"/>
      <c r="Q186" s="595"/>
      <c r="R186" s="595"/>
      <c r="S186" s="595"/>
      <c r="T186" s="595"/>
      <c r="U186" s="595"/>
      <c r="V186" s="595"/>
      <c r="W186" s="595"/>
      <c r="X186" s="595"/>
      <c r="Y186" s="595"/>
      <c r="Z186" s="595"/>
      <c r="AA186" s="595"/>
      <c r="AB186" s="595"/>
      <c r="AC186" s="595"/>
      <c r="AD186" s="595"/>
      <c r="AE186" s="595"/>
      <c r="AF186" s="595"/>
      <c r="AG186" s="595"/>
      <c r="AH186" s="595"/>
      <c r="AI186" s="595"/>
      <c r="AJ186" s="595"/>
      <c r="AK186" s="595"/>
      <c r="AL186" s="595"/>
      <c r="AM186" s="595"/>
      <c r="AN186" s="595"/>
      <c r="AO186" s="595"/>
      <c r="AP186" s="595"/>
      <c r="AQ186" s="595"/>
      <c r="AR186" s="595"/>
      <c r="AS186" s="595"/>
      <c r="AT186" s="595"/>
      <c r="AU186" s="595"/>
      <c r="AV186" s="595"/>
      <c r="AW186" s="595"/>
      <c r="AX186" s="595"/>
      <c r="AY186" s="595"/>
      <c r="AZ186" s="595"/>
      <c r="BA186" s="595"/>
      <c r="BB186" s="595"/>
      <c r="BC186" s="595"/>
      <c r="BD186" s="595"/>
      <c r="BE186" s="595"/>
      <c r="BF186" s="595"/>
      <c r="BG186" s="595"/>
      <c r="BH186" s="595"/>
      <c r="BI186" s="595"/>
      <c r="BJ186" s="595"/>
      <c r="BK186" s="595"/>
      <c r="BL186" s="595"/>
      <c r="BM186" s="595"/>
      <c r="BN186" s="595"/>
      <c r="BO186" s="595"/>
      <c r="BP186" s="595"/>
      <c r="BQ186" s="595"/>
      <c r="BR186" s="595"/>
      <c r="BS186" s="595"/>
      <c r="BT186" s="595"/>
    </row>
    <row r="187" spans="1:72" s="631" customFormat="1" ht="15.75" customHeight="1" x14ac:dyDescent="0.2">
      <c r="A187" s="608"/>
      <c r="B187" s="609"/>
      <c r="C187" s="627"/>
      <c r="D187" s="610"/>
      <c r="E187" s="610" t="s">
        <v>175</v>
      </c>
      <c r="F187" s="620" t="s">
        <v>325</v>
      </c>
      <c r="G187" s="621">
        <f>4842+5477+3551.43+4947+750+5127+5992+3180</f>
        <v>33866.43</v>
      </c>
      <c r="H187" s="595"/>
      <c r="I187" s="595"/>
      <c r="J187" s="595"/>
      <c r="K187" s="595"/>
      <c r="L187" s="595"/>
      <c r="M187" s="595"/>
      <c r="N187" s="595"/>
      <c r="O187" s="595"/>
      <c r="P187" s="595"/>
      <c r="Q187" s="595"/>
      <c r="R187" s="595"/>
      <c r="S187" s="595"/>
      <c r="T187" s="595"/>
      <c r="U187" s="595"/>
      <c r="V187" s="595"/>
      <c r="W187" s="595"/>
      <c r="X187" s="595"/>
      <c r="Y187" s="595"/>
      <c r="Z187" s="595"/>
      <c r="AA187" s="595"/>
      <c r="AB187" s="595"/>
      <c r="AC187" s="595"/>
      <c r="AD187" s="595"/>
      <c r="AE187" s="595"/>
      <c r="AF187" s="595"/>
      <c r="AG187" s="595"/>
      <c r="AH187" s="595"/>
      <c r="AI187" s="595"/>
      <c r="AJ187" s="595"/>
      <c r="AK187" s="595"/>
      <c r="AL187" s="595"/>
      <c r="AM187" s="595"/>
      <c r="AN187" s="595"/>
      <c r="AO187" s="595"/>
      <c r="AP187" s="595"/>
      <c r="AQ187" s="595"/>
      <c r="AR187" s="595"/>
      <c r="AS187" s="595"/>
      <c r="AT187" s="595"/>
      <c r="AU187" s="595"/>
      <c r="AV187" s="595"/>
      <c r="AW187" s="595"/>
      <c r="AX187" s="595"/>
      <c r="AY187" s="595"/>
      <c r="AZ187" s="595"/>
      <c r="BA187" s="595"/>
      <c r="BB187" s="595"/>
      <c r="BC187" s="595"/>
      <c r="BD187" s="595"/>
      <c r="BE187" s="595"/>
      <c r="BF187" s="595"/>
      <c r="BG187" s="595"/>
      <c r="BH187" s="595"/>
      <c r="BI187" s="595"/>
      <c r="BJ187" s="595"/>
      <c r="BK187" s="595"/>
      <c r="BL187" s="595"/>
      <c r="BM187" s="595"/>
      <c r="BN187" s="595"/>
      <c r="BO187" s="595"/>
      <c r="BP187" s="595"/>
      <c r="BQ187" s="595"/>
      <c r="BR187" s="595"/>
      <c r="BS187" s="595"/>
      <c r="BT187" s="595"/>
    </row>
    <row r="188" spans="1:72" s="631" customFormat="1" ht="15.75" customHeight="1" x14ac:dyDescent="0.2">
      <c r="A188" s="608"/>
      <c r="B188" s="609"/>
      <c r="C188" s="627"/>
      <c r="D188" s="610"/>
      <c r="E188" s="610" t="s">
        <v>574</v>
      </c>
      <c r="F188" s="620" t="s">
        <v>325</v>
      </c>
      <c r="G188" s="621">
        <v>750</v>
      </c>
      <c r="H188" s="595"/>
      <c r="I188" s="595"/>
      <c r="J188" s="595"/>
      <c r="K188" s="595"/>
      <c r="L188" s="595"/>
      <c r="M188" s="595"/>
      <c r="N188" s="595"/>
      <c r="O188" s="595"/>
      <c r="P188" s="595"/>
      <c r="Q188" s="595"/>
      <c r="R188" s="595"/>
      <c r="S188" s="595"/>
      <c r="T188" s="595"/>
      <c r="U188" s="595"/>
      <c r="V188" s="595"/>
      <c r="W188" s="595"/>
      <c r="X188" s="595"/>
      <c r="Y188" s="595"/>
      <c r="Z188" s="595"/>
      <c r="AA188" s="595"/>
      <c r="AB188" s="595"/>
      <c r="AC188" s="595"/>
      <c r="AD188" s="595"/>
      <c r="AE188" s="595"/>
      <c r="AF188" s="595"/>
      <c r="AG188" s="595"/>
      <c r="AH188" s="595"/>
      <c r="AI188" s="595"/>
      <c r="AJ188" s="595"/>
      <c r="AK188" s="595"/>
      <c r="AL188" s="595"/>
      <c r="AM188" s="595"/>
      <c r="AN188" s="595"/>
      <c r="AO188" s="595"/>
      <c r="AP188" s="595"/>
      <c r="AQ188" s="595"/>
      <c r="AR188" s="595"/>
      <c r="AS188" s="595"/>
      <c r="AT188" s="595"/>
      <c r="AU188" s="595"/>
      <c r="AV188" s="595"/>
      <c r="AW188" s="595"/>
      <c r="AX188" s="595"/>
      <c r="AY188" s="595"/>
      <c r="AZ188" s="595"/>
      <c r="BA188" s="595"/>
      <c r="BB188" s="595"/>
      <c r="BC188" s="595"/>
      <c r="BD188" s="595"/>
      <c r="BE188" s="595"/>
      <c r="BF188" s="595"/>
      <c r="BG188" s="595"/>
      <c r="BH188" s="595"/>
      <c r="BI188" s="595"/>
      <c r="BJ188" s="595"/>
      <c r="BK188" s="595"/>
      <c r="BL188" s="595"/>
      <c r="BM188" s="595"/>
      <c r="BN188" s="595"/>
      <c r="BO188" s="595"/>
      <c r="BP188" s="595"/>
      <c r="BQ188" s="595"/>
      <c r="BR188" s="595"/>
      <c r="BS188" s="595"/>
      <c r="BT188" s="595"/>
    </row>
    <row r="189" spans="1:72" s="631" customFormat="1" ht="15.75" customHeight="1" x14ac:dyDescent="0.2">
      <c r="A189" s="608"/>
      <c r="B189" s="609"/>
      <c r="C189" s="627"/>
      <c r="D189" s="610"/>
      <c r="E189" s="610" t="s">
        <v>576</v>
      </c>
      <c r="F189" s="620" t="s">
        <v>325</v>
      </c>
      <c r="G189" s="621">
        <f>5586+2914-2900</f>
        <v>5600</v>
      </c>
      <c r="H189" s="595"/>
      <c r="I189" s="595"/>
      <c r="J189" s="595"/>
      <c r="K189" s="595"/>
      <c r="L189" s="595"/>
      <c r="M189" s="595"/>
      <c r="N189" s="595"/>
      <c r="O189" s="595"/>
      <c r="P189" s="595"/>
      <c r="Q189" s="595"/>
      <c r="R189" s="595"/>
      <c r="S189" s="595"/>
      <c r="T189" s="595"/>
      <c r="U189" s="595"/>
      <c r="V189" s="595"/>
      <c r="W189" s="595"/>
      <c r="X189" s="595"/>
      <c r="Y189" s="595"/>
      <c r="Z189" s="595"/>
      <c r="AA189" s="595"/>
      <c r="AB189" s="595"/>
      <c r="AC189" s="595"/>
      <c r="AD189" s="595"/>
      <c r="AE189" s="595"/>
      <c r="AF189" s="595"/>
      <c r="AG189" s="595"/>
      <c r="AH189" s="595"/>
      <c r="AI189" s="595"/>
      <c r="AJ189" s="595"/>
      <c r="AK189" s="595"/>
      <c r="AL189" s="595"/>
      <c r="AM189" s="595"/>
      <c r="AN189" s="595"/>
      <c r="AO189" s="595"/>
      <c r="AP189" s="595"/>
      <c r="AQ189" s="595"/>
      <c r="AR189" s="595"/>
      <c r="AS189" s="595"/>
      <c r="AT189" s="595"/>
      <c r="AU189" s="595"/>
      <c r="AV189" s="595"/>
      <c r="AW189" s="595"/>
      <c r="AX189" s="595"/>
      <c r="AY189" s="595"/>
      <c r="AZ189" s="595"/>
      <c r="BA189" s="595"/>
      <c r="BB189" s="595"/>
      <c r="BC189" s="595"/>
      <c r="BD189" s="595"/>
      <c r="BE189" s="595"/>
      <c r="BF189" s="595"/>
      <c r="BG189" s="595"/>
      <c r="BH189" s="595"/>
      <c r="BI189" s="595"/>
      <c r="BJ189" s="595"/>
      <c r="BK189" s="595"/>
      <c r="BL189" s="595"/>
      <c r="BM189" s="595"/>
      <c r="BN189" s="595"/>
      <c r="BO189" s="595"/>
      <c r="BP189" s="595"/>
      <c r="BQ189" s="595"/>
      <c r="BR189" s="595"/>
      <c r="BS189" s="595"/>
      <c r="BT189" s="595"/>
    </row>
    <row r="190" spans="1:72" s="631" customFormat="1" ht="15.75" customHeight="1" x14ac:dyDescent="0.2">
      <c r="A190" s="608"/>
      <c r="B190" s="609"/>
      <c r="C190" s="627"/>
      <c r="D190" s="610"/>
      <c r="E190" s="610"/>
      <c r="F190" s="620"/>
      <c r="G190" s="621"/>
      <c r="H190" s="595"/>
      <c r="I190" s="595"/>
      <c r="J190" s="595"/>
      <c r="K190" s="595"/>
      <c r="L190" s="595"/>
      <c r="M190" s="595"/>
      <c r="N190" s="595"/>
      <c r="O190" s="595"/>
      <c r="P190" s="595"/>
      <c r="Q190" s="595"/>
      <c r="R190" s="595"/>
      <c r="S190" s="595"/>
      <c r="T190" s="595"/>
      <c r="U190" s="595"/>
      <c r="V190" s="595"/>
      <c r="W190" s="595"/>
      <c r="X190" s="595"/>
      <c r="Y190" s="595"/>
      <c r="Z190" s="595"/>
      <c r="AA190" s="595"/>
      <c r="AB190" s="595"/>
      <c r="AC190" s="595"/>
      <c r="AD190" s="595"/>
      <c r="AE190" s="595"/>
      <c r="AF190" s="595"/>
      <c r="AG190" s="595"/>
      <c r="AH190" s="595"/>
      <c r="AI190" s="595"/>
      <c r="AJ190" s="595"/>
      <c r="AK190" s="595"/>
      <c r="AL190" s="595"/>
      <c r="AM190" s="595"/>
      <c r="AN190" s="595"/>
      <c r="AO190" s="595"/>
      <c r="AP190" s="595"/>
      <c r="AQ190" s="595"/>
      <c r="AR190" s="595"/>
      <c r="AS190" s="595"/>
      <c r="AT190" s="595"/>
      <c r="AU190" s="595"/>
      <c r="AV190" s="595"/>
      <c r="AW190" s="595"/>
      <c r="AX190" s="595"/>
      <c r="AY190" s="595"/>
      <c r="AZ190" s="595"/>
      <c r="BA190" s="595"/>
      <c r="BB190" s="595"/>
      <c r="BC190" s="595"/>
      <c r="BD190" s="595"/>
      <c r="BE190" s="595"/>
      <c r="BF190" s="595"/>
      <c r="BG190" s="595"/>
      <c r="BH190" s="595"/>
      <c r="BI190" s="595"/>
      <c r="BJ190" s="595"/>
      <c r="BK190" s="595"/>
      <c r="BL190" s="595"/>
      <c r="BM190" s="595"/>
      <c r="BN190" s="595"/>
      <c r="BO190" s="595"/>
      <c r="BP190" s="595"/>
      <c r="BQ190" s="595"/>
      <c r="BR190" s="595"/>
      <c r="BS190" s="595"/>
      <c r="BT190" s="595"/>
    </row>
    <row r="191" spans="1:72" s="631" customFormat="1" ht="15.75" customHeight="1" x14ac:dyDescent="0.2">
      <c r="A191" s="608"/>
      <c r="B191" s="633" t="s">
        <v>42</v>
      </c>
      <c r="C191" s="610" t="s">
        <v>597</v>
      </c>
      <c r="D191" s="610" t="s">
        <v>599</v>
      </c>
      <c r="E191" s="616" t="s">
        <v>325</v>
      </c>
      <c r="F191" s="617" t="s">
        <v>325</v>
      </c>
      <c r="G191" s="618">
        <f>SUM(G193)</f>
        <v>3711</v>
      </c>
      <c r="H191" s="595"/>
      <c r="I191" s="595"/>
      <c r="J191" s="595"/>
      <c r="K191" s="595"/>
      <c r="L191" s="595"/>
      <c r="M191" s="595"/>
      <c r="N191" s="595"/>
      <c r="O191" s="595"/>
      <c r="P191" s="595"/>
      <c r="Q191" s="595"/>
      <c r="R191" s="595"/>
      <c r="S191" s="595"/>
      <c r="T191" s="595"/>
      <c r="U191" s="595"/>
      <c r="V191" s="595"/>
      <c r="W191" s="595"/>
      <c r="X191" s="595"/>
      <c r="Y191" s="595"/>
      <c r="Z191" s="595"/>
      <c r="AA191" s="595"/>
      <c r="AB191" s="595"/>
      <c r="AC191" s="595"/>
      <c r="AD191" s="595"/>
      <c r="AE191" s="595"/>
      <c r="AF191" s="595"/>
      <c r="AG191" s="595"/>
      <c r="AH191" s="595"/>
      <c r="AI191" s="595"/>
      <c r="AJ191" s="595"/>
      <c r="AK191" s="595"/>
      <c r="AL191" s="595"/>
      <c r="AM191" s="595"/>
      <c r="AN191" s="595"/>
      <c r="AO191" s="595"/>
      <c r="AP191" s="595"/>
      <c r="AQ191" s="595"/>
      <c r="AR191" s="595"/>
      <c r="AS191" s="595"/>
      <c r="AT191" s="595"/>
      <c r="AU191" s="595"/>
      <c r="AV191" s="595"/>
      <c r="AW191" s="595"/>
      <c r="AX191" s="595"/>
      <c r="AY191" s="595"/>
      <c r="AZ191" s="595"/>
      <c r="BA191" s="595"/>
      <c r="BB191" s="595"/>
      <c r="BC191" s="595"/>
      <c r="BD191" s="595"/>
      <c r="BE191" s="595"/>
      <c r="BF191" s="595"/>
      <c r="BG191" s="595"/>
      <c r="BH191" s="595"/>
      <c r="BI191" s="595"/>
      <c r="BJ191" s="595"/>
      <c r="BK191" s="595"/>
      <c r="BL191" s="595"/>
      <c r="BM191" s="595"/>
      <c r="BN191" s="595"/>
      <c r="BO191" s="595"/>
      <c r="BP191" s="595"/>
      <c r="BQ191" s="595"/>
      <c r="BR191" s="595"/>
      <c r="BS191" s="595"/>
      <c r="BT191" s="595"/>
    </row>
    <row r="192" spans="1:72" s="631" customFormat="1" ht="15.75" customHeight="1" x14ac:dyDescent="0.2">
      <c r="A192" s="608"/>
      <c r="B192" s="609"/>
      <c r="C192" s="627"/>
      <c r="D192" s="610"/>
      <c r="E192" s="610"/>
      <c r="F192" s="620"/>
      <c r="G192" s="621"/>
      <c r="H192" s="595"/>
      <c r="I192" s="595"/>
      <c r="J192" s="595"/>
      <c r="K192" s="595"/>
      <c r="L192" s="595"/>
      <c r="M192" s="595"/>
      <c r="N192" s="595"/>
      <c r="O192" s="595"/>
      <c r="P192" s="595"/>
      <c r="Q192" s="595"/>
      <c r="R192" s="595"/>
      <c r="S192" s="595"/>
      <c r="T192" s="595"/>
      <c r="U192" s="595"/>
      <c r="V192" s="595"/>
      <c r="W192" s="595"/>
      <c r="X192" s="595"/>
      <c r="Y192" s="595"/>
      <c r="Z192" s="595"/>
      <c r="AA192" s="595"/>
      <c r="AB192" s="595"/>
      <c r="AC192" s="595"/>
      <c r="AD192" s="595"/>
      <c r="AE192" s="595"/>
      <c r="AF192" s="595"/>
      <c r="AG192" s="595"/>
      <c r="AH192" s="595"/>
      <c r="AI192" s="595"/>
      <c r="AJ192" s="595"/>
      <c r="AK192" s="595"/>
      <c r="AL192" s="595"/>
      <c r="AM192" s="595"/>
      <c r="AN192" s="595"/>
      <c r="AO192" s="595"/>
      <c r="AP192" s="595"/>
      <c r="AQ192" s="595"/>
      <c r="AR192" s="595"/>
      <c r="AS192" s="595"/>
      <c r="AT192" s="595"/>
      <c r="AU192" s="595"/>
      <c r="AV192" s="595"/>
      <c r="AW192" s="595"/>
      <c r="AX192" s="595"/>
      <c r="AY192" s="595"/>
      <c r="AZ192" s="595"/>
      <c r="BA192" s="595"/>
      <c r="BB192" s="595"/>
      <c r="BC192" s="595"/>
      <c r="BD192" s="595"/>
      <c r="BE192" s="595"/>
      <c r="BF192" s="595"/>
      <c r="BG192" s="595"/>
      <c r="BH192" s="595"/>
      <c r="BI192" s="595"/>
      <c r="BJ192" s="595"/>
      <c r="BK192" s="595"/>
      <c r="BL192" s="595"/>
      <c r="BM192" s="595"/>
      <c r="BN192" s="595"/>
      <c r="BO192" s="595"/>
      <c r="BP192" s="595"/>
      <c r="BQ192" s="595"/>
      <c r="BR192" s="595"/>
      <c r="BS192" s="595"/>
      <c r="BT192" s="595"/>
    </row>
    <row r="193" spans="1:72" s="631" customFormat="1" ht="15.75" customHeight="1" x14ac:dyDescent="0.2">
      <c r="A193" s="608"/>
      <c r="B193" s="609"/>
      <c r="C193" s="627"/>
      <c r="D193" s="610"/>
      <c r="E193" s="610"/>
      <c r="F193" s="620"/>
      <c r="G193" s="632">
        <f>SUM(G194)</f>
        <v>3711</v>
      </c>
      <c r="H193" s="595"/>
      <c r="I193" s="595"/>
      <c r="J193" s="595"/>
      <c r="K193" s="595"/>
      <c r="L193" s="595"/>
      <c r="M193" s="595"/>
      <c r="N193" s="595"/>
      <c r="O193" s="595"/>
      <c r="P193" s="595"/>
      <c r="Q193" s="595"/>
      <c r="R193" s="595"/>
      <c r="S193" s="595"/>
      <c r="T193" s="595"/>
      <c r="U193" s="595"/>
      <c r="V193" s="595"/>
      <c r="W193" s="595"/>
      <c r="X193" s="595"/>
      <c r="Y193" s="595"/>
      <c r="Z193" s="595"/>
      <c r="AA193" s="595"/>
      <c r="AB193" s="595"/>
      <c r="AC193" s="595"/>
      <c r="AD193" s="595"/>
      <c r="AE193" s="595"/>
      <c r="AF193" s="595"/>
      <c r="AG193" s="595"/>
      <c r="AH193" s="595"/>
      <c r="AI193" s="595"/>
      <c r="AJ193" s="595"/>
      <c r="AK193" s="595"/>
      <c r="AL193" s="595"/>
      <c r="AM193" s="595"/>
      <c r="AN193" s="595"/>
      <c r="AO193" s="595"/>
      <c r="AP193" s="595"/>
      <c r="AQ193" s="595"/>
      <c r="AR193" s="595"/>
      <c r="AS193" s="595"/>
      <c r="AT193" s="595"/>
      <c r="AU193" s="595"/>
      <c r="AV193" s="595"/>
      <c r="AW193" s="595"/>
      <c r="AX193" s="595"/>
      <c r="AY193" s="595"/>
      <c r="AZ193" s="595"/>
      <c r="BA193" s="595"/>
      <c r="BB193" s="595"/>
      <c r="BC193" s="595"/>
      <c r="BD193" s="595"/>
      <c r="BE193" s="595"/>
      <c r="BF193" s="595"/>
      <c r="BG193" s="595"/>
      <c r="BH193" s="595"/>
      <c r="BI193" s="595"/>
      <c r="BJ193" s="595"/>
      <c r="BK193" s="595"/>
      <c r="BL193" s="595"/>
      <c r="BM193" s="595"/>
      <c r="BN193" s="595"/>
      <c r="BO193" s="595"/>
      <c r="BP193" s="595"/>
      <c r="BQ193" s="595"/>
      <c r="BR193" s="595"/>
      <c r="BS193" s="595"/>
      <c r="BT193" s="595"/>
    </row>
    <row r="194" spans="1:72" s="631" customFormat="1" ht="15.75" customHeight="1" x14ac:dyDescent="0.2">
      <c r="A194" s="608"/>
      <c r="B194" s="609"/>
      <c r="C194" s="627"/>
      <c r="D194" s="610"/>
      <c r="E194" s="610" t="s">
        <v>175</v>
      </c>
      <c r="F194" s="620" t="s">
        <v>325</v>
      </c>
      <c r="G194" s="621">
        <f>3711</f>
        <v>3711</v>
      </c>
      <c r="H194" s="595"/>
      <c r="I194" s="595"/>
      <c r="J194" s="595"/>
      <c r="K194" s="595"/>
      <c r="L194" s="595"/>
      <c r="M194" s="595"/>
      <c r="N194" s="595"/>
      <c r="O194" s="595"/>
      <c r="P194" s="595"/>
      <c r="Q194" s="595"/>
      <c r="R194" s="595"/>
      <c r="S194" s="595"/>
      <c r="T194" s="595"/>
      <c r="U194" s="595"/>
      <c r="V194" s="595"/>
      <c r="W194" s="595"/>
      <c r="X194" s="595"/>
      <c r="Y194" s="595"/>
      <c r="Z194" s="595"/>
      <c r="AA194" s="595"/>
      <c r="AB194" s="595"/>
      <c r="AC194" s="595"/>
      <c r="AD194" s="595"/>
      <c r="AE194" s="595"/>
      <c r="AF194" s="595"/>
      <c r="AG194" s="595"/>
      <c r="AH194" s="595"/>
      <c r="AI194" s="595"/>
      <c r="AJ194" s="595"/>
      <c r="AK194" s="595"/>
      <c r="AL194" s="595"/>
      <c r="AM194" s="595"/>
      <c r="AN194" s="595"/>
      <c r="AO194" s="595"/>
      <c r="AP194" s="595"/>
      <c r="AQ194" s="595"/>
      <c r="AR194" s="595"/>
      <c r="AS194" s="595"/>
      <c r="AT194" s="595"/>
      <c r="AU194" s="595"/>
      <c r="AV194" s="595"/>
      <c r="AW194" s="595"/>
      <c r="AX194" s="595"/>
      <c r="AY194" s="595"/>
      <c r="AZ194" s="595"/>
      <c r="BA194" s="595"/>
      <c r="BB194" s="595"/>
      <c r="BC194" s="595"/>
      <c r="BD194" s="595"/>
      <c r="BE194" s="595"/>
      <c r="BF194" s="595"/>
      <c r="BG194" s="595"/>
      <c r="BH194" s="595"/>
      <c r="BI194" s="595"/>
      <c r="BJ194" s="595"/>
      <c r="BK194" s="595"/>
      <c r="BL194" s="595"/>
      <c r="BM194" s="595"/>
      <c r="BN194" s="595"/>
      <c r="BO194" s="595"/>
      <c r="BP194" s="595"/>
      <c r="BQ194" s="595"/>
      <c r="BR194" s="595"/>
      <c r="BS194" s="595"/>
      <c r="BT194" s="595"/>
    </row>
    <row r="195" spans="1:72" s="631" customFormat="1" ht="12.75" customHeight="1" x14ac:dyDescent="0.2">
      <c r="A195" s="622"/>
      <c r="B195" s="623"/>
      <c r="C195" s="624"/>
      <c r="D195" s="611"/>
      <c r="E195" s="611"/>
      <c r="F195" s="613"/>
      <c r="G195" s="625"/>
      <c r="H195" s="595"/>
      <c r="I195" s="595"/>
      <c r="J195" s="595"/>
      <c r="K195" s="595"/>
      <c r="L195" s="595"/>
      <c r="M195" s="595"/>
      <c r="N195" s="595"/>
      <c r="O195" s="595"/>
      <c r="P195" s="595"/>
      <c r="Q195" s="595"/>
      <c r="R195" s="595"/>
      <c r="S195" s="595"/>
      <c r="T195" s="595"/>
      <c r="U195" s="595"/>
      <c r="V195" s="595"/>
      <c r="W195" s="595"/>
      <c r="X195" s="595"/>
      <c r="Y195" s="595"/>
      <c r="Z195" s="595"/>
      <c r="AA195" s="595"/>
      <c r="AB195" s="595"/>
      <c r="AC195" s="595"/>
      <c r="AD195" s="595"/>
      <c r="AE195" s="595"/>
      <c r="AF195" s="595"/>
      <c r="AG195" s="595"/>
      <c r="AH195" s="595"/>
      <c r="AI195" s="595"/>
      <c r="AJ195" s="595"/>
      <c r="AK195" s="595"/>
      <c r="AL195" s="595"/>
      <c r="AM195" s="595"/>
      <c r="AN195" s="595"/>
      <c r="AO195" s="595"/>
      <c r="AP195" s="595"/>
      <c r="AQ195" s="595"/>
      <c r="AR195" s="595"/>
      <c r="AS195" s="595"/>
      <c r="AT195" s="595"/>
      <c r="AU195" s="595"/>
      <c r="AV195" s="595"/>
      <c r="AW195" s="595"/>
      <c r="AX195" s="595"/>
      <c r="AY195" s="595"/>
      <c r="AZ195" s="595"/>
      <c r="BA195" s="595"/>
      <c r="BB195" s="595"/>
      <c r="BC195" s="595"/>
      <c r="BD195" s="595"/>
      <c r="BE195" s="595"/>
      <c r="BF195" s="595"/>
      <c r="BG195" s="595"/>
      <c r="BH195" s="595"/>
      <c r="BI195" s="595"/>
      <c r="BJ195" s="595"/>
      <c r="BK195" s="595"/>
      <c r="BL195" s="595"/>
      <c r="BM195" s="595"/>
      <c r="BN195" s="595"/>
      <c r="BO195" s="595"/>
      <c r="BP195" s="595"/>
      <c r="BQ195" s="595"/>
      <c r="BR195" s="595"/>
      <c r="BS195" s="595"/>
      <c r="BT195" s="595"/>
    </row>
    <row r="196" spans="1:72" s="631" customFormat="1" ht="18.75" customHeight="1" x14ac:dyDescent="0.2">
      <c r="A196" s="608"/>
      <c r="B196" s="609"/>
      <c r="C196" s="610" t="s">
        <v>126</v>
      </c>
      <c r="D196" s="610" t="s">
        <v>600</v>
      </c>
      <c r="E196" s="611" t="s">
        <v>86</v>
      </c>
      <c r="F196" s="612">
        <f>23088.67+942.17+2115.3+1002.4</f>
        <v>27148.539999999997</v>
      </c>
      <c r="G196" s="613" t="s">
        <v>325</v>
      </c>
      <c r="H196" s="595"/>
      <c r="I196" s="595"/>
      <c r="J196" s="595"/>
      <c r="K196" s="595"/>
      <c r="L196" s="595"/>
      <c r="M196" s="595"/>
      <c r="N196" s="595"/>
      <c r="O196" s="595"/>
      <c r="P196" s="595"/>
      <c r="Q196" s="595"/>
      <c r="R196" s="595"/>
      <c r="S196" s="595"/>
      <c r="T196" s="595"/>
      <c r="U196" s="595"/>
      <c r="V196" s="595"/>
      <c r="W196" s="595"/>
      <c r="X196" s="595"/>
      <c r="Y196" s="595"/>
      <c r="Z196" s="595"/>
      <c r="AA196" s="595"/>
      <c r="AB196" s="595"/>
      <c r="AC196" s="595"/>
      <c r="AD196" s="595"/>
      <c r="AE196" s="595"/>
      <c r="AF196" s="595"/>
      <c r="AG196" s="595"/>
      <c r="AH196" s="595"/>
      <c r="AI196" s="595"/>
      <c r="AJ196" s="595"/>
      <c r="AK196" s="595"/>
      <c r="AL196" s="595"/>
      <c r="AM196" s="595"/>
      <c r="AN196" s="595"/>
      <c r="AO196" s="595"/>
      <c r="AP196" s="595"/>
      <c r="AQ196" s="595"/>
      <c r="AR196" s="595"/>
      <c r="AS196" s="595"/>
      <c r="AT196" s="595"/>
      <c r="AU196" s="595"/>
      <c r="AV196" s="595"/>
      <c r="AW196" s="595"/>
      <c r="AX196" s="595"/>
      <c r="AY196" s="595"/>
      <c r="AZ196" s="595"/>
      <c r="BA196" s="595"/>
      <c r="BB196" s="595"/>
      <c r="BC196" s="595"/>
      <c r="BD196" s="595"/>
      <c r="BE196" s="595"/>
      <c r="BF196" s="595"/>
      <c r="BG196" s="595"/>
      <c r="BH196" s="595"/>
      <c r="BI196" s="595"/>
      <c r="BJ196" s="595"/>
      <c r="BK196" s="595"/>
      <c r="BL196" s="595"/>
      <c r="BM196" s="595"/>
      <c r="BN196" s="595"/>
      <c r="BO196" s="595"/>
      <c r="BP196" s="595"/>
      <c r="BQ196" s="595"/>
      <c r="BR196" s="595"/>
      <c r="BS196" s="595"/>
      <c r="BT196" s="595"/>
    </row>
    <row r="197" spans="1:72" s="631" customFormat="1" ht="62.25" customHeight="1" x14ac:dyDescent="0.2">
      <c r="A197" s="614" t="s">
        <v>544</v>
      </c>
      <c r="B197" s="615" t="s">
        <v>601</v>
      </c>
      <c r="C197" s="610"/>
      <c r="D197" s="610"/>
      <c r="E197" s="616" t="s">
        <v>325</v>
      </c>
      <c r="F197" s="617" t="s">
        <v>325</v>
      </c>
      <c r="G197" s="618">
        <f>SUM(G199,G204)</f>
        <v>27148.540000000005</v>
      </c>
      <c r="H197" s="595"/>
      <c r="I197" s="595"/>
      <c r="J197" s="595"/>
      <c r="K197" s="595"/>
      <c r="L197" s="595"/>
      <c r="M197" s="595"/>
      <c r="N197" s="595"/>
      <c r="O197" s="595"/>
      <c r="P197" s="595"/>
      <c r="Q197" s="595"/>
      <c r="R197" s="595"/>
      <c r="S197" s="595"/>
      <c r="T197" s="595"/>
      <c r="U197" s="595"/>
      <c r="V197" s="595"/>
      <c r="W197" s="595"/>
      <c r="X197" s="595"/>
      <c r="Y197" s="595"/>
      <c r="Z197" s="595"/>
      <c r="AA197" s="595"/>
      <c r="AB197" s="595"/>
      <c r="AC197" s="595"/>
      <c r="AD197" s="595"/>
      <c r="AE197" s="595"/>
      <c r="AF197" s="595"/>
      <c r="AG197" s="595"/>
      <c r="AH197" s="595"/>
      <c r="AI197" s="595"/>
      <c r="AJ197" s="595"/>
      <c r="AK197" s="595"/>
      <c r="AL197" s="595"/>
      <c r="AM197" s="595"/>
      <c r="AN197" s="595"/>
      <c r="AO197" s="595"/>
      <c r="AP197" s="595"/>
      <c r="AQ197" s="595"/>
      <c r="AR197" s="595"/>
      <c r="AS197" s="595"/>
      <c r="AT197" s="595"/>
      <c r="AU197" s="595"/>
      <c r="AV197" s="595"/>
      <c r="AW197" s="595"/>
      <c r="AX197" s="595"/>
      <c r="AY197" s="595"/>
      <c r="AZ197" s="595"/>
      <c r="BA197" s="595"/>
      <c r="BB197" s="595"/>
      <c r="BC197" s="595"/>
      <c r="BD197" s="595"/>
      <c r="BE197" s="595"/>
      <c r="BF197" s="595"/>
      <c r="BG197" s="595"/>
      <c r="BH197" s="595"/>
      <c r="BI197" s="595"/>
      <c r="BJ197" s="595"/>
      <c r="BK197" s="595"/>
      <c r="BL197" s="595"/>
      <c r="BM197" s="595"/>
      <c r="BN197" s="595"/>
      <c r="BO197" s="595"/>
      <c r="BP197" s="595"/>
      <c r="BQ197" s="595"/>
      <c r="BR197" s="595"/>
      <c r="BS197" s="595"/>
      <c r="BT197" s="595"/>
    </row>
    <row r="198" spans="1:72" s="631" customFormat="1" ht="15.75" customHeight="1" x14ac:dyDescent="0.2">
      <c r="A198" s="608"/>
      <c r="B198" s="609"/>
      <c r="C198" s="627"/>
      <c r="D198" s="610"/>
      <c r="E198" s="610"/>
      <c r="F198" s="620"/>
      <c r="G198" s="621"/>
      <c r="H198" s="595"/>
      <c r="I198" s="595"/>
      <c r="J198" s="595"/>
      <c r="K198" s="595"/>
      <c r="L198" s="595"/>
      <c r="M198" s="595"/>
      <c r="N198" s="595"/>
      <c r="O198" s="595"/>
      <c r="P198" s="595"/>
      <c r="Q198" s="595"/>
      <c r="R198" s="595"/>
      <c r="S198" s="595"/>
      <c r="T198" s="595"/>
      <c r="U198" s="595"/>
      <c r="V198" s="595"/>
      <c r="W198" s="595"/>
      <c r="X198" s="595"/>
      <c r="Y198" s="595"/>
      <c r="Z198" s="595"/>
      <c r="AA198" s="595"/>
      <c r="AB198" s="595"/>
      <c r="AC198" s="595"/>
      <c r="AD198" s="595"/>
      <c r="AE198" s="595"/>
      <c r="AF198" s="595"/>
      <c r="AG198" s="595"/>
      <c r="AH198" s="595"/>
      <c r="AI198" s="595"/>
      <c r="AJ198" s="595"/>
      <c r="AK198" s="595"/>
      <c r="AL198" s="595"/>
      <c r="AM198" s="595"/>
      <c r="AN198" s="595"/>
      <c r="AO198" s="595"/>
      <c r="AP198" s="595"/>
      <c r="AQ198" s="595"/>
      <c r="AR198" s="595"/>
      <c r="AS198" s="595"/>
      <c r="AT198" s="595"/>
      <c r="AU198" s="595"/>
      <c r="AV198" s="595"/>
      <c r="AW198" s="595"/>
      <c r="AX198" s="595"/>
      <c r="AY198" s="595"/>
      <c r="AZ198" s="595"/>
      <c r="BA198" s="595"/>
      <c r="BB198" s="595"/>
      <c r="BC198" s="595"/>
      <c r="BD198" s="595"/>
      <c r="BE198" s="595"/>
      <c r="BF198" s="595"/>
      <c r="BG198" s="595"/>
      <c r="BH198" s="595"/>
      <c r="BI198" s="595"/>
      <c r="BJ198" s="595"/>
      <c r="BK198" s="595"/>
      <c r="BL198" s="595"/>
      <c r="BM198" s="595"/>
      <c r="BN198" s="595"/>
      <c r="BO198" s="595"/>
      <c r="BP198" s="595"/>
      <c r="BQ198" s="595"/>
      <c r="BR198" s="595"/>
      <c r="BS198" s="595"/>
      <c r="BT198" s="595"/>
    </row>
    <row r="199" spans="1:72" s="631" customFormat="1" ht="15.75" customHeight="1" x14ac:dyDescent="0.2">
      <c r="A199" s="608"/>
      <c r="B199" s="633" t="s">
        <v>42</v>
      </c>
      <c r="C199" s="610"/>
      <c r="D199" s="610"/>
      <c r="E199" s="616" t="s">
        <v>325</v>
      </c>
      <c r="F199" s="617" t="s">
        <v>325</v>
      </c>
      <c r="G199" s="618">
        <f>SUM(G201)</f>
        <v>26672.550000000003</v>
      </c>
      <c r="H199" s="595"/>
      <c r="I199" s="595"/>
      <c r="J199" s="595"/>
      <c r="K199" s="595"/>
      <c r="L199" s="595"/>
      <c r="M199" s="595"/>
      <c r="N199" s="595"/>
      <c r="O199" s="595"/>
      <c r="P199" s="595"/>
      <c r="Q199" s="595"/>
      <c r="R199" s="595"/>
      <c r="S199" s="595"/>
      <c r="T199" s="595"/>
      <c r="U199" s="595"/>
      <c r="V199" s="595"/>
      <c r="W199" s="595"/>
      <c r="X199" s="595"/>
      <c r="Y199" s="595"/>
      <c r="Z199" s="595"/>
      <c r="AA199" s="595"/>
      <c r="AB199" s="595"/>
      <c r="AC199" s="595"/>
      <c r="AD199" s="595"/>
      <c r="AE199" s="595"/>
      <c r="AF199" s="595"/>
      <c r="AG199" s="595"/>
      <c r="AH199" s="595"/>
      <c r="AI199" s="595"/>
      <c r="AJ199" s="595"/>
      <c r="AK199" s="595"/>
      <c r="AL199" s="595"/>
      <c r="AM199" s="595"/>
      <c r="AN199" s="595"/>
      <c r="AO199" s="595"/>
      <c r="AP199" s="595"/>
      <c r="AQ199" s="595"/>
      <c r="AR199" s="595"/>
      <c r="AS199" s="595"/>
      <c r="AT199" s="595"/>
      <c r="AU199" s="595"/>
      <c r="AV199" s="595"/>
      <c r="AW199" s="595"/>
      <c r="AX199" s="595"/>
      <c r="AY199" s="595"/>
      <c r="AZ199" s="595"/>
      <c r="BA199" s="595"/>
      <c r="BB199" s="595"/>
      <c r="BC199" s="595"/>
      <c r="BD199" s="595"/>
      <c r="BE199" s="595"/>
      <c r="BF199" s="595"/>
      <c r="BG199" s="595"/>
      <c r="BH199" s="595"/>
      <c r="BI199" s="595"/>
      <c r="BJ199" s="595"/>
      <c r="BK199" s="595"/>
      <c r="BL199" s="595"/>
      <c r="BM199" s="595"/>
      <c r="BN199" s="595"/>
      <c r="BO199" s="595"/>
      <c r="BP199" s="595"/>
      <c r="BQ199" s="595"/>
      <c r="BR199" s="595"/>
      <c r="BS199" s="595"/>
      <c r="BT199" s="595"/>
    </row>
    <row r="200" spans="1:72" s="631" customFormat="1" ht="9.75" customHeight="1" x14ac:dyDescent="0.2">
      <c r="A200" s="608"/>
      <c r="B200" s="609"/>
      <c r="C200" s="627"/>
      <c r="D200" s="610"/>
      <c r="E200" s="610"/>
      <c r="F200" s="620"/>
      <c r="G200" s="621"/>
      <c r="H200" s="595"/>
      <c r="I200" s="595"/>
      <c r="J200" s="595"/>
      <c r="K200" s="595"/>
      <c r="L200" s="595"/>
      <c r="M200" s="595"/>
      <c r="N200" s="595"/>
      <c r="O200" s="595"/>
      <c r="P200" s="595"/>
      <c r="Q200" s="595"/>
      <c r="R200" s="595"/>
      <c r="S200" s="595"/>
      <c r="T200" s="595"/>
      <c r="U200" s="595"/>
      <c r="V200" s="595"/>
      <c r="W200" s="595"/>
      <c r="X200" s="595"/>
      <c r="Y200" s="595"/>
      <c r="Z200" s="595"/>
      <c r="AA200" s="595"/>
      <c r="AB200" s="595"/>
      <c r="AC200" s="595"/>
      <c r="AD200" s="595"/>
      <c r="AE200" s="595"/>
      <c r="AF200" s="595"/>
      <c r="AG200" s="595"/>
      <c r="AH200" s="595"/>
      <c r="AI200" s="595"/>
      <c r="AJ200" s="595"/>
      <c r="AK200" s="595"/>
      <c r="AL200" s="595"/>
      <c r="AM200" s="595"/>
      <c r="AN200" s="595"/>
      <c r="AO200" s="595"/>
      <c r="AP200" s="595"/>
      <c r="AQ200" s="595"/>
      <c r="AR200" s="595"/>
      <c r="AS200" s="595"/>
      <c r="AT200" s="595"/>
      <c r="AU200" s="595"/>
      <c r="AV200" s="595"/>
      <c r="AW200" s="595"/>
      <c r="AX200" s="595"/>
      <c r="AY200" s="595"/>
      <c r="AZ200" s="595"/>
      <c r="BA200" s="595"/>
      <c r="BB200" s="595"/>
      <c r="BC200" s="595"/>
      <c r="BD200" s="595"/>
      <c r="BE200" s="595"/>
      <c r="BF200" s="595"/>
      <c r="BG200" s="595"/>
      <c r="BH200" s="595"/>
      <c r="BI200" s="595"/>
      <c r="BJ200" s="595"/>
      <c r="BK200" s="595"/>
      <c r="BL200" s="595"/>
      <c r="BM200" s="595"/>
      <c r="BN200" s="595"/>
      <c r="BO200" s="595"/>
      <c r="BP200" s="595"/>
      <c r="BQ200" s="595"/>
      <c r="BR200" s="595"/>
      <c r="BS200" s="595"/>
      <c r="BT200" s="595"/>
    </row>
    <row r="201" spans="1:72" s="631" customFormat="1" ht="15.75" customHeight="1" x14ac:dyDescent="0.2">
      <c r="A201" s="608"/>
      <c r="B201" s="609"/>
      <c r="C201" s="627"/>
      <c r="D201" s="610"/>
      <c r="E201" s="610"/>
      <c r="F201" s="620"/>
      <c r="G201" s="632">
        <f>SUM(G202:G202)</f>
        <v>26672.550000000003</v>
      </c>
      <c r="H201" s="595"/>
      <c r="I201" s="595"/>
      <c r="J201" s="595"/>
      <c r="K201" s="595"/>
      <c r="L201" s="595"/>
      <c r="M201" s="595"/>
      <c r="N201" s="595"/>
      <c r="O201" s="595"/>
      <c r="P201" s="595"/>
      <c r="Q201" s="595"/>
      <c r="R201" s="595"/>
      <c r="S201" s="595"/>
      <c r="T201" s="595"/>
      <c r="U201" s="595"/>
      <c r="V201" s="595"/>
      <c r="W201" s="595"/>
      <c r="X201" s="595"/>
      <c r="Y201" s="595"/>
      <c r="Z201" s="595"/>
      <c r="AA201" s="595"/>
      <c r="AB201" s="595"/>
      <c r="AC201" s="595"/>
      <c r="AD201" s="595"/>
      <c r="AE201" s="595"/>
      <c r="AF201" s="595"/>
      <c r="AG201" s="595"/>
      <c r="AH201" s="595"/>
      <c r="AI201" s="595"/>
      <c r="AJ201" s="595"/>
      <c r="AK201" s="595"/>
      <c r="AL201" s="595"/>
      <c r="AM201" s="595"/>
      <c r="AN201" s="595"/>
      <c r="AO201" s="595"/>
      <c r="AP201" s="595"/>
      <c r="AQ201" s="595"/>
      <c r="AR201" s="595"/>
      <c r="AS201" s="595"/>
      <c r="AT201" s="595"/>
      <c r="AU201" s="595"/>
      <c r="AV201" s="595"/>
      <c r="AW201" s="595"/>
      <c r="AX201" s="595"/>
      <c r="AY201" s="595"/>
      <c r="AZ201" s="595"/>
      <c r="BA201" s="595"/>
      <c r="BB201" s="595"/>
      <c r="BC201" s="595"/>
      <c r="BD201" s="595"/>
      <c r="BE201" s="595"/>
      <c r="BF201" s="595"/>
      <c r="BG201" s="595"/>
      <c r="BH201" s="595"/>
      <c r="BI201" s="595"/>
      <c r="BJ201" s="595"/>
      <c r="BK201" s="595"/>
      <c r="BL201" s="595"/>
      <c r="BM201" s="595"/>
      <c r="BN201" s="595"/>
      <c r="BO201" s="595"/>
      <c r="BP201" s="595"/>
      <c r="BQ201" s="595"/>
      <c r="BR201" s="595"/>
      <c r="BS201" s="595"/>
      <c r="BT201" s="595"/>
    </row>
    <row r="202" spans="1:72" s="631" customFormat="1" ht="15.75" customHeight="1" x14ac:dyDescent="0.2">
      <c r="A202" s="608"/>
      <c r="B202" s="609"/>
      <c r="C202" s="627"/>
      <c r="D202" s="610"/>
      <c r="E202" s="610" t="s">
        <v>175</v>
      </c>
      <c r="F202" s="620" t="s">
        <v>325</v>
      </c>
      <c r="G202" s="621">
        <f>22832.85+932.86+2264.65-486.42+1128.61</f>
        <v>26672.550000000003</v>
      </c>
      <c r="H202" s="595"/>
      <c r="I202" s="595"/>
      <c r="J202" s="595"/>
      <c r="K202" s="595"/>
      <c r="L202" s="595"/>
      <c r="M202" s="595"/>
      <c r="N202" s="595"/>
      <c r="O202" s="595"/>
      <c r="P202" s="595"/>
      <c r="Q202" s="595"/>
      <c r="R202" s="595"/>
      <c r="S202" s="595"/>
      <c r="T202" s="595"/>
      <c r="U202" s="595"/>
      <c r="V202" s="595"/>
      <c r="W202" s="595"/>
      <c r="X202" s="595"/>
      <c r="Y202" s="595"/>
      <c r="Z202" s="595"/>
      <c r="AA202" s="595"/>
      <c r="AB202" s="595"/>
      <c r="AC202" s="595"/>
      <c r="AD202" s="595"/>
      <c r="AE202" s="595"/>
      <c r="AF202" s="595"/>
      <c r="AG202" s="595"/>
      <c r="AH202" s="595"/>
      <c r="AI202" s="595"/>
      <c r="AJ202" s="595"/>
      <c r="AK202" s="595"/>
      <c r="AL202" s="595"/>
      <c r="AM202" s="595"/>
      <c r="AN202" s="595"/>
      <c r="AO202" s="595"/>
      <c r="AP202" s="595"/>
      <c r="AQ202" s="595"/>
      <c r="AR202" s="595"/>
      <c r="AS202" s="595"/>
      <c r="AT202" s="595"/>
      <c r="AU202" s="595"/>
      <c r="AV202" s="595"/>
      <c r="AW202" s="595"/>
      <c r="AX202" s="595"/>
      <c r="AY202" s="595"/>
      <c r="AZ202" s="595"/>
      <c r="BA202" s="595"/>
      <c r="BB202" s="595"/>
      <c r="BC202" s="595"/>
      <c r="BD202" s="595"/>
      <c r="BE202" s="595"/>
      <c r="BF202" s="595"/>
      <c r="BG202" s="595"/>
      <c r="BH202" s="595"/>
      <c r="BI202" s="595"/>
      <c r="BJ202" s="595"/>
      <c r="BK202" s="595"/>
      <c r="BL202" s="595"/>
      <c r="BM202" s="595"/>
      <c r="BN202" s="595"/>
      <c r="BO202" s="595"/>
      <c r="BP202" s="595"/>
      <c r="BQ202" s="595"/>
      <c r="BR202" s="595"/>
      <c r="BS202" s="595"/>
      <c r="BT202" s="595"/>
    </row>
    <row r="203" spans="1:72" s="631" customFormat="1" ht="9" customHeight="1" x14ac:dyDescent="0.2">
      <c r="A203" s="608"/>
      <c r="B203" s="609"/>
      <c r="C203" s="627"/>
      <c r="D203" s="610"/>
      <c r="E203" s="611"/>
      <c r="F203" s="613"/>
      <c r="G203" s="625"/>
      <c r="H203" s="595"/>
      <c r="I203" s="595"/>
      <c r="J203" s="595"/>
      <c r="K203" s="595"/>
      <c r="L203" s="595"/>
      <c r="M203" s="595"/>
      <c r="N203" s="595"/>
      <c r="O203" s="595"/>
      <c r="P203" s="595"/>
      <c r="Q203" s="595"/>
      <c r="R203" s="595"/>
      <c r="S203" s="595"/>
      <c r="T203" s="595"/>
      <c r="U203" s="595"/>
      <c r="V203" s="595"/>
      <c r="W203" s="595"/>
      <c r="X203" s="595"/>
      <c r="Y203" s="595"/>
      <c r="Z203" s="595"/>
      <c r="AA203" s="595"/>
      <c r="AB203" s="595"/>
      <c r="AC203" s="595"/>
      <c r="AD203" s="595"/>
      <c r="AE203" s="595"/>
      <c r="AF203" s="595"/>
      <c r="AG203" s="595"/>
      <c r="AH203" s="595"/>
      <c r="AI203" s="595"/>
      <c r="AJ203" s="595"/>
      <c r="AK203" s="595"/>
      <c r="AL203" s="595"/>
      <c r="AM203" s="595"/>
      <c r="AN203" s="595"/>
      <c r="AO203" s="595"/>
      <c r="AP203" s="595"/>
      <c r="AQ203" s="595"/>
      <c r="AR203" s="595"/>
      <c r="AS203" s="595"/>
      <c r="AT203" s="595"/>
      <c r="AU203" s="595"/>
      <c r="AV203" s="595"/>
      <c r="AW203" s="595"/>
      <c r="AX203" s="595"/>
      <c r="AY203" s="595"/>
      <c r="AZ203" s="595"/>
      <c r="BA203" s="595"/>
      <c r="BB203" s="595"/>
      <c r="BC203" s="595"/>
      <c r="BD203" s="595"/>
      <c r="BE203" s="595"/>
      <c r="BF203" s="595"/>
      <c r="BG203" s="595"/>
      <c r="BH203" s="595"/>
      <c r="BI203" s="595"/>
      <c r="BJ203" s="595"/>
      <c r="BK203" s="595"/>
      <c r="BL203" s="595"/>
      <c r="BM203" s="595"/>
      <c r="BN203" s="595"/>
      <c r="BO203" s="595"/>
      <c r="BP203" s="595"/>
      <c r="BQ203" s="595"/>
      <c r="BR203" s="595"/>
      <c r="BS203" s="595"/>
      <c r="BT203" s="595"/>
    </row>
    <row r="204" spans="1:72" s="631" customFormat="1" ht="20.25" customHeight="1" x14ac:dyDescent="0.2">
      <c r="A204" s="608"/>
      <c r="B204" s="633" t="s">
        <v>56</v>
      </c>
      <c r="C204" s="610"/>
      <c r="D204" s="610"/>
      <c r="E204" s="611" t="s">
        <v>325</v>
      </c>
      <c r="F204" s="613" t="s">
        <v>325</v>
      </c>
      <c r="G204" s="612">
        <f>SUM(G206)</f>
        <v>475.99</v>
      </c>
      <c r="H204" s="595"/>
      <c r="I204" s="595"/>
      <c r="J204" s="595"/>
      <c r="K204" s="595"/>
      <c r="L204" s="595"/>
      <c r="M204" s="595"/>
      <c r="N204" s="595"/>
      <c r="O204" s="595"/>
      <c r="P204" s="595"/>
      <c r="Q204" s="595"/>
      <c r="R204" s="595"/>
      <c r="S204" s="595"/>
      <c r="T204" s="595"/>
      <c r="U204" s="595"/>
      <c r="V204" s="595"/>
      <c r="W204" s="595"/>
      <c r="X204" s="595"/>
      <c r="Y204" s="595"/>
      <c r="Z204" s="595"/>
      <c r="AA204" s="595"/>
      <c r="AB204" s="595"/>
      <c r="AC204" s="595"/>
      <c r="AD204" s="595"/>
      <c r="AE204" s="595"/>
      <c r="AF204" s="595"/>
      <c r="AG204" s="595"/>
      <c r="AH204" s="595"/>
      <c r="AI204" s="595"/>
      <c r="AJ204" s="595"/>
      <c r="AK204" s="595"/>
      <c r="AL204" s="595"/>
      <c r="AM204" s="595"/>
      <c r="AN204" s="595"/>
      <c r="AO204" s="595"/>
      <c r="AP204" s="595"/>
      <c r="AQ204" s="595"/>
      <c r="AR204" s="595"/>
      <c r="AS204" s="595"/>
      <c r="AT204" s="595"/>
      <c r="AU204" s="595"/>
      <c r="AV204" s="595"/>
      <c r="AW204" s="595"/>
      <c r="AX204" s="595"/>
      <c r="AY204" s="595"/>
      <c r="AZ204" s="595"/>
      <c r="BA204" s="595"/>
      <c r="BB204" s="595"/>
      <c r="BC204" s="595"/>
      <c r="BD204" s="595"/>
      <c r="BE204" s="595"/>
      <c r="BF204" s="595"/>
      <c r="BG204" s="595"/>
      <c r="BH204" s="595"/>
      <c r="BI204" s="595"/>
      <c r="BJ204" s="595"/>
      <c r="BK204" s="595"/>
      <c r="BL204" s="595"/>
      <c r="BM204" s="595"/>
      <c r="BN204" s="595"/>
      <c r="BO204" s="595"/>
      <c r="BP204" s="595"/>
      <c r="BQ204" s="595"/>
      <c r="BR204" s="595"/>
      <c r="BS204" s="595"/>
      <c r="BT204" s="595"/>
    </row>
    <row r="205" spans="1:72" s="631" customFormat="1" ht="9.75" customHeight="1" x14ac:dyDescent="0.2">
      <c r="A205" s="608"/>
      <c r="B205" s="609"/>
      <c r="C205" s="627"/>
      <c r="D205" s="610"/>
      <c r="E205" s="610"/>
      <c r="F205" s="620"/>
      <c r="G205" s="621"/>
      <c r="H205" s="595"/>
      <c r="I205" s="595"/>
      <c r="J205" s="595"/>
      <c r="K205" s="595"/>
      <c r="L205" s="595"/>
      <c r="M205" s="595"/>
      <c r="N205" s="595"/>
      <c r="O205" s="595"/>
      <c r="P205" s="595"/>
      <c r="Q205" s="595"/>
      <c r="R205" s="595"/>
      <c r="S205" s="595"/>
      <c r="T205" s="595"/>
      <c r="U205" s="595"/>
      <c r="V205" s="595"/>
      <c r="W205" s="595"/>
      <c r="X205" s="595"/>
      <c r="Y205" s="595"/>
      <c r="Z205" s="595"/>
      <c r="AA205" s="595"/>
      <c r="AB205" s="595"/>
      <c r="AC205" s="595"/>
      <c r="AD205" s="595"/>
      <c r="AE205" s="595"/>
      <c r="AF205" s="595"/>
      <c r="AG205" s="595"/>
      <c r="AH205" s="595"/>
      <c r="AI205" s="595"/>
      <c r="AJ205" s="595"/>
      <c r="AK205" s="595"/>
      <c r="AL205" s="595"/>
      <c r="AM205" s="595"/>
      <c r="AN205" s="595"/>
      <c r="AO205" s="595"/>
      <c r="AP205" s="595"/>
      <c r="AQ205" s="595"/>
      <c r="AR205" s="595"/>
      <c r="AS205" s="595"/>
      <c r="AT205" s="595"/>
      <c r="AU205" s="595"/>
      <c r="AV205" s="595"/>
      <c r="AW205" s="595"/>
      <c r="AX205" s="595"/>
      <c r="AY205" s="595"/>
      <c r="AZ205" s="595"/>
      <c r="BA205" s="595"/>
      <c r="BB205" s="595"/>
      <c r="BC205" s="595"/>
      <c r="BD205" s="595"/>
      <c r="BE205" s="595"/>
      <c r="BF205" s="595"/>
      <c r="BG205" s="595"/>
      <c r="BH205" s="595"/>
      <c r="BI205" s="595"/>
      <c r="BJ205" s="595"/>
      <c r="BK205" s="595"/>
      <c r="BL205" s="595"/>
      <c r="BM205" s="595"/>
      <c r="BN205" s="595"/>
      <c r="BO205" s="595"/>
      <c r="BP205" s="595"/>
      <c r="BQ205" s="595"/>
      <c r="BR205" s="595"/>
      <c r="BS205" s="595"/>
      <c r="BT205" s="595"/>
    </row>
    <row r="206" spans="1:72" s="631" customFormat="1" ht="15.75" customHeight="1" x14ac:dyDescent="0.2">
      <c r="A206" s="608"/>
      <c r="B206" s="609"/>
      <c r="C206" s="627"/>
      <c r="D206" s="610"/>
      <c r="E206" s="610"/>
      <c r="F206" s="620"/>
      <c r="G206" s="632">
        <f>SUM(G207:G208)</f>
        <v>475.99</v>
      </c>
      <c r="H206" s="595"/>
      <c r="I206" s="595"/>
      <c r="J206" s="595"/>
      <c r="K206" s="595"/>
      <c r="L206" s="595"/>
      <c r="M206" s="595"/>
      <c r="N206" s="595"/>
      <c r="O206" s="595"/>
      <c r="P206" s="595"/>
      <c r="Q206" s="595"/>
      <c r="R206" s="595"/>
      <c r="S206" s="595"/>
      <c r="T206" s="595"/>
      <c r="U206" s="595"/>
      <c r="V206" s="595"/>
      <c r="W206" s="595"/>
      <c r="X206" s="595"/>
      <c r="Y206" s="595"/>
      <c r="Z206" s="595"/>
      <c r="AA206" s="595"/>
      <c r="AB206" s="595"/>
      <c r="AC206" s="595"/>
      <c r="AD206" s="595"/>
      <c r="AE206" s="595"/>
      <c r="AF206" s="595"/>
      <c r="AG206" s="595"/>
      <c r="AH206" s="595"/>
      <c r="AI206" s="595"/>
      <c r="AJ206" s="595"/>
      <c r="AK206" s="595"/>
      <c r="AL206" s="595"/>
      <c r="AM206" s="595"/>
      <c r="AN206" s="595"/>
      <c r="AO206" s="595"/>
      <c r="AP206" s="595"/>
      <c r="AQ206" s="595"/>
      <c r="AR206" s="595"/>
      <c r="AS206" s="595"/>
      <c r="AT206" s="595"/>
      <c r="AU206" s="595"/>
      <c r="AV206" s="595"/>
      <c r="AW206" s="595"/>
      <c r="AX206" s="595"/>
      <c r="AY206" s="595"/>
      <c r="AZ206" s="595"/>
      <c r="BA206" s="595"/>
      <c r="BB206" s="595"/>
      <c r="BC206" s="595"/>
      <c r="BD206" s="595"/>
      <c r="BE206" s="595"/>
      <c r="BF206" s="595"/>
      <c r="BG206" s="595"/>
      <c r="BH206" s="595"/>
      <c r="BI206" s="595"/>
      <c r="BJ206" s="595"/>
      <c r="BK206" s="595"/>
      <c r="BL206" s="595"/>
      <c r="BM206" s="595"/>
      <c r="BN206" s="595"/>
      <c r="BO206" s="595"/>
      <c r="BP206" s="595"/>
      <c r="BQ206" s="595"/>
      <c r="BR206" s="595"/>
      <c r="BS206" s="595"/>
      <c r="BT206" s="595"/>
    </row>
    <row r="207" spans="1:72" s="631" customFormat="1" ht="15.75" customHeight="1" x14ac:dyDescent="0.2">
      <c r="A207" s="608"/>
      <c r="B207" s="609"/>
      <c r="C207" s="627"/>
      <c r="D207" s="610"/>
      <c r="E207" s="610" t="s">
        <v>188</v>
      </c>
      <c r="F207" s="620" t="s">
        <v>325</v>
      </c>
      <c r="G207" s="621">
        <f>27.23+179.69</f>
        <v>206.92</v>
      </c>
      <c r="H207" s="595"/>
      <c r="I207" s="595"/>
      <c r="J207" s="595"/>
      <c r="K207" s="595"/>
      <c r="L207" s="595"/>
      <c r="M207" s="595"/>
      <c r="N207" s="595"/>
      <c r="O207" s="595"/>
      <c r="P207" s="595"/>
      <c r="Q207" s="595"/>
      <c r="R207" s="595"/>
      <c r="S207" s="595"/>
      <c r="T207" s="595"/>
      <c r="U207" s="595"/>
      <c r="V207" s="595"/>
      <c r="W207" s="595"/>
      <c r="X207" s="595"/>
      <c r="Y207" s="595"/>
      <c r="Z207" s="595"/>
      <c r="AA207" s="595"/>
      <c r="AB207" s="595"/>
      <c r="AC207" s="595"/>
      <c r="AD207" s="595"/>
      <c r="AE207" s="595"/>
      <c r="AF207" s="595"/>
      <c r="AG207" s="595"/>
      <c r="AH207" s="595"/>
      <c r="AI207" s="595"/>
      <c r="AJ207" s="595"/>
      <c r="AK207" s="595"/>
      <c r="AL207" s="595"/>
      <c r="AM207" s="595"/>
      <c r="AN207" s="595"/>
      <c r="AO207" s="595"/>
      <c r="AP207" s="595"/>
      <c r="AQ207" s="595"/>
      <c r="AR207" s="595"/>
      <c r="AS207" s="595"/>
      <c r="AT207" s="595"/>
      <c r="AU207" s="595"/>
      <c r="AV207" s="595"/>
      <c r="AW207" s="595"/>
      <c r="AX207" s="595"/>
      <c r="AY207" s="595"/>
      <c r="AZ207" s="595"/>
      <c r="BA207" s="595"/>
      <c r="BB207" s="595"/>
      <c r="BC207" s="595"/>
      <c r="BD207" s="595"/>
      <c r="BE207" s="595"/>
      <c r="BF207" s="595"/>
      <c r="BG207" s="595"/>
      <c r="BH207" s="595"/>
      <c r="BI207" s="595"/>
      <c r="BJ207" s="595"/>
      <c r="BK207" s="595"/>
      <c r="BL207" s="595"/>
      <c r="BM207" s="595"/>
      <c r="BN207" s="595"/>
      <c r="BO207" s="595"/>
      <c r="BP207" s="595"/>
      <c r="BQ207" s="595"/>
      <c r="BR207" s="595"/>
      <c r="BS207" s="595"/>
      <c r="BT207" s="595"/>
    </row>
    <row r="208" spans="1:72" s="631" customFormat="1" ht="15.75" customHeight="1" x14ac:dyDescent="0.2">
      <c r="A208" s="608"/>
      <c r="B208" s="609"/>
      <c r="C208" s="627"/>
      <c r="D208" s="610"/>
      <c r="E208" s="610" t="s">
        <v>175</v>
      </c>
      <c r="F208" s="620" t="s">
        <v>325</v>
      </c>
      <c r="G208" s="621">
        <f>228.59+9.31+21.15+10.02</f>
        <v>269.07</v>
      </c>
      <c r="H208" s="595"/>
      <c r="I208" s="595"/>
      <c r="J208" s="595"/>
      <c r="K208" s="595"/>
      <c r="L208" s="595"/>
      <c r="M208" s="595"/>
      <c r="N208" s="595"/>
      <c r="O208" s="595"/>
      <c r="P208" s="595"/>
      <c r="Q208" s="595"/>
      <c r="R208" s="595"/>
      <c r="S208" s="595"/>
      <c r="T208" s="595"/>
      <c r="U208" s="595"/>
      <c r="V208" s="595"/>
      <c r="W208" s="595"/>
      <c r="X208" s="595"/>
      <c r="Y208" s="595"/>
      <c r="Z208" s="595"/>
      <c r="AA208" s="595"/>
      <c r="AB208" s="595"/>
      <c r="AC208" s="595"/>
      <c r="AD208" s="595"/>
      <c r="AE208" s="595"/>
      <c r="AF208" s="595"/>
      <c r="AG208" s="595"/>
      <c r="AH208" s="595"/>
      <c r="AI208" s="595"/>
      <c r="AJ208" s="595"/>
      <c r="AK208" s="595"/>
      <c r="AL208" s="595"/>
      <c r="AM208" s="595"/>
      <c r="AN208" s="595"/>
      <c r="AO208" s="595"/>
      <c r="AP208" s="595"/>
      <c r="AQ208" s="595"/>
      <c r="AR208" s="595"/>
      <c r="AS208" s="595"/>
      <c r="AT208" s="595"/>
      <c r="AU208" s="595"/>
      <c r="AV208" s="595"/>
      <c r="AW208" s="595"/>
      <c r="AX208" s="595"/>
      <c r="AY208" s="595"/>
      <c r="AZ208" s="595"/>
      <c r="BA208" s="595"/>
      <c r="BB208" s="595"/>
      <c r="BC208" s="595"/>
      <c r="BD208" s="595"/>
      <c r="BE208" s="595"/>
      <c r="BF208" s="595"/>
      <c r="BG208" s="595"/>
      <c r="BH208" s="595"/>
      <c r="BI208" s="595"/>
      <c r="BJ208" s="595"/>
      <c r="BK208" s="595"/>
      <c r="BL208" s="595"/>
      <c r="BM208" s="595"/>
      <c r="BN208" s="595"/>
      <c r="BO208" s="595"/>
      <c r="BP208" s="595"/>
      <c r="BQ208" s="595"/>
      <c r="BR208" s="595"/>
      <c r="BS208" s="595"/>
      <c r="BT208" s="595"/>
    </row>
    <row r="209" spans="1:16135" s="631" customFormat="1" ht="15.75" customHeight="1" x14ac:dyDescent="0.2">
      <c r="A209" s="622"/>
      <c r="B209" s="623"/>
      <c r="C209" s="624"/>
      <c r="D209" s="611"/>
      <c r="E209" s="611"/>
      <c r="F209" s="613"/>
      <c r="G209" s="625"/>
      <c r="H209" s="595"/>
      <c r="I209" s="595"/>
      <c r="J209" s="595"/>
      <c r="K209" s="595"/>
      <c r="L209" s="595"/>
      <c r="M209" s="595"/>
      <c r="N209" s="595"/>
      <c r="O209" s="595"/>
      <c r="P209" s="595"/>
      <c r="Q209" s="595"/>
      <c r="R209" s="595"/>
      <c r="S209" s="595"/>
      <c r="T209" s="595"/>
      <c r="U209" s="595"/>
      <c r="V209" s="595"/>
      <c r="W209" s="595"/>
      <c r="X209" s="595"/>
      <c r="Y209" s="595"/>
      <c r="Z209" s="595"/>
      <c r="AA209" s="595"/>
      <c r="AB209" s="595"/>
      <c r="AC209" s="595"/>
      <c r="AD209" s="595"/>
      <c r="AE209" s="595"/>
      <c r="AF209" s="595"/>
      <c r="AG209" s="595"/>
      <c r="AH209" s="595"/>
      <c r="AI209" s="595"/>
      <c r="AJ209" s="595"/>
      <c r="AK209" s="595"/>
      <c r="AL209" s="595"/>
      <c r="AM209" s="595"/>
      <c r="AN209" s="595"/>
      <c r="AO209" s="595"/>
      <c r="AP209" s="595"/>
      <c r="AQ209" s="595"/>
      <c r="AR209" s="595"/>
      <c r="AS209" s="595"/>
      <c r="AT209" s="595"/>
      <c r="AU209" s="595"/>
      <c r="AV209" s="595"/>
      <c r="AW209" s="595"/>
      <c r="AX209" s="595"/>
      <c r="AY209" s="595"/>
      <c r="AZ209" s="595"/>
      <c r="BA209" s="595"/>
      <c r="BB209" s="595"/>
      <c r="BC209" s="595"/>
      <c r="BD209" s="595"/>
      <c r="BE209" s="595"/>
      <c r="BF209" s="595"/>
      <c r="BG209" s="595"/>
      <c r="BH209" s="595"/>
      <c r="BI209" s="595"/>
      <c r="BJ209" s="595"/>
      <c r="BK209" s="595"/>
      <c r="BL209" s="595"/>
      <c r="BM209" s="595"/>
      <c r="BN209" s="595"/>
      <c r="BO209" s="595"/>
      <c r="BP209" s="595"/>
      <c r="BQ209" s="595"/>
      <c r="BR209" s="595"/>
      <c r="BS209" s="595"/>
      <c r="BT209" s="595"/>
    </row>
    <row r="210" spans="1:16135" s="631" customFormat="1" ht="15.75" customHeight="1" x14ac:dyDescent="0.2">
      <c r="A210" s="608"/>
      <c r="B210" s="609"/>
      <c r="C210" s="610"/>
      <c r="D210" s="610"/>
      <c r="E210" s="611" t="s">
        <v>86</v>
      </c>
      <c r="F210" s="612">
        <f>20000</f>
        <v>20000</v>
      </c>
      <c r="G210" s="613" t="s">
        <v>325</v>
      </c>
      <c r="H210" s="595"/>
      <c r="I210" s="595"/>
      <c r="J210" s="595"/>
      <c r="K210" s="595"/>
      <c r="L210" s="595"/>
      <c r="M210" s="595"/>
      <c r="N210" s="595"/>
      <c r="O210" s="595"/>
      <c r="P210" s="595"/>
      <c r="Q210" s="595"/>
      <c r="R210" s="595"/>
      <c r="S210" s="595"/>
      <c r="T210" s="595"/>
      <c r="U210" s="595"/>
      <c r="V210" s="595"/>
      <c r="W210" s="595"/>
      <c r="X210" s="595"/>
      <c r="Y210" s="595"/>
      <c r="Z210" s="595"/>
      <c r="AA210" s="595"/>
      <c r="AB210" s="595"/>
      <c r="AC210" s="595"/>
      <c r="AD210" s="595"/>
      <c r="AE210" s="595"/>
      <c r="AF210" s="595"/>
      <c r="AG210" s="595"/>
      <c r="AH210" s="595"/>
      <c r="AI210" s="595"/>
      <c r="AJ210" s="595"/>
      <c r="AK210" s="595"/>
      <c r="AL210" s="595"/>
      <c r="AM210" s="595"/>
      <c r="AN210" s="595"/>
      <c r="AO210" s="595"/>
      <c r="AP210" s="595"/>
      <c r="AQ210" s="595"/>
      <c r="AR210" s="595"/>
      <c r="AS210" s="595"/>
      <c r="AT210" s="595"/>
      <c r="AU210" s="595"/>
      <c r="AV210" s="595"/>
      <c r="AW210" s="595"/>
      <c r="AX210" s="595"/>
      <c r="AY210" s="595"/>
      <c r="AZ210" s="595"/>
      <c r="BA210" s="595"/>
      <c r="BB210" s="595"/>
      <c r="BC210" s="595"/>
      <c r="BD210" s="595"/>
      <c r="BE210" s="595"/>
      <c r="BF210" s="595"/>
      <c r="BG210" s="595"/>
      <c r="BH210" s="595"/>
      <c r="BI210" s="595"/>
      <c r="BJ210" s="595"/>
      <c r="BK210" s="595"/>
      <c r="BL210" s="595"/>
      <c r="BM210" s="595"/>
      <c r="BN210" s="595"/>
      <c r="BO210" s="595"/>
      <c r="BP210" s="595"/>
      <c r="BQ210" s="595"/>
      <c r="BR210" s="595"/>
      <c r="BS210" s="595"/>
      <c r="BT210" s="595"/>
    </row>
    <row r="211" spans="1:16135" s="631" customFormat="1" ht="15.75" customHeight="1" x14ac:dyDescent="0.2">
      <c r="A211" s="614" t="s">
        <v>546</v>
      </c>
      <c r="B211" s="626" t="s">
        <v>602</v>
      </c>
      <c r="C211" s="610" t="s">
        <v>597</v>
      </c>
      <c r="D211" s="610" t="s">
        <v>603</v>
      </c>
      <c r="E211" s="616" t="s">
        <v>325</v>
      </c>
      <c r="F211" s="617" t="s">
        <v>325</v>
      </c>
      <c r="G211" s="618">
        <f>SUM(G213)</f>
        <v>20000</v>
      </c>
      <c r="H211" s="595"/>
      <c r="I211" s="595"/>
      <c r="J211" s="595"/>
      <c r="K211" s="595"/>
      <c r="L211" s="595"/>
      <c r="M211" s="595"/>
      <c r="N211" s="595"/>
      <c r="O211" s="595"/>
      <c r="P211" s="595"/>
      <c r="Q211" s="595"/>
      <c r="R211" s="595"/>
      <c r="S211" s="595"/>
      <c r="T211" s="595"/>
      <c r="U211" s="595"/>
      <c r="V211" s="595"/>
      <c r="W211" s="595"/>
      <c r="X211" s="595"/>
      <c r="Y211" s="595"/>
      <c r="Z211" s="595"/>
      <c r="AA211" s="595"/>
      <c r="AB211" s="595"/>
      <c r="AC211" s="595"/>
      <c r="AD211" s="595"/>
      <c r="AE211" s="595"/>
      <c r="AF211" s="595"/>
      <c r="AG211" s="595"/>
      <c r="AH211" s="595"/>
      <c r="AI211" s="595"/>
      <c r="AJ211" s="595"/>
      <c r="AK211" s="595"/>
      <c r="AL211" s="595"/>
      <c r="AM211" s="595"/>
      <c r="AN211" s="595"/>
      <c r="AO211" s="595"/>
      <c r="AP211" s="595"/>
      <c r="AQ211" s="595"/>
      <c r="AR211" s="595"/>
      <c r="AS211" s="595"/>
      <c r="AT211" s="595"/>
      <c r="AU211" s="595"/>
      <c r="AV211" s="595"/>
      <c r="AW211" s="595"/>
      <c r="AX211" s="595"/>
      <c r="AY211" s="595"/>
      <c r="AZ211" s="595"/>
      <c r="BA211" s="595"/>
      <c r="BB211" s="595"/>
      <c r="BC211" s="595"/>
      <c r="BD211" s="595"/>
      <c r="BE211" s="595"/>
      <c r="BF211" s="595"/>
      <c r="BG211" s="595"/>
      <c r="BH211" s="595"/>
      <c r="BI211" s="595"/>
      <c r="BJ211" s="595"/>
      <c r="BK211" s="595"/>
      <c r="BL211" s="595"/>
      <c r="BM211" s="595"/>
      <c r="BN211" s="595"/>
      <c r="BO211" s="595"/>
      <c r="BP211" s="595"/>
      <c r="BQ211" s="595"/>
      <c r="BR211" s="595"/>
      <c r="BS211" s="595"/>
      <c r="BT211" s="595"/>
    </row>
    <row r="212" spans="1:16135" s="631" customFormat="1" ht="15.75" customHeight="1" x14ac:dyDescent="0.2">
      <c r="A212" s="608"/>
      <c r="B212" s="619"/>
      <c r="C212" s="610"/>
      <c r="D212" s="610"/>
      <c r="E212" s="610"/>
      <c r="F212" s="620"/>
      <c r="G212" s="632"/>
      <c r="H212" s="595"/>
      <c r="I212" s="595"/>
      <c r="J212" s="595"/>
      <c r="K212" s="595"/>
      <c r="L212" s="595"/>
      <c r="M212" s="595"/>
      <c r="N212" s="595"/>
      <c r="O212" s="595"/>
      <c r="P212" s="595"/>
      <c r="Q212" s="595"/>
      <c r="R212" s="595"/>
      <c r="S212" s="595"/>
      <c r="T212" s="595"/>
      <c r="U212" s="595"/>
      <c r="V212" s="595"/>
      <c r="W212" s="595"/>
      <c r="X212" s="595"/>
      <c r="Y212" s="595"/>
      <c r="Z212" s="595"/>
      <c r="AA212" s="595"/>
      <c r="AB212" s="595"/>
      <c r="AC212" s="595"/>
      <c r="AD212" s="595"/>
      <c r="AE212" s="595"/>
      <c r="AF212" s="595"/>
      <c r="AG212" s="595"/>
      <c r="AH212" s="595"/>
      <c r="AI212" s="595"/>
      <c r="AJ212" s="595"/>
      <c r="AK212" s="595"/>
      <c r="AL212" s="595"/>
      <c r="AM212" s="595"/>
      <c r="AN212" s="595"/>
      <c r="AO212" s="595"/>
      <c r="AP212" s="595"/>
      <c r="AQ212" s="595"/>
      <c r="AR212" s="595"/>
      <c r="AS212" s="595"/>
      <c r="AT212" s="595"/>
      <c r="AU212" s="595"/>
      <c r="AV212" s="595"/>
      <c r="AW212" s="595"/>
      <c r="AX212" s="595"/>
      <c r="AY212" s="595"/>
      <c r="AZ212" s="595"/>
      <c r="BA212" s="595"/>
      <c r="BB212" s="595"/>
      <c r="BC212" s="595"/>
      <c r="BD212" s="595"/>
      <c r="BE212" s="595"/>
      <c r="BF212" s="595"/>
      <c r="BG212" s="595"/>
      <c r="BH212" s="595"/>
      <c r="BI212" s="595"/>
      <c r="BJ212" s="595"/>
      <c r="BK212" s="595"/>
      <c r="BL212" s="595"/>
      <c r="BM212" s="595"/>
      <c r="BN212" s="595"/>
      <c r="BO212" s="595"/>
      <c r="BP212" s="595"/>
      <c r="BQ212" s="595"/>
      <c r="BR212" s="595"/>
      <c r="BS212" s="595"/>
      <c r="BT212" s="595"/>
    </row>
    <row r="213" spans="1:16135" s="631" customFormat="1" ht="15.75" customHeight="1" x14ac:dyDescent="0.2">
      <c r="A213" s="608"/>
      <c r="B213" s="633" t="s">
        <v>56</v>
      </c>
      <c r="C213" s="610"/>
      <c r="D213" s="610"/>
      <c r="E213" s="610"/>
      <c r="F213" s="620"/>
      <c r="G213" s="632">
        <f>SUM(G214:G214)</f>
        <v>20000</v>
      </c>
      <c r="H213" s="595"/>
      <c r="I213" s="595"/>
      <c r="J213" s="595"/>
      <c r="K213" s="595"/>
      <c r="L213" s="595"/>
      <c r="M213" s="595"/>
      <c r="N213" s="595"/>
      <c r="O213" s="595"/>
      <c r="P213" s="595"/>
      <c r="Q213" s="595"/>
      <c r="R213" s="595"/>
      <c r="S213" s="595"/>
      <c r="T213" s="595"/>
      <c r="U213" s="595"/>
      <c r="V213" s="595"/>
      <c r="W213" s="595"/>
      <c r="X213" s="595"/>
      <c r="Y213" s="595"/>
      <c r="Z213" s="595"/>
      <c r="AA213" s="595"/>
      <c r="AB213" s="595"/>
      <c r="AC213" s="595"/>
      <c r="AD213" s="595"/>
      <c r="AE213" s="595"/>
      <c r="AF213" s="595"/>
      <c r="AG213" s="595"/>
      <c r="AH213" s="595"/>
      <c r="AI213" s="595"/>
      <c r="AJ213" s="595"/>
      <c r="AK213" s="595"/>
      <c r="AL213" s="595"/>
      <c r="AM213" s="595"/>
      <c r="AN213" s="595"/>
      <c r="AO213" s="595"/>
      <c r="AP213" s="595"/>
      <c r="AQ213" s="595"/>
      <c r="AR213" s="595"/>
      <c r="AS213" s="595"/>
      <c r="AT213" s="595"/>
      <c r="AU213" s="595"/>
      <c r="AV213" s="595"/>
      <c r="AW213" s="595"/>
      <c r="AX213" s="595"/>
      <c r="AY213" s="595"/>
      <c r="AZ213" s="595"/>
      <c r="BA213" s="595"/>
      <c r="BB213" s="595"/>
      <c r="BC213" s="595"/>
      <c r="BD213" s="595"/>
      <c r="BE213" s="595"/>
      <c r="BF213" s="595"/>
      <c r="BG213" s="595"/>
      <c r="BH213" s="595"/>
      <c r="BI213" s="595"/>
      <c r="BJ213" s="595"/>
      <c r="BK213" s="595"/>
      <c r="BL213" s="595"/>
      <c r="BM213" s="595"/>
      <c r="BN213" s="595"/>
      <c r="BO213" s="595"/>
      <c r="BP213" s="595"/>
      <c r="BQ213" s="595"/>
      <c r="BR213" s="595"/>
      <c r="BS213" s="595"/>
      <c r="BT213" s="595"/>
    </row>
    <row r="214" spans="1:16135" s="631" customFormat="1" ht="15.75" customHeight="1" x14ac:dyDescent="0.2">
      <c r="A214" s="608"/>
      <c r="B214" s="609"/>
      <c r="C214" s="627"/>
      <c r="D214" s="610"/>
      <c r="E214" s="610" t="s">
        <v>559</v>
      </c>
      <c r="F214" s="620" t="s">
        <v>325</v>
      </c>
      <c r="G214" s="621">
        <v>20000</v>
      </c>
      <c r="H214" s="595"/>
      <c r="I214" s="595"/>
      <c r="J214" s="595"/>
      <c r="K214" s="595"/>
      <c r="L214" s="595"/>
      <c r="M214" s="595"/>
      <c r="N214" s="595"/>
      <c r="O214" s="595"/>
      <c r="P214" s="595"/>
      <c r="Q214" s="595"/>
      <c r="R214" s="595"/>
      <c r="S214" s="595"/>
      <c r="T214" s="595"/>
      <c r="U214" s="595"/>
      <c r="V214" s="595"/>
      <c r="W214" s="595"/>
      <c r="X214" s="595"/>
      <c r="Y214" s="595"/>
      <c r="Z214" s="595"/>
      <c r="AA214" s="595"/>
      <c r="AB214" s="595"/>
      <c r="AC214" s="595"/>
      <c r="AD214" s="595"/>
      <c r="AE214" s="595"/>
      <c r="AF214" s="595"/>
      <c r="AG214" s="595"/>
      <c r="AH214" s="595"/>
      <c r="AI214" s="595"/>
      <c r="AJ214" s="595"/>
      <c r="AK214" s="595"/>
      <c r="AL214" s="595"/>
      <c r="AM214" s="595"/>
      <c r="AN214" s="595"/>
      <c r="AO214" s="595"/>
      <c r="AP214" s="595"/>
      <c r="AQ214" s="595"/>
      <c r="AR214" s="595"/>
      <c r="AS214" s="595"/>
      <c r="AT214" s="595"/>
      <c r="AU214" s="595"/>
      <c r="AV214" s="595"/>
      <c r="AW214" s="595"/>
      <c r="AX214" s="595"/>
      <c r="AY214" s="595"/>
      <c r="AZ214" s="595"/>
      <c r="BA214" s="595"/>
      <c r="BB214" s="595"/>
      <c r="BC214" s="595"/>
      <c r="BD214" s="595"/>
      <c r="BE214" s="595"/>
      <c r="BF214" s="595"/>
      <c r="BG214" s="595"/>
      <c r="BH214" s="595"/>
      <c r="BI214" s="595"/>
      <c r="BJ214" s="595"/>
      <c r="BK214" s="595"/>
      <c r="BL214" s="595"/>
      <c r="BM214" s="595"/>
      <c r="BN214" s="595"/>
      <c r="BO214" s="595"/>
      <c r="BP214" s="595"/>
      <c r="BQ214" s="595"/>
      <c r="BR214" s="595"/>
      <c r="BS214" s="595"/>
      <c r="BT214" s="595"/>
    </row>
    <row r="215" spans="1:16135" s="631" customFormat="1" ht="12" customHeight="1" x14ac:dyDescent="0.2">
      <c r="A215" s="622"/>
      <c r="B215" s="623"/>
      <c r="C215" s="624"/>
      <c r="D215" s="611"/>
      <c r="E215" s="611"/>
      <c r="F215" s="613"/>
      <c r="G215" s="625"/>
      <c r="H215" s="595"/>
      <c r="I215" s="595"/>
      <c r="J215" s="595"/>
      <c r="K215" s="595"/>
      <c r="L215" s="595"/>
      <c r="M215" s="595"/>
      <c r="N215" s="595"/>
      <c r="O215" s="595"/>
      <c r="P215" s="595"/>
      <c r="Q215" s="595"/>
      <c r="R215" s="595"/>
      <c r="S215" s="595"/>
      <c r="T215" s="595"/>
      <c r="U215" s="595"/>
      <c r="V215" s="595"/>
      <c r="W215" s="595"/>
      <c r="X215" s="595"/>
      <c r="Y215" s="595"/>
      <c r="Z215" s="595"/>
      <c r="AA215" s="595"/>
      <c r="AB215" s="595"/>
      <c r="AC215" s="595"/>
      <c r="AD215" s="595"/>
      <c r="AE215" s="595"/>
      <c r="AF215" s="595"/>
      <c r="AG215" s="595"/>
      <c r="AH215" s="595"/>
      <c r="AI215" s="595"/>
      <c r="AJ215" s="595"/>
      <c r="AK215" s="595"/>
      <c r="AL215" s="595"/>
      <c r="AM215" s="595"/>
      <c r="AN215" s="595"/>
      <c r="AO215" s="595"/>
      <c r="AP215" s="595"/>
      <c r="AQ215" s="595"/>
      <c r="AR215" s="595"/>
      <c r="AS215" s="595"/>
      <c r="AT215" s="595"/>
      <c r="AU215" s="595"/>
      <c r="AV215" s="595"/>
      <c r="AW215" s="595"/>
      <c r="AX215" s="595"/>
      <c r="AY215" s="595"/>
      <c r="AZ215" s="595"/>
      <c r="BA215" s="595"/>
      <c r="BB215" s="595"/>
      <c r="BC215" s="595"/>
      <c r="BD215" s="595"/>
      <c r="BE215" s="595"/>
      <c r="BF215" s="595"/>
      <c r="BG215" s="595"/>
      <c r="BH215" s="595"/>
      <c r="BI215" s="595"/>
      <c r="BJ215" s="595"/>
      <c r="BK215" s="595"/>
      <c r="BL215" s="595"/>
      <c r="BM215" s="595"/>
      <c r="BN215" s="595"/>
      <c r="BO215" s="595"/>
      <c r="BP215" s="595"/>
      <c r="BQ215" s="595"/>
      <c r="BR215" s="595"/>
      <c r="BS215" s="595"/>
      <c r="BT215" s="595"/>
    </row>
    <row r="216" spans="1:16135" s="604" customFormat="1" ht="27" customHeight="1" x14ac:dyDescent="0.2">
      <c r="A216" s="637"/>
      <c r="B216" s="638" t="s">
        <v>343</v>
      </c>
      <c r="C216" s="639"/>
      <c r="D216" s="640"/>
      <c r="E216" s="641"/>
      <c r="F216" s="641">
        <f>SUM(F12,F18,F26,F34,F42,F52,F60,F66,F73,F196,F210)</f>
        <v>5341508.74</v>
      </c>
      <c r="G216" s="641">
        <f>SUM(G13,G19,G27,G35,G43,G53,G61,G67,G74,G197,G211)</f>
        <v>5494836.5499999998</v>
      </c>
      <c r="H216" s="603"/>
      <c r="I216" s="603"/>
      <c r="J216" s="603"/>
      <c r="K216" s="603"/>
      <c r="L216" s="603"/>
      <c r="M216" s="603"/>
      <c r="N216" s="603"/>
      <c r="O216" s="603"/>
      <c r="P216" s="603"/>
      <c r="Q216" s="603"/>
      <c r="R216" s="603"/>
      <c r="S216" s="603"/>
      <c r="T216" s="603"/>
      <c r="U216" s="603"/>
      <c r="V216" s="603"/>
      <c r="W216" s="603"/>
      <c r="X216" s="603"/>
      <c r="Y216" s="603"/>
      <c r="Z216" s="603"/>
      <c r="AA216" s="603"/>
      <c r="AB216" s="603"/>
      <c r="AC216" s="603"/>
      <c r="AD216" s="603"/>
      <c r="AE216" s="603"/>
      <c r="AF216" s="603"/>
      <c r="AG216" s="603"/>
      <c r="AH216" s="603"/>
      <c r="AI216" s="603"/>
      <c r="AJ216" s="603"/>
      <c r="AK216" s="603"/>
      <c r="AL216" s="603"/>
      <c r="AM216" s="603"/>
      <c r="AN216" s="603"/>
      <c r="AO216" s="603"/>
      <c r="AP216" s="603"/>
      <c r="AQ216" s="603"/>
      <c r="AR216" s="603"/>
      <c r="AS216" s="603"/>
      <c r="AT216" s="603"/>
      <c r="AU216" s="603"/>
      <c r="AV216" s="603"/>
      <c r="AW216" s="603"/>
      <c r="AX216" s="603"/>
      <c r="AY216" s="603"/>
      <c r="AZ216" s="603"/>
      <c r="BA216" s="603"/>
      <c r="BB216" s="603"/>
      <c r="BC216" s="603"/>
      <c r="BD216" s="603"/>
      <c r="BE216" s="603"/>
      <c r="BF216" s="603"/>
      <c r="BG216" s="603"/>
      <c r="BH216" s="603"/>
      <c r="BI216" s="603"/>
      <c r="BJ216" s="603"/>
      <c r="BK216" s="603"/>
      <c r="BL216" s="603"/>
      <c r="BM216" s="603"/>
      <c r="BN216" s="603"/>
      <c r="BO216" s="603"/>
      <c r="BP216" s="603"/>
      <c r="BQ216" s="603"/>
      <c r="BR216" s="603"/>
      <c r="BS216" s="603"/>
      <c r="BT216" s="603"/>
    </row>
    <row r="217" spans="1:16135" x14ac:dyDescent="0.25">
      <c r="F217" s="642"/>
      <c r="G217" s="642"/>
    </row>
    <row r="218" spans="1:16135" customFormat="1" x14ac:dyDescent="0.25">
      <c r="A218" s="643"/>
      <c r="B218" s="630"/>
      <c r="C218" s="630"/>
      <c r="D218" s="630"/>
      <c r="E218" s="630"/>
      <c r="F218" s="642"/>
      <c r="G218" s="642"/>
      <c r="I218" s="49"/>
      <c r="BY218" s="630"/>
      <c r="BZ218" s="630"/>
      <c r="CA218" s="630"/>
      <c r="CB218" s="630"/>
      <c r="CC218" s="630"/>
      <c r="CD218" s="630"/>
      <c r="CE218" s="630"/>
      <c r="CF218" s="630"/>
      <c r="CG218" s="630"/>
      <c r="CH218" s="630"/>
      <c r="CI218" s="630"/>
      <c r="CJ218" s="630"/>
      <c r="CK218" s="630"/>
      <c r="CL218" s="630"/>
      <c r="CM218" s="630"/>
      <c r="CN218" s="630"/>
      <c r="CO218" s="630"/>
      <c r="CP218" s="630"/>
      <c r="CQ218" s="630"/>
      <c r="CR218" s="630"/>
      <c r="CS218" s="630"/>
      <c r="CT218" s="630"/>
      <c r="CU218" s="630"/>
      <c r="CV218" s="630"/>
      <c r="CW218" s="630"/>
      <c r="CX218" s="630"/>
      <c r="CY218" s="630"/>
      <c r="CZ218" s="630"/>
      <c r="DA218" s="630"/>
      <c r="DB218" s="630"/>
      <c r="DC218" s="630"/>
      <c r="DD218" s="630"/>
      <c r="DE218" s="630"/>
      <c r="DF218" s="630"/>
      <c r="DG218" s="630"/>
      <c r="DH218" s="630"/>
      <c r="DI218" s="630"/>
      <c r="DJ218" s="630"/>
      <c r="DK218" s="630"/>
      <c r="DL218" s="630"/>
      <c r="DM218" s="630"/>
      <c r="DN218" s="630"/>
      <c r="DO218" s="630"/>
      <c r="DP218" s="630"/>
      <c r="DQ218" s="630"/>
      <c r="DR218" s="630"/>
      <c r="DS218" s="630"/>
      <c r="DT218" s="630"/>
      <c r="DU218" s="630"/>
      <c r="DV218" s="630"/>
      <c r="DW218" s="630"/>
      <c r="DX218" s="630"/>
      <c r="DY218" s="630"/>
      <c r="DZ218" s="630"/>
      <c r="EA218" s="630"/>
      <c r="EB218" s="630"/>
      <c r="EC218" s="630"/>
      <c r="ED218" s="630"/>
      <c r="EE218" s="630"/>
      <c r="EF218" s="630"/>
      <c r="EG218" s="630"/>
      <c r="EH218" s="630"/>
      <c r="EI218" s="630"/>
      <c r="EJ218" s="630"/>
      <c r="EK218" s="630"/>
      <c r="EL218" s="630"/>
      <c r="EM218" s="630"/>
      <c r="EN218" s="630"/>
      <c r="EO218" s="630"/>
      <c r="EP218" s="630"/>
      <c r="EQ218" s="630"/>
      <c r="ER218" s="630"/>
      <c r="ES218" s="630"/>
      <c r="ET218" s="630"/>
      <c r="EU218" s="630"/>
      <c r="EV218" s="630"/>
      <c r="EW218" s="630"/>
      <c r="EX218" s="630"/>
      <c r="EY218" s="630"/>
      <c r="EZ218" s="630"/>
      <c r="FA218" s="630"/>
      <c r="FB218" s="630"/>
      <c r="FC218" s="630"/>
      <c r="FD218" s="630"/>
      <c r="FE218" s="630"/>
      <c r="FF218" s="630"/>
      <c r="FG218" s="630"/>
      <c r="FH218" s="630"/>
      <c r="FI218" s="630"/>
      <c r="FJ218" s="630"/>
      <c r="FK218" s="630"/>
      <c r="FL218" s="630"/>
      <c r="FM218" s="630"/>
      <c r="FN218" s="630"/>
      <c r="FO218" s="630"/>
      <c r="FP218" s="630"/>
      <c r="FQ218" s="630"/>
      <c r="FR218" s="630"/>
      <c r="FS218" s="630"/>
      <c r="FT218" s="630"/>
      <c r="FU218" s="630"/>
      <c r="FV218" s="630"/>
      <c r="FW218" s="630"/>
      <c r="FX218" s="630"/>
      <c r="FY218" s="630"/>
      <c r="FZ218" s="630"/>
      <c r="GA218" s="630"/>
      <c r="GB218" s="630"/>
      <c r="GC218" s="630"/>
      <c r="GD218" s="630"/>
      <c r="GE218" s="630"/>
      <c r="GF218" s="630"/>
      <c r="GG218" s="630"/>
      <c r="GH218" s="630"/>
      <c r="GI218" s="630"/>
      <c r="GJ218" s="630"/>
      <c r="GK218" s="630"/>
      <c r="GL218" s="630"/>
      <c r="GM218" s="630"/>
      <c r="GN218" s="630"/>
      <c r="GO218" s="630"/>
      <c r="GP218" s="630"/>
      <c r="GQ218" s="630"/>
      <c r="GR218" s="630"/>
      <c r="GS218" s="630"/>
      <c r="GT218" s="630"/>
      <c r="GU218" s="630"/>
      <c r="GV218" s="630"/>
      <c r="GW218" s="630"/>
      <c r="GX218" s="630"/>
      <c r="GY218" s="630"/>
      <c r="GZ218" s="630"/>
      <c r="HA218" s="630"/>
      <c r="HB218" s="630"/>
      <c r="HC218" s="630"/>
      <c r="HD218" s="630"/>
      <c r="HE218" s="630"/>
      <c r="HF218" s="630"/>
      <c r="HG218" s="630"/>
      <c r="HH218" s="630"/>
      <c r="HI218" s="630"/>
      <c r="HJ218" s="630"/>
      <c r="HK218" s="630"/>
      <c r="HL218" s="630"/>
      <c r="HM218" s="630"/>
      <c r="HN218" s="630"/>
      <c r="HO218" s="630"/>
      <c r="HP218" s="630"/>
      <c r="HQ218" s="630"/>
      <c r="HR218" s="630"/>
      <c r="HS218" s="630"/>
      <c r="HT218" s="630"/>
      <c r="HU218" s="630"/>
      <c r="HV218" s="630"/>
      <c r="HW218" s="630"/>
      <c r="HX218" s="630"/>
      <c r="HY218" s="630"/>
      <c r="HZ218" s="630"/>
      <c r="IA218" s="630"/>
      <c r="IB218" s="630"/>
      <c r="IC218" s="630"/>
      <c r="ID218" s="630"/>
      <c r="IE218" s="630"/>
      <c r="IF218" s="630"/>
      <c r="IG218" s="630"/>
      <c r="IH218" s="630"/>
      <c r="II218" s="630"/>
      <c r="IJ218" s="630"/>
      <c r="IK218" s="630"/>
      <c r="IL218" s="630"/>
      <c r="IM218" s="630"/>
      <c r="IN218" s="630"/>
      <c r="IO218" s="630"/>
      <c r="IP218" s="630"/>
      <c r="IQ218" s="630"/>
      <c r="IR218" s="630"/>
      <c r="IS218" s="630"/>
      <c r="IT218" s="630"/>
      <c r="IU218" s="630"/>
      <c r="IV218" s="630"/>
      <c r="IW218" s="630"/>
      <c r="IX218" s="630"/>
      <c r="IY218" s="630"/>
      <c r="IZ218" s="630"/>
      <c r="JA218" s="630"/>
      <c r="JB218" s="630"/>
      <c r="JC218" s="630"/>
      <c r="JD218" s="630"/>
      <c r="JE218" s="630"/>
      <c r="JF218" s="630"/>
      <c r="JG218" s="630"/>
      <c r="JH218" s="630"/>
      <c r="JI218" s="630"/>
      <c r="JJ218" s="630"/>
      <c r="JK218" s="630"/>
      <c r="JL218" s="630"/>
      <c r="JM218" s="630"/>
      <c r="JN218" s="630"/>
      <c r="JO218" s="630"/>
      <c r="JP218" s="630"/>
      <c r="JQ218" s="630"/>
      <c r="JR218" s="630"/>
      <c r="JS218" s="630"/>
      <c r="JT218" s="630"/>
      <c r="JU218" s="630"/>
      <c r="JV218" s="630"/>
      <c r="JW218" s="630"/>
      <c r="JX218" s="630"/>
      <c r="JY218" s="630"/>
      <c r="JZ218" s="630"/>
      <c r="KA218" s="630"/>
      <c r="KB218" s="630"/>
      <c r="KC218" s="630"/>
      <c r="KD218" s="630"/>
      <c r="KE218" s="630"/>
      <c r="KF218" s="630"/>
      <c r="KG218" s="630"/>
      <c r="KH218" s="630"/>
      <c r="KI218" s="630"/>
      <c r="KJ218" s="630"/>
      <c r="KK218" s="630"/>
      <c r="KL218" s="630"/>
      <c r="KM218" s="630"/>
      <c r="KN218" s="630"/>
      <c r="KO218" s="630"/>
      <c r="KP218" s="630"/>
      <c r="KQ218" s="630"/>
      <c r="KR218" s="630"/>
      <c r="KS218" s="630"/>
      <c r="KT218" s="630"/>
      <c r="KU218" s="630"/>
      <c r="KV218" s="630"/>
      <c r="KW218" s="630"/>
      <c r="KX218" s="630"/>
      <c r="KY218" s="630"/>
      <c r="KZ218" s="630"/>
      <c r="LA218" s="630"/>
      <c r="LB218" s="630"/>
      <c r="LC218" s="630"/>
      <c r="LD218" s="630"/>
      <c r="LE218" s="630"/>
      <c r="LF218" s="630"/>
      <c r="LG218" s="630"/>
      <c r="LH218" s="630"/>
      <c r="LI218" s="630"/>
      <c r="LJ218" s="630"/>
      <c r="LK218" s="630"/>
      <c r="LL218" s="630"/>
      <c r="LM218" s="630"/>
      <c r="LN218" s="630"/>
      <c r="LO218" s="630"/>
      <c r="LP218" s="630"/>
      <c r="LQ218" s="630"/>
      <c r="LR218" s="630"/>
      <c r="LS218" s="630"/>
      <c r="LT218" s="630"/>
      <c r="LU218" s="630"/>
      <c r="LV218" s="630"/>
      <c r="LW218" s="630"/>
      <c r="LX218" s="630"/>
      <c r="LY218" s="630"/>
      <c r="LZ218" s="630"/>
      <c r="MA218" s="630"/>
      <c r="MB218" s="630"/>
      <c r="MC218" s="630"/>
      <c r="MD218" s="630"/>
      <c r="ME218" s="630"/>
      <c r="MF218" s="630"/>
      <c r="MG218" s="630"/>
      <c r="MH218" s="630"/>
      <c r="MI218" s="630"/>
      <c r="MJ218" s="630"/>
      <c r="MK218" s="630"/>
      <c r="ML218" s="630"/>
      <c r="MM218" s="630"/>
      <c r="MN218" s="630"/>
      <c r="MO218" s="630"/>
      <c r="MP218" s="630"/>
      <c r="MQ218" s="630"/>
      <c r="MR218" s="630"/>
      <c r="MS218" s="630"/>
      <c r="MT218" s="630"/>
      <c r="MU218" s="630"/>
      <c r="MV218" s="630"/>
      <c r="MW218" s="630"/>
      <c r="MX218" s="630"/>
      <c r="MY218" s="630"/>
      <c r="MZ218" s="630"/>
      <c r="NA218" s="630"/>
      <c r="NB218" s="630"/>
      <c r="NC218" s="630"/>
      <c r="ND218" s="630"/>
      <c r="NE218" s="630"/>
      <c r="NF218" s="630"/>
      <c r="NG218" s="630"/>
      <c r="NH218" s="630"/>
      <c r="NI218" s="630"/>
      <c r="NJ218" s="630"/>
      <c r="NK218" s="630"/>
      <c r="NL218" s="630"/>
      <c r="NM218" s="630"/>
      <c r="NN218" s="630"/>
      <c r="NO218" s="630"/>
      <c r="NP218" s="630"/>
      <c r="NQ218" s="630"/>
      <c r="NR218" s="630"/>
      <c r="NS218" s="630"/>
      <c r="NT218" s="630"/>
      <c r="NU218" s="630"/>
      <c r="NV218" s="630"/>
      <c r="NW218" s="630"/>
      <c r="NX218" s="630"/>
      <c r="NY218" s="630"/>
      <c r="NZ218" s="630"/>
      <c r="OA218" s="630"/>
      <c r="OB218" s="630"/>
      <c r="OC218" s="630"/>
      <c r="OD218" s="630"/>
      <c r="OE218" s="630"/>
      <c r="OF218" s="630"/>
      <c r="OG218" s="630"/>
      <c r="OH218" s="630"/>
      <c r="OI218" s="630"/>
      <c r="OJ218" s="630"/>
      <c r="OK218" s="630"/>
      <c r="OL218" s="630"/>
      <c r="OM218" s="630"/>
      <c r="ON218" s="630"/>
      <c r="OO218" s="630"/>
      <c r="OP218" s="630"/>
      <c r="OQ218" s="630"/>
      <c r="OR218" s="630"/>
      <c r="OS218" s="630"/>
      <c r="OT218" s="630"/>
      <c r="OU218" s="630"/>
      <c r="OV218" s="630"/>
      <c r="OW218" s="630"/>
      <c r="OX218" s="630"/>
      <c r="OY218" s="630"/>
      <c r="OZ218" s="630"/>
      <c r="PA218" s="630"/>
      <c r="PB218" s="630"/>
      <c r="PC218" s="630"/>
      <c r="PD218" s="630"/>
      <c r="PE218" s="630"/>
      <c r="PF218" s="630"/>
      <c r="PG218" s="630"/>
      <c r="PH218" s="630"/>
      <c r="PI218" s="630"/>
      <c r="PJ218" s="630"/>
      <c r="PK218" s="630"/>
      <c r="PL218" s="630"/>
      <c r="PM218" s="630"/>
      <c r="PN218" s="630"/>
      <c r="PO218" s="630"/>
      <c r="PP218" s="630"/>
      <c r="PQ218" s="630"/>
      <c r="PR218" s="630"/>
      <c r="PS218" s="630"/>
      <c r="PT218" s="630"/>
      <c r="PU218" s="630"/>
      <c r="PV218" s="630"/>
      <c r="PW218" s="630"/>
      <c r="PX218" s="630"/>
      <c r="PY218" s="630"/>
      <c r="PZ218" s="630"/>
      <c r="QA218" s="630"/>
      <c r="QB218" s="630"/>
      <c r="QC218" s="630"/>
      <c r="QD218" s="630"/>
      <c r="QE218" s="630"/>
      <c r="QF218" s="630"/>
      <c r="QG218" s="630"/>
      <c r="QH218" s="630"/>
      <c r="QI218" s="630"/>
      <c r="QJ218" s="630"/>
      <c r="QK218" s="630"/>
      <c r="QL218" s="630"/>
      <c r="QM218" s="630"/>
      <c r="QN218" s="630"/>
      <c r="QO218" s="630"/>
      <c r="QP218" s="630"/>
      <c r="QQ218" s="630"/>
      <c r="QR218" s="630"/>
      <c r="QS218" s="630"/>
      <c r="QT218" s="630"/>
      <c r="QU218" s="630"/>
      <c r="QV218" s="630"/>
      <c r="QW218" s="630"/>
      <c r="QX218" s="630"/>
      <c r="QY218" s="630"/>
      <c r="QZ218" s="630"/>
      <c r="RA218" s="630"/>
      <c r="RB218" s="630"/>
      <c r="RC218" s="630"/>
      <c r="RD218" s="630"/>
      <c r="RE218" s="630"/>
      <c r="RF218" s="630"/>
      <c r="RG218" s="630"/>
      <c r="RH218" s="630"/>
      <c r="RI218" s="630"/>
      <c r="RJ218" s="630"/>
      <c r="RK218" s="630"/>
      <c r="RL218" s="630"/>
      <c r="RM218" s="630"/>
      <c r="RN218" s="630"/>
      <c r="RO218" s="630"/>
      <c r="RP218" s="630"/>
      <c r="RQ218" s="630"/>
      <c r="RR218" s="630"/>
      <c r="RS218" s="630"/>
      <c r="RT218" s="630"/>
      <c r="RU218" s="630"/>
      <c r="RV218" s="630"/>
      <c r="RW218" s="630"/>
      <c r="RX218" s="630"/>
      <c r="RY218" s="630"/>
      <c r="RZ218" s="630"/>
      <c r="SA218" s="630"/>
      <c r="SB218" s="630"/>
      <c r="SC218" s="630"/>
      <c r="SD218" s="630"/>
      <c r="SE218" s="630"/>
      <c r="SF218" s="630"/>
      <c r="SG218" s="630"/>
      <c r="SH218" s="630"/>
      <c r="SI218" s="630"/>
      <c r="SJ218" s="630"/>
      <c r="SK218" s="630"/>
      <c r="SL218" s="630"/>
      <c r="SM218" s="630"/>
      <c r="SN218" s="630"/>
      <c r="SO218" s="630"/>
      <c r="SP218" s="630"/>
      <c r="SQ218" s="630"/>
      <c r="SR218" s="630"/>
      <c r="SS218" s="630"/>
      <c r="ST218" s="630"/>
      <c r="SU218" s="630"/>
      <c r="SV218" s="630"/>
      <c r="SW218" s="630"/>
      <c r="SX218" s="630"/>
      <c r="SY218" s="630"/>
      <c r="SZ218" s="630"/>
      <c r="TA218" s="630"/>
      <c r="TB218" s="630"/>
      <c r="TC218" s="630"/>
      <c r="TD218" s="630"/>
      <c r="TE218" s="630"/>
      <c r="TF218" s="630"/>
      <c r="TG218" s="630"/>
      <c r="TH218" s="630"/>
      <c r="TI218" s="630"/>
      <c r="TJ218" s="630"/>
      <c r="TK218" s="630"/>
      <c r="TL218" s="630"/>
      <c r="TM218" s="630"/>
      <c r="TN218" s="630"/>
      <c r="TO218" s="630"/>
      <c r="TP218" s="630"/>
      <c r="TQ218" s="630"/>
      <c r="TR218" s="630"/>
      <c r="TS218" s="630"/>
      <c r="TT218" s="630"/>
      <c r="TU218" s="630"/>
      <c r="TV218" s="630"/>
      <c r="TW218" s="630"/>
      <c r="TX218" s="630"/>
      <c r="TY218" s="630"/>
      <c r="TZ218" s="630"/>
      <c r="UA218" s="630"/>
      <c r="UB218" s="630"/>
      <c r="UC218" s="630"/>
      <c r="UD218" s="630"/>
      <c r="UE218" s="630"/>
      <c r="UF218" s="630"/>
      <c r="UG218" s="630"/>
      <c r="UH218" s="630"/>
      <c r="UI218" s="630"/>
      <c r="UJ218" s="630"/>
      <c r="UK218" s="630"/>
      <c r="UL218" s="630"/>
      <c r="UM218" s="630"/>
      <c r="UN218" s="630"/>
      <c r="UO218" s="630"/>
      <c r="UP218" s="630"/>
      <c r="UQ218" s="630"/>
      <c r="UR218" s="630"/>
      <c r="US218" s="630"/>
      <c r="UT218" s="630"/>
      <c r="UU218" s="630"/>
      <c r="UV218" s="630"/>
      <c r="UW218" s="630"/>
      <c r="UX218" s="630"/>
      <c r="UY218" s="630"/>
      <c r="UZ218" s="630"/>
      <c r="VA218" s="630"/>
      <c r="VB218" s="630"/>
      <c r="VC218" s="630"/>
      <c r="VD218" s="630"/>
      <c r="VE218" s="630"/>
      <c r="VF218" s="630"/>
      <c r="VG218" s="630"/>
      <c r="VH218" s="630"/>
      <c r="VI218" s="630"/>
      <c r="VJ218" s="630"/>
      <c r="VK218" s="630"/>
      <c r="VL218" s="630"/>
      <c r="VM218" s="630"/>
      <c r="VN218" s="630"/>
      <c r="VO218" s="630"/>
      <c r="VP218" s="630"/>
      <c r="VQ218" s="630"/>
      <c r="VR218" s="630"/>
      <c r="VS218" s="630"/>
      <c r="VT218" s="630"/>
      <c r="VU218" s="630"/>
      <c r="VV218" s="630"/>
      <c r="VW218" s="630"/>
      <c r="VX218" s="630"/>
      <c r="VY218" s="630"/>
      <c r="VZ218" s="630"/>
      <c r="WA218" s="630"/>
      <c r="WB218" s="630"/>
      <c r="WC218" s="630"/>
      <c r="WD218" s="630"/>
      <c r="WE218" s="630"/>
      <c r="WF218" s="630"/>
      <c r="WG218" s="630"/>
      <c r="WH218" s="630"/>
      <c r="WI218" s="630"/>
      <c r="WJ218" s="630"/>
      <c r="WK218" s="630"/>
      <c r="WL218" s="630"/>
      <c r="WM218" s="630"/>
      <c r="WN218" s="630"/>
      <c r="WO218" s="630"/>
      <c r="WP218" s="630"/>
      <c r="WQ218" s="630"/>
      <c r="WR218" s="630"/>
      <c r="WS218" s="630"/>
      <c r="WT218" s="630"/>
      <c r="WU218" s="630"/>
      <c r="WV218" s="630"/>
      <c r="WW218" s="630"/>
      <c r="WX218" s="630"/>
      <c r="WY218" s="630"/>
      <c r="WZ218" s="630"/>
      <c r="XA218" s="630"/>
      <c r="XB218" s="630"/>
      <c r="XC218" s="630"/>
      <c r="XD218" s="630"/>
      <c r="XE218" s="630"/>
      <c r="XF218" s="630"/>
      <c r="XG218" s="630"/>
      <c r="XH218" s="630"/>
      <c r="XI218" s="630"/>
      <c r="XJ218" s="630"/>
      <c r="XK218" s="630"/>
      <c r="XL218" s="630"/>
      <c r="XM218" s="630"/>
      <c r="XN218" s="630"/>
      <c r="XO218" s="630"/>
      <c r="XP218" s="630"/>
      <c r="XQ218" s="630"/>
      <c r="XR218" s="630"/>
      <c r="XS218" s="630"/>
      <c r="XT218" s="630"/>
      <c r="XU218" s="630"/>
      <c r="XV218" s="630"/>
      <c r="XW218" s="630"/>
      <c r="XX218" s="630"/>
      <c r="XY218" s="630"/>
      <c r="XZ218" s="630"/>
      <c r="YA218" s="630"/>
      <c r="YB218" s="630"/>
      <c r="YC218" s="630"/>
      <c r="YD218" s="630"/>
      <c r="YE218" s="630"/>
      <c r="YF218" s="630"/>
      <c r="YG218" s="630"/>
      <c r="YH218" s="630"/>
      <c r="YI218" s="630"/>
      <c r="YJ218" s="630"/>
      <c r="YK218" s="630"/>
      <c r="YL218" s="630"/>
      <c r="YM218" s="630"/>
      <c r="YN218" s="630"/>
      <c r="YO218" s="630"/>
      <c r="YP218" s="630"/>
      <c r="YQ218" s="630"/>
      <c r="YR218" s="630"/>
      <c r="YS218" s="630"/>
      <c r="YT218" s="630"/>
      <c r="YU218" s="630"/>
      <c r="YV218" s="630"/>
      <c r="YW218" s="630"/>
      <c r="YX218" s="630"/>
      <c r="YY218" s="630"/>
      <c r="YZ218" s="630"/>
      <c r="ZA218" s="630"/>
      <c r="ZB218" s="630"/>
      <c r="ZC218" s="630"/>
      <c r="ZD218" s="630"/>
      <c r="ZE218" s="630"/>
      <c r="ZF218" s="630"/>
      <c r="ZG218" s="630"/>
      <c r="ZH218" s="630"/>
      <c r="ZI218" s="630"/>
      <c r="ZJ218" s="630"/>
      <c r="ZK218" s="630"/>
      <c r="ZL218" s="630"/>
      <c r="ZM218" s="630"/>
      <c r="ZN218" s="630"/>
      <c r="ZO218" s="630"/>
      <c r="ZP218" s="630"/>
      <c r="ZQ218" s="630"/>
      <c r="ZR218" s="630"/>
      <c r="ZS218" s="630"/>
      <c r="ZT218" s="630"/>
      <c r="ZU218" s="630"/>
      <c r="ZV218" s="630"/>
      <c r="ZW218" s="630"/>
      <c r="ZX218" s="630"/>
      <c r="ZY218" s="630"/>
      <c r="ZZ218" s="630"/>
      <c r="AAA218" s="630"/>
      <c r="AAB218" s="630"/>
      <c r="AAC218" s="630"/>
      <c r="AAD218" s="630"/>
      <c r="AAE218" s="630"/>
      <c r="AAF218" s="630"/>
      <c r="AAG218" s="630"/>
      <c r="AAH218" s="630"/>
      <c r="AAI218" s="630"/>
      <c r="AAJ218" s="630"/>
      <c r="AAK218" s="630"/>
      <c r="AAL218" s="630"/>
      <c r="AAM218" s="630"/>
      <c r="AAN218" s="630"/>
      <c r="AAO218" s="630"/>
      <c r="AAP218" s="630"/>
      <c r="AAQ218" s="630"/>
      <c r="AAR218" s="630"/>
      <c r="AAS218" s="630"/>
      <c r="AAT218" s="630"/>
      <c r="AAU218" s="630"/>
      <c r="AAV218" s="630"/>
      <c r="AAW218" s="630"/>
      <c r="AAX218" s="630"/>
      <c r="AAY218" s="630"/>
      <c r="AAZ218" s="630"/>
      <c r="ABA218" s="630"/>
      <c r="ABB218" s="630"/>
      <c r="ABC218" s="630"/>
      <c r="ABD218" s="630"/>
      <c r="ABE218" s="630"/>
      <c r="ABF218" s="630"/>
      <c r="ABG218" s="630"/>
      <c r="ABH218" s="630"/>
      <c r="ABI218" s="630"/>
      <c r="ABJ218" s="630"/>
      <c r="ABK218" s="630"/>
      <c r="ABL218" s="630"/>
      <c r="ABM218" s="630"/>
      <c r="ABN218" s="630"/>
      <c r="ABO218" s="630"/>
      <c r="ABP218" s="630"/>
      <c r="ABQ218" s="630"/>
      <c r="ABR218" s="630"/>
      <c r="ABS218" s="630"/>
      <c r="ABT218" s="630"/>
      <c r="ABU218" s="630"/>
      <c r="ABV218" s="630"/>
      <c r="ABW218" s="630"/>
      <c r="ABX218" s="630"/>
      <c r="ABY218" s="630"/>
      <c r="ABZ218" s="630"/>
      <c r="ACA218" s="630"/>
      <c r="ACB218" s="630"/>
      <c r="ACC218" s="630"/>
      <c r="ACD218" s="630"/>
      <c r="ACE218" s="630"/>
      <c r="ACF218" s="630"/>
      <c r="ACG218" s="630"/>
      <c r="ACH218" s="630"/>
      <c r="ACI218" s="630"/>
      <c r="ACJ218" s="630"/>
      <c r="ACK218" s="630"/>
      <c r="ACL218" s="630"/>
      <c r="ACM218" s="630"/>
      <c r="ACN218" s="630"/>
      <c r="ACO218" s="630"/>
      <c r="ACP218" s="630"/>
      <c r="ACQ218" s="630"/>
      <c r="ACR218" s="630"/>
      <c r="ACS218" s="630"/>
      <c r="ACT218" s="630"/>
      <c r="ACU218" s="630"/>
      <c r="ACV218" s="630"/>
      <c r="ACW218" s="630"/>
      <c r="ACX218" s="630"/>
      <c r="ACY218" s="630"/>
      <c r="ACZ218" s="630"/>
      <c r="ADA218" s="630"/>
      <c r="ADB218" s="630"/>
      <c r="ADC218" s="630"/>
      <c r="ADD218" s="630"/>
      <c r="ADE218" s="630"/>
      <c r="ADF218" s="630"/>
      <c r="ADG218" s="630"/>
      <c r="ADH218" s="630"/>
      <c r="ADI218" s="630"/>
      <c r="ADJ218" s="630"/>
      <c r="ADK218" s="630"/>
      <c r="ADL218" s="630"/>
      <c r="ADM218" s="630"/>
      <c r="ADN218" s="630"/>
      <c r="ADO218" s="630"/>
      <c r="ADP218" s="630"/>
      <c r="ADQ218" s="630"/>
      <c r="ADR218" s="630"/>
      <c r="ADS218" s="630"/>
      <c r="ADT218" s="630"/>
      <c r="ADU218" s="630"/>
      <c r="ADV218" s="630"/>
      <c r="ADW218" s="630"/>
      <c r="ADX218" s="630"/>
      <c r="ADY218" s="630"/>
      <c r="ADZ218" s="630"/>
      <c r="AEA218" s="630"/>
      <c r="AEB218" s="630"/>
      <c r="AEC218" s="630"/>
      <c r="AED218" s="630"/>
      <c r="AEE218" s="630"/>
      <c r="AEF218" s="630"/>
      <c r="AEG218" s="630"/>
      <c r="AEH218" s="630"/>
      <c r="AEI218" s="630"/>
      <c r="AEJ218" s="630"/>
      <c r="AEK218" s="630"/>
      <c r="AEL218" s="630"/>
      <c r="AEM218" s="630"/>
      <c r="AEN218" s="630"/>
      <c r="AEO218" s="630"/>
      <c r="AEP218" s="630"/>
      <c r="AEQ218" s="630"/>
      <c r="AER218" s="630"/>
      <c r="AES218" s="630"/>
      <c r="AET218" s="630"/>
      <c r="AEU218" s="630"/>
      <c r="AEV218" s="630"/>
      <c r="AEW218" s="630"/>
      <c r="AEX218" s="630"/>
      <c r="AEY218" s="630"/>
      <c r="AEZ218" s="630"/>
      <c r="AFA218" s="630"/>
      <c r="AFB218" s="630"/>
      <c r="AFC218" s="630"/>
      <c r="AFD218" s="630"/>
      <c r="AFE218" s="630"/>
      <c r="AFF218" s="630"/>
      <c r="AFG218" s="630"/>
      <c r="AFH218" s="630"/>
      <c r="AFI218" s="630"/>
      <c r="AFJ218" s="630"/>
      <c r="AFK218" s="630"/>
      <c r="AFL218" s="630"/>
      <c r="AFM218" s="630"/>
      <c r="AFN218" s="630"/>
      <c r="AFO218" s="630"/>
      <c r="AFP218" s="630"/>
      <c r="AFQ218" s="630"/>
      <c r="AFR218" s="630"/>
      <c r="AFS218" s="630"/>
      <c r="AFT218" s="630"/>
      <c r="AFU218" s="630"/>
      <c r="AFV218" s="630"/>
      <c r="AFW218" s="630"/>
      <c r="AFX218" s="630"/>
      <c r="AFY218" s="630"/>
      <c r="AFZ218" s="630"/>
      <c r="AGA218" s="630"/>
      <c r="AGB218" s="630"/>
      <c r="AGC218" s="630"/>
      <c r="AGD218" s="630"/>
      <c r="AGE218" s="630"/>
      <c r="AGF218" s="630"/>
      <c r="AGG218" s="630"/>
      <c r="AGH218" s="630"/>
      <c r="AGI218" s="630"/>
      <c r="AGJ218" s="630"/>
      <c r="AGK218" s="630"/>
      <c r="AGL218" s="630"/>
      <c r="AGM218" s="630"/>
      <c r="AGN218" s="630"/>
      <c r="AGO218" s="630"/>
      <c r="AGP218" s="630"/>
      <c r="AGQ218" s="630"/>
      <c r="AGR218" s="630"/>
      <c r="AGS218" s="630"/>
      <c r="AGT218" s="630"/>
      <c r="AGU218" s="630"/>
      <c r="AGV218" s="630"/>
      <c r="AGW218" s="630"/>
      <c r="AGX218" s="630"/>
      <c r="AGY218" s="630"/>
      <c r="AGZ218" s="630"/>
      <c r="AHA218" s="630"/>
      <c r="AHB218" s="630"/>
      <c r="AHC218" s="630"/>
      <c r="AHD218" s="630"/>
      <c r="AHE218" s="630"/>
      <c r="AHF218" s="630"/>
      <c r="AHG218" s="630"/>
      <c r="AHH218" s="630"/>
      <c r="AHI218" s="630"/>
      <c r="AHJ218" s="630"/>
      <c r="AHK218" s="630"/>
      <c r="AHL218" s="630"/>
      <c r="AHM218" s="630"/>
      <c r="AHN218" s="630"/>
      <c r="AHO218" s="630"/>
      <c r="AHP218" s="630"/>
      <c r="AHQ218" s="630"/>
      <c r="AHR218" s="630"/>
      <c r="AHS218" s="630"/>
      <c r="AHT218" s="630"/>
      <c r="AHU218" s="630"/>
      <c r="AHV218" s="630"/>
      <c r="AHW218" s="630"/>
      <c r="AHX218" s="630"/>
      <c r="AHY218" s="630"/>
      <c r="AHZ218" s="630"/>
      <c r="AIA218" s="630"/>
      <c r="AIB218" s="630"/>
      <c r="AIC218" s="630"/>
      <c r="AID218" s="630"/>
      <c r="AIE218" s="630"/>
      <c r="AIF218" s="630"/>
      <c r="AIG218" s="630"/>
      <c r="AIH218" s="630"/>
      <c r="AII218" s="630"/>
      <c r="AIJ218" s="630"/>
      <c r="AIK218" s="630"/>
      <c r="AIL218" s="630"/>
      <c r="AIM218" s="630"/>
      <c r="AIN218" s="630"/>
      <c r="AIO218" s="630"/>
      <c r="AIP218" s="630"/>
      <c r="AIQ218" s="630"/>
      <c r="AIR218" s="630"/>
      <c r="AIS218" s="630"/>
      <c r="AIT218" s="630"/>
      <c r="AIU218" s="630"/>
      <c r="AIV218" s="630"/>
      <c r="AIW218" s="630"/>
      <c r="AIX218" s="630"/>
      <c r="AIY218" s="630"/>
      <c r="AIZ218" s="630"/>
      <c r="AJA218" s="630"/>
      <c r="AJB218" s="630"/>
      <c r="AJC218" s="630"/>
      <c r="AJD218" s="630"/>
      <c r="AJE218" s="630"/>
      <c r="AJF218" s="630"/>
      <c r="AJG218" s="630"/>
      <c r="AJH218" s="630"/>
      <c r="AJI218" s="630"/>
      <c r="AJJ218" s="630"/>
      <c r="AJK218" s="630"/>
      <c r="AJL218" s="630"/>
      <c r="AJM218" s="630"/>
      <c r="AJN218" s="630"/>
      <c r="AJO218" s="630"/>
      <c r="AJP218" s="630"/>
      <c r="AJQ218" s="630"/>
      <c r="AJR218" s="630"/>
      <c r="AJS218" s="630"/>
      <c r="AJT218" s="630"/>
      <c r="AJU218" s="630"/>
      <c r="AJV218" s="630"/>
      <c r="AJW218" s="630"/>
      <c r="AJX218" s="630"/>
      <c r="AJY218" s="630"/>
      <c r="AJZ218" s="630"/>
      <c r="AKA218" s="630"/>
      <c r="AKB218" s="630"/>
      <c r="AKC218" s="630"/>
      <c r="AKD218" s="630"/>
      <c r="AKE218" s="630"/>
      <c r="AKF218" s="630"/>
      <c r="AKG218" s="630"/>
      <c r="AKH218" s="630"/>
      <c r="AKI218" s="630"/>
      <c r="AKJ218" s="630"/>
      <c r="AKK218" s="630"/>
      <c r="AKL218" s="630"/>
      <c r="AKM218" s="630"/>
      <c r="AKN218" s="630"/>
      <c r="AKO218" s="630"/>
      <c r="AKP218" s="630"/>
      <c r="AKQ218" s="630"/>
      <c r="AKR218" s="630"/>
      <c r="AKS218" s="630"/>
      <c r="AKT218" s="630"/>
      <c r="AKU218" s="630"/>
      <c r="AKV218" s="630"/>
      <c r="AKW218" s="630"/>
      <c r="AKX218" s="630"/>
      <c r="AKY218" s="630"/>
      <c r="AKZ218" s="630"/>
      <c r="ALA218" s="630"/>
      <c r="ALB218" s="630"/>
      <c r="ALC218" s="630"/>
      <c r="ALD218" s="630"/>
      <c r="ALE218" s="630"/>
      <c r="ALF218" s="630"/>
      <c r="ALG218" s="630"/>
      <c r="ALH218" s="630"/>
      <c r="ALI218" s="630"/>
      <c r="ALJ218" s="630"/>
      <c r="ALK218" s="630"/>
      <c r="ALL218" s="630"/>
      <c r="ALM218" s="630"/>
      <c r="ALN218" s="630"/>
      <c r="ALO218" s="630"/>
      <c r="ALP218" s="630"/>
      <c r="ALQ218" s="630"/>
      <c r="ALR218" s="630"/>
      <c r="ALS218" s="630"/>
      <c r="ALT218" s="630"/>
      <c r="ALU218" s="630"/>
      <c r="ALV218" s="630"/>
      <c r="ALW218" s="630"/>
      <c r="ALX218" s="630"/>
      <c r="ALY218" s="630"/>
      <c r="ALZ218" s="630"/>
      <c r="AMA218" s="630"/>
      <c r="AMB218" s="630"/>
      <c r="AMC218" s="630"/>
      <c r="AMD218" s="630"/>
      <c r="AME218" s="630"/>
      <c r="AMF218" s="630"/>
      <c r="AMG218" s="630"/>
      <c r="AMH218" s="630"/>
      <c r="AMI218" s="630"/>
      <c r="AMJ218" s="630"/>
      <c r="AMK218" s="630"/>
      <c r="AML218" s="630"/>
      <c r="AMM218" s="630"/>
      <c r="AMN218" s="630"/>
      <c r="AMO218" s="630"/>
      <c r="AMP218" s="630"/>
      <c r="AMQ218" s="630"/>
      <c r="AMR218" s="630"/>
      <c r="AMS218" s="630"/>
      <c r="AMT218" s="630"/>
      <c r="AMU218" s="630"/>
      <c r="AMV218" s="630"/>
      <c r="AMW218" s="630"/>
      <c r="AMX218" s="630"/>
      <c r="AMY218" s="630"/>
      <c r="AMZ218" s="630"/>
      <c r="ANA218" s="630"/>
      <c r="ANB218" s="630"/>
      <c r="ANC218" s="630"/>
      <c r="AND218" s="630"/>
      <c r="ANE218" s="630"/>
      <c r="ANF218" s="630"/>
      <c r="ANG218" s="630"/>
      <c r="ANH218" s="630"/>
      <c r="ANI218" s="630"/>
      <c r="ANJ218" s="630"/>
      <c r="ANK218" s="630"/>
      <c r="ANL218" s="630"/>
      <c r="ANM218" s="630"/>
      <c r="ANN218" s="630"/>
      <c r="ANO218" s="630"/>
      <c r="ANP218" s="630"/>
      <c r="ANQ218" s="630"/>
      <c r="ANR218" s="630"/>
      <c r="ANS218" s="630"/>
      <c r="ANT218" s="630"/>
      <c r="ANU218" s="630"/>
      <c r="ANV218" s="630"/>
      <c r="ANW218" s="630"/>
      <c r="ANX218" s="630"/>
      <c r="ANY218" s="630"/>
      <c r="ANZ218" s="630"/>
      <c r="AOA218" s="630"/>
      <c r="AOB218" s="630"/>
      <c r="AOC218" s="630"/>
      <c r="AOD218" s="630"/>
      <c r="AOE218" s="630"/>
      <c r="AOF218" s="630"/>
      <c r="AOG218" s="630"/>
      <c r="AOH218" s="630"/>
      <c r="AOI218" s="630"/>
      <c r="AOJ218" s="630"/>
      <c r="AOK218" s="630"/>
      <c r="AOL218" s="630"/>
      <c r="AOM218" s="630"/>
      <c r="AON218" s="630"/>
      <c r="AOO218" s="630"/>
      <c r="AOP218" s="630"/>
      <c r="AOQ218" s="630"/>
      <c r="AOR218" s="630"/>
      <c r="AOS218" s="630"/>
      <c r="AOT218" s="630"/>
      <c r="AOU218" s="630"/>
      <c r="AOV218" s="630"/>
      <c r="AOW218" s="630"/>
      <c r="AOX218" s="630"/>
      <c r="AOY218" s="630"/>
      <c r="AOZ218" s="630"/>
      <c r="APA218" s="630"/>
      <c r="APB218" s="630"/>
      <c r="APC218" s="630"/>
      <c r="APD218" s="630"/>
      <c r="APE218" s="630"/>
      <c r="APF218" s="630"/>
      <c r="APG218" s="630"/>
      <c r="APH218" s="630"/>
      <c r="API218" s="630"/>
      <c r="APJ218" s="630"/>
      <c r="APK218" s="630"/>
      <c r="APL218" s="630"/>
      <c r="APM218" s="630"/>
      <c r="APN218" s="630"/>
      <c r="APO218" s="630"/>
      <c r="APP218" s="630"/>
      <c r="APQ218" s="630"/>
      <c r="APR218" s="630"/>
      <c r="APS218" s="630"/>
      <c r="APT218" s="630"/>
      <c r="APU218" s="630"/>
      <c r="APV218" s="630"/>
      <c r="APW218" s="630"/>
      <c r="APX218" s="630"/>
      <c r="APY218" s="630"/>
      <c r="APZ218" s="630"/>
      <c r="AQA218" s="630"/>
      <c r="AQB218" s="630"/>
      <c r="AQC218" s="630"/>
      <c r="AQD218" s="630"/>
      <c r="AQE218" s="630"/>
      <c r="AQF218" s="630"/>
      <c r="AQG218" s="630"/>
      <c r="AQH218" s="630"/>
      <c r="AQI218" s="630"/>
      <c r="AQJ218" s="630"/>
      <c r="AQK218" s="630"/>
      <c r="AQL218" s="630"/>
      <c r="AQM218" s="630"/>
      <c r="AQN218" s="630"/>
      <c r="AQO218" s="630"/>
      <c r="AQP218" s="630"/>
      <c r="AQQ218" s="630"/>
      <c r="AQR218" s="630"/>
      <c r="AQS218" s="630"/>
      <c r="AQT218" s="630"/>
      <c r="AQU218" s="630"/>
      <c r="AQV218" s="630"/>
      <c r="AQW218" s="630"/>
      <c r="AQX218" s="630"/>
      <c r="AQY218" s="630"/>
      <c r="AQZ218" s="630"/>
      <c r="ARA218" s="630"/>
      <c r="ARB218" s="630"/>
      <c r="ARC218" s="630"/>
      <c r="ARD218" s="630"/>
      <c r="ARE218" s="630"/>
      <c r="ARF218" s="630"/>
      <c r="ARG218" s="630"/>
      <c r="ARH218" s="630"/>
      <c r="ARI218" s="630"/>
      <c r="ARJ218" s="630"/>
      <c r="ARK218" s="630"/>
      <c r="ARL218" s="630"/>
      <c r="ARM218" s="630"/>
      <c r="ARN218" s="630"/>
      <c r="ARO218" s="630"/>
      <c r="ARP218" s="630"/>
      <c r="ARQ218" s="630"/>
      <c r="ARR218" s="630"/>
      <c r="ARS218" s="630"/>
      <c r="ART218" s="630"/>
      <c r="ARU218" s="630"/>
      <c r="ARV218" s="630"/>
      <c r="ARW218" s="630"/>
      <c r="ARX218" s="630"/>
      <c r="ARY218" s="630"/>
      <c r="ARZ218" s="630"/>
      <c r="ASA218" s="630"/>
      <c r="ASB218" s="630"/>
      <c r="ASC218" s="630"/>
      <c r="ASD218" s="630"/>
      <c r="ASE218" s="630"/>
      <c r="ASF218" s="630"/>
      <c r="ASG218" s="630"/>
      <c r="ASH218" s="630"/>
      <c r="ASI218" s="630"/>
      <c r="ASJ218" s="630"/>
      <c r="ASK218" s="630"/>
      <c r="ASL218" s="630"/>
      <c r="ASM218" s="630"/>
      <c r="ASN218" s="630"/>
      <c r="ASO218" s="630"/>
      <c r="ASP218" s="630"/>
      <c r="ASQ218" s="630"/>
      <c r="ASR218" s="630"/>
      <c r="ASS218" s="630"/>
      <c r="AST218" s="630"/>
      <c r="ASU218" s="630"/>
      <c r="ASV218" s="630"/>
      <c r="ASW218" s="630"/>
      <c r="ASX218" s="630"/>
      <c r="ASY218" s="630"/>
      <c r="ASZ218" s="630"/>
      <c r="ATA218" s="630"/>
      <c r="ATB218" s="630"/>
      <c r="ATC218" s="630"/>
      <c r="ATD218" s="630"/>
      <c r="ATE218" s="630"/>
      <c r="ATF218" s="630"/>
      <c r="ATG218" s="630"/>
      <c r="ATH218" s="630"/>
      <c r="ATI218" s="630"/>
      <c r="ATJ218" s="630"/>
      <c r="ATK218" s="630"/>
      <c r="ATL218" s="630"/>
      <c r="ATM218" s="630"/>
      <c r="ATN218" s="630"/>
      <c r="ATO218" s="630"/>
      <c r="ATP218" s="630"/>
      <c r="ATQ218" s="630"/>
      <c r="ATR218" s="630"/>
      <c r="ATS218" s="630"/>
      <c r="ATT218" s="630"/>
      <c r="ATU218" s="630"/>
      <c r="ATV218" s="630"/>
      <c r="ATW218" s="630"/>
      <c r="ATX218" s="630"/>
      <c r="ATY218" s="630"/>
      <c r="ATZ218" s="630"/>
      <c r="AUA218" s="630"/>
      <c r="AUB218" s="630"/>
      <c r="AUC218" s="630"/>
      <c r="AUD218" s="630"/>
      <c r="AUE218" s="630"/>
      <c r="AUF218" s="630"/>
      <c r="AUG218" s="630"/>
      <c r="AUH218" s="630"/>
      <c r="AUI218" s="630"/>
      <c r="AUJ218" s="630"/>
      <c r="AUK218" s="630"/>
      <c r="AUL218" s="630"/>
      <c r="AUM218" s="630"/>
      <c r="AUN218" s="630"/>
      <c r="AUO218" s="630"/>
      <c r="AUP218" s="630"/>
      <c r="AUQ218" s="630"/>
      <c r="AUR218" s="630"/>
      <c r="AUS218" s="630"/>
      <c r="AUT218" s="630"/>
      <c r="AUU218" s="630"/>
      <c r="AUV218" s="630"/>
      <c r="AUW218" s="630"/>
      <c r="AUX218" s="630"/>
      <c r="AUY218" s="630"/>
      <c r="AUZ218" s="630"/>
      <c r="AVA218" s="630"/>
      <c r="AVB218" s="630"/>
      <c r="AVC218" s="630"/>
      <c r="AVD218" s="630"/>
      <c r="AVE218" s="630"/>
      <c r="AVF218" s="630"/>
      <c r="AVG218" s="630"/>
      <c r="AVH218" s="630"/>
      <c r="AVI218" s="630"/>
      <c r="AVJ218" s="630"/>
      <c r="AVK218" s="630"/>
      <c r="AVL218" s="630"/>
      <c r="AVM218" s="630"/>
      <c r="AVN218" s="630"/>
      <c r="AVO218" s="630"/>
      <c r="AVP218" s="630"/>
      <c r="AVQ218" s="630"/>
      <c r="AVR218" s="630"/>
      <c r="AVS218" s="630"/>
      <c r="AVT218" s="630"/>
      <c r="AVU218" s="630"/>
      <c r="AVV218" s="630"/>
      <c r="AVW218" s="630"/>
      <c r="AVX218" s="630"/>
      <c r="AVY218" s="630"/>
      <c r="AVZ218" s="630"/>
      <c r="AWA218" s="630"/>
      <c r="AWB218" s="630"/>
      <c r="AWC218" s="630"/>
      <c r="AWD218" s="630"/>
      <c r="AWE218" s="630"/>
      <c r="AWF218" s="630"/>
      <c r="AWG218" s="630"/>
      <c r="AWH218" s="630"/>
      <c r="AWI218" s="630"/>
      <c r="AWJ218" s="630"/>
      <c r="AWK218" s="630"/>
      <c r="AWL218" s="630"/>
      <c r="AWM218" s="630"/>
      <c r="AWN218" s="630"/>
      <c r="AWO218" s="630"/>
      <c r="AWP218" s="630"/>
      <c r="AWQ218" s="630"/>
      <c r="AWR218" s="630"/>
      <c r="AWS218" s="630"/>
      <c r="AWT218" s="630"/>
      <c r="AWU218" s="630"/>
      <c r="AWV218" s="630"/>
      <c r="AWW218" s="630"/>
      <c r="AWX218" s="630"/>
      <c r="AWY218" s="630"/>
      <c r="AWZ218" s="630"/>
      <c r="AXA218" s="630"/>
      <c r="AXB218" s="630"/>
      <c r="AXC218" s="630"/>
      <c r="AXD218" s="630"/>
      <c r="AXE218" s="630"/>
      <c r="AXF218" s="630"/>
      <c r="AXG218" s="630"/>
      <c r="AXH218" s="630"/>
      <c r="AXI218" s="630"/>
      <c r="AXJ218" s="630"/>
      <c r="AXK218" s="630"/>
      <c r="AXL218" s="630"/>
      <c r="AXM218" s="630"/>
      <c r="AXN218" s="630"/>
      <c r="AXO218" s="630"/>
      <c r="AXP218" s="630"/>
      <c r="AXQ218" s="630"/>
      <c r="AXR218" s="630"/>
      <c r="AXS218" s="630"/>
      <c r="AXT218" s="630"/>
      <c r="AXU218" s="630"/>
      <c r="AXV218" s="630"/>
      <c r="AXW218" s="630"/>
      <c r="AXX218" s="630"/>
      <c r="AXY218" s="630"/>
      <c r="AXZ218" s="630"/>
      <c r="AYA218" s="630"/>
      <c r="AYB218" s="630"/>
      <c r="AYC218" s="630"/>
      <c r="AYD218" s="630"/>
      <c r="AYE218" s="630"/>
      <c r="AYF218" s="630"/>
      <c r="AYG218" s="630"/>
      <c r="AYH218" s="630"/>
      <c r="AYI218" s="630"/>
      <c r="AYJ218" s="630"/>
      <c r="AYK218" s="630"/>
      <c r="AYL218" s="630"/>
      <c r="AYM218" s="630"/>
      <c r="AYN218" s="630"/>
      <c r="AYO218" s="630"/>
      <c r="AYP218" s="630"/>
      <c r="AYQ218" s="630"/>
      <c r="AYR218" s="630"/>
      <c r="AYS218" s="630"/>
      <c r="AYT218" s="630"/>
      <c r="AYU218" s="630"/>
      <c r="AYV218" s="630"/>
      <c r="AYW218" s="630"/>
      <c r="AYX218" s="630"/>
      <c r="AYY218" s="630"/>
      <c r="AYZ218" s="630"/>
      <c r="AZA218" s="630"/>
      <c r="AZB218" s="630"/>
      <c r="AZC218" s="630"/>
      <c r="AZD218" s="630"/>
      <c r="AZE218" s="630"/>
      <c r="AZF218" s="630"/>
      <c r="AZG218" s="630"/>
      <c r="AZH218" s="630"/>
      <c r="AZI218" s="630"/>
      <c r="AZJ218" s="630"/>
      <c r="AZK218" s="630"/>
      <c r="AZL218" s="630"/>
      <c r="AZM218" s="630"/>
      <c r="AZN218" s="630"/>
      <c r="AZO218" s="630"/>
      <c r="AZP218" s="630"/>
      <c r="AZQ218" s="630"/>
      <c r="AZR218" s="630"/>
      <c r="AZS218" s="630"/>
      <c r="AZT218" s="630"/>
      <c r="AZU218" s="630"/>
      <c r="AZV218" s="630"/>
      <c r="AZW218" s="630"/>
      <c r="AZX218" s="630"/>
      <c r="AZY218" s="630"/>
      <c r="AZZ218" s="630"/>
      <c r="BAA218" s="630"/>
      <c r="BAB218" s="630"/>
      <c r="BAC218" s="630"/>
      <c r="BAD218" s="630"/>
      <c r="BAE218" s="630"/>
      <c r="BAF218" s="630"/>
      <c r="BAG218" s="630"/>
      <c r="BAH218" s="630"/>
      <c r="BAI218" s="630"/>
      <c r="BAJ218" s="630"/>
      <c r="BAK218" s="630"/>
      <c r="BAL218" s="630"/>
      <c r="BAM218" s="630"/>
      <c r="BAN218" s="630"/>
      <c r="BAO218" s="630"/>
      <c r="BAP218" s="630"/>
      <c r="BAQ218" s="630"/>
      <c r="BAR218" s="630"/>
      <c r="BAS218" s="630"/>
      <c r="BAT218" s="630"/>
      <c r="BAU218" s="630"/>
      <c r="BAV218" s="630"/>
      <c r="BAW218" s="630"/>
      <c r="BAX218" s="630"/>
      <c r="BAY218" s="630"/>
      <c r="BAZ218" s="630"/>
      <c r="BBA218" s="630"/>
      <c r="BBB218" s="630"/>
      <c r="BBC218" s="630"/>
      <c r="BBD218" s="630"/>
      <c r="BBE218" s="630"/>
      <c r="BBF218" s="630"/>
      <c r="BBG218" s="630"/>
      <c r="BBH218" s="630"/>
      <c r="BBI218" s="630"/>
      <c r="BBJ218" s="630"/>
      <c r="BBK218" s="630"/>
      <c r="BBL218" s="630"/>
      <c r="BBM218" s="630"/>
      <c r="BBN218" s="630"/>
      <c r="BBO218" s="630"/>
      <c r="BBP218" s="630"/>
      <c r="BBQ218" s="630"/>
      <c r="BBR218" s="630"/>
      <c r="BBS218" s="630"/>
      <c r="BBT218" s="630"/>
      <c r="BBU218" s="630"/>
      <c r="BBV218" s="630"/>
      <c r="BBW218" s="630"/>
      <c r="BBX218" s="630"/>
      <c r="BBY218" s="630"/>
      <c r="BBZ218" s="630"/>
      <c r="BCA218" s="630"/>
      <c r="BCB218" s="630"/>
      <c r="BCC218" s="630"/>
      <c r="BCD218" s="630"/>
      <c r="BCE218" s="630"/>
      <c r="BCF218" s="630"/>
      <c r="BCG218" s="630"/>
      <c r="BCH218" s="630"/>
      <c r="BCI218" s="630"/>
      <c r="BCJ218" s="630"/>
      <c r="BCK218" s="630"/>
      <c r="BCL218" s="630"/>
      <c r="BCM218" s="630"/>
      <c r="BCN218" s="630"/>
      <c r="BCO218" s="630"/>
      <c r="BCP218" s="630"/>
      <c r="BCQ218" s="630"/>
      <c r="BCR218" s="630"/>
      <c r="BCS218" s="630"/>
      <c r="BCT218" s="630"/>
      <c r="BCU218" s="630"/>
      <c r="BCV218" s="630"/>
      <c r="BCW218" s="630"/>
      <c r="BCX218" s="630"/>
      <c r="BCY218" s="630"/>
      <c r="BCZ218" s="630"/>
      <c r="BDA218" s="630"/>
      <c r="BDB218" s="630"/>
      <c r="BDC218" s="630"/>
      <c r="BDD218" s="630"/>
      <c r="BDE218" s="630"/>
      <c r="BDF218" s="630"/>
      <c r="BDG218" s="630"/>
      <c r="BDH218" s="630"/>
      <c r="BDI218" s="630"/>
      <c r="BDJ218" s="630"/>
      <c r="BDK218" s="630"/>
      <c r="BDL218" s="630"/>
      <c r="BDM218" s="630"/>
      <c r="BDN218" s="630"/>
      <c r="BDO218" s="630"/>
      <c r="BDP218" s="630"/>
      <c r="BDQ218" s="630"/>
      <c r="BDR218" s="630"/>
      <c r="BDS218" s="630"/>
      <c r="BDT218" s="630"/>
      <c r="BDU218" s="630"/>
      <c r="BDV218" s="630"/>
      <c r="BDW218" s="630"/>
      <c r="BDX218" s="630"/>
      <c r="BDY218" s="630"/>
      <c r="BDZ218" s="630"/>
      <c r="BEA218" s="630"/>
      <c r="BEB218" s="630"/>
      <c r="BEC218" s="630"/>
      <c r="BED218" s="630"/>
      <c r="BEE218" s="630"/>
      <c r="BEF218" s="630"/>
      <c r="BEG218" s="630"/>
      <c r="BEH218" s="630"/>
      <c r="BEI218" s="630"/>
      <c r="BEJ218" s="630"/>
      <c r="BEK218" s="630"/>
      <c r="BEL218" s="630"/>
      <c r="BEM218" s="630"/>
      <c r="BEN218" s="630"/>
      <c r="BEO218" s="630"/>
      <c r="BEP218" s="630"/>
      <c r="BEQ218" s="630"/>
      <c r="BER218" s="630"/>
      <c r="BES218" s="630"/>
      <c r="BET218" s="630"/>
      <c r="BEU218" s="630"/>
      <c r="BEV218" s="630"/>
      <c r="BEW218" s="630"/>
      <c r="BEX218" s="630"/>
      <c r="BEY218" s="630"/>
      <c r="BEZ218" s="630"/>
      <c r="BFA218" s="630"/>
      <c r="BFB218" s="630"/>
      <c r="BFC218" s="630"/>
      <c r="BFD218" s="630"/>
      <c r="BFE218" s="630"/>
      <c r="BFF218" s="630"/>
      <c r="BFG218" s="630"/>
      <c r="BFH218" s="630"/>
      <c r="BFI218" s="630"/>
      <c r="BFJ218" s="630"/>
      <c r="BFK218" s="630"/>
      <c r="BFL218" s="630"/>
      <c r="BFM218" s="630"/>
      <c r="BFN218" s="630"/>
      <c r="BFO218" s="630"/>
      <c r="BFP218" s="630"/>
      <c r="BFQ218" s="630"/>
      <c r="BFR218" s="630"/>
      <c r="BFS218" s="630"/>
      <c r="BFT218" s="630"/>
      <c r="BFU218" s="630"/>
      <c r="BFV218" s="630"/>
      <c r="BFW218" s="630"/>
      <c r="BFX218" s="630"/>
      <c r="BFY218" s="630"/>
      <c r="BFZ218" s="630"/>
      <c r="BGA218" s="630"/>
      <c r="BGB218" s="630"/>
      <c r="BGC218" s="630"/>
      <c r="BGD218" s="630"/>
      <c r="BGE218" s="630"/>
      <c r="BGF218" s="630"/>
      <c r="BGG218" s="630"/>
      <c r="BGH218" s="630"/>
      <c r="BGI218" s="630"/>
      <c r="BGJ218" s="630"/>
      <c r="BGK218" s="630"/>
      <c r="BGL218" s="630"/>
      <c r="BGM218" s="630"/>
      <c r="BGN218" s="630"/>
      <c r="BGO218" s="630"/>
      <c r="BGP218" s="630"/>
      <c r="BGQ218" s="630"/>
      <c r="BGR218" s="630"/>
      <c r="BGS218" s="630"/>
      <c r="BGT218" s="630"/>
      <c r="BGU218" s="630"/>
      <c r="BGV218" s="630"/>
      <c r="BGW218" s="630"/>
      <c r="BGX218" s="630"/>
      <c r="BGY218" s="630"/>
      <c r="BGZ218" s="630"/>
      <c r="BHA218" s="630"/>
      <c r="BHB218" s="630"/>
      <c r="BHC218" s="630"/>
      <c r="BHD218" s="630"/>
      <c r="BHE218" s="630"/>
      <c r="BHF218" s="630"/>
      <c r="BHG218" s="630"/>
      <c r="BHH218" s="630"/>
      <c r="BHI218" s="630"/>
      <c r="BHJ218" s="630"/>
      <c r="BHK218" s="630"/>
      <c r="BHL218" s="630"/>
      <c r="BHM218" s="630"/>
      <c r="BHN218" s="630"/>
      <c r="BHO218" s="630"/>
      <c r="BHP218" s="630"/>
      <c r="BHQ218" s="630"/>
      <c r="BHR218" s="630"/>
      <c r="BHS218" s="630"/>
      <c r="BHT218" s="630"/>
      <c r="BHU218" s="630"/>
      <c r="BHV218" s="630"/>
      <c r="BHW218" s="630"/>
      <c r="BHX218" s="630"/>
      <c r="BHY218" s="630"/>
      <c r="BHZ218" s="630"/>
      <c r="BIA218" s="630"/>
      <c r="BIB218" s="630"/>
      <c r="BIC218" s="630"/>
      <c r="BID218" s="630"/>
      <c r="BIE218" s="630"/>
      <c r="BIF218" s="630"/>
      <c r="BIG218" s="630"/>
      <c r="BIH218" s="630"/>
      <c r="BII218" s="630"/>
      <c r="BIJ218" s="630"/>
      <c r="BIK218" s="630"/>
      <c r="BIL218" s="630"/>
      <c r="BIM218" s="630"/>
      <c r="BIN218" s="630"/>
      <c r="BIO218" s="630"/>
      <c r="BIP218" s="630"/>
      <c r="BIQ218" s="630"/>
      <c r="BIR218" s="630"/>
      <c r="BIS218" s="630"/>
      <c r="BIT218" s="630"/>
      <c r="BIU218" s="630"/>
      <c r="BIV218" s="630"/>
      <c r="BIW218" s="630"/>
      <c r="BIX218" s="630"/>
      <c r="BIY218" s="630"/>
      <c r="BIZ218" s="630"/>
      <c r="BJA218" s="630"/>
      <c r="BJB218" s="630"/>
      <c r="BJC218" s="630"/>
      <c r="BJD218" s="630"/>
      <c r="BJE218" s="630"/>
      <c r="BJF218" s="630"/>
      <c r="BJG218" s="630"/>
      <c r="BJH218" s="630"/>
      <c r="BJI218" s="630"/>
      <c r="BJJ218" s="630"/>
      <c r="BJK218" s="630"/>
      <c r="BJL218" s="630"/>
      <c r="BJM218" s="630"/>
      <c r="BJN218" s="630"/>
      <c r="BJO218" s="630"/>
      <c r="BJP218" s="630"/>
      <c r="BJQ218" s="630"/>
      <c r="BJR218" s="630"/>
      <c r="BJS218" s="630"/>
      <c r="BJT218" s="630"/>
      <c r="BJU218" s="630"/>
      <c r="BJV218" s="630"/>
      <c r="BJW218" s="630"/>
      <c r="BJX218" s="630"/>
      <c r="BJY218" s="630"/>
      <c r="BJZ218" s="630"/>
      <c r="BKA218" s="630"/>
      <c r="BKB218" s="630"/>
      <c r="BKC218" s="630"/>
      <c r="BKD218" s="630"/>
      <c r="BKE218" s="630"/>
      <c r="BKF218" s="630"/>
      <c r="BKG218" s="630"/>
      <c r="BKH218" s="630"/>
      <c r="BKI218" s="630"/>
      <c r="BKJ218" s="630"/>
      <c r="BKK218" s="630"/>
      <c r="BKL218" s="630"/>
      <c r="BKM218" s="630"/>
      <c r="BKN218" s="630"/>
      <c r="BKO218" s="630"/>
      <c r="BKP218" s="630"/>
      <c r="BKQ218" s="630"/>
      <c r="BKR218" s="630"/>
      <c r="BKS218" s="630"/>
      <c r="BKT218" s="630"/>
      <c r="BKU218" s="630"/>
      <c r="BKV218" s="630"/>
      <c r="BKW218" s="630"/>
      <c r="BKX218" s="630"/>
      <c r="BKY218" s="630"/>
      <c r="BKZ218" s="630"/>
      <c r="BLA218" s="630"/>
      <c r="BLB218" s="630"/>
      <c r="BLC218" s="630"/>
      <c r="BLD218" s="630"/>
      <c r="BLE218" s="630"/>
      <c r="BLF218" s="630"/>
      <c r="BLG218" s="630"/>
      <c r="BLH218" s="630"/>
      <c r="BLI218" s="630"/>
      <c r="BLJ218" s="630"/>
      <c r="BLK218" s="630"/>
      <c r="BLL218" s="630"/>
      <c r="BLM218" s="630"/>
      <c r="BLN218" s="630"/>
      <c r="BLO218" s="630"/>
      <c r="BLP218" s="630"/>
      <c r="BLQ218" s="630"/>
      <c r="BLR218" s="630"/>
      <c r="BLS218" s="630"/>
      <c r="BLT218" s="630"/>
      <c r="BLU218" s="630"/>
      <c r="BLV218" s="630"/>
      <c r="BLW218" s="630"/>
      <c r="BLX218" s="630"/>
      <c r="BLY218" s="630"/>
      <c r="BLZ218" s="630"/>
      <c r="BMA218" s="630"/>
      <c r="BMB218" s="630"/>
      <c r="BMC218" s="630"/>
      <c r="BMD218" s="630"/>
      <c r="BME218" s="630"/>
      <c r="BMF218" s="630"/>
      <c r="BMG218" s="630"/>
      <c r="BMH218" s="630"/>
      <c r="BMI218" s="630"/>
      <c r="BMJ218" s="630"/>
      <c r="BMK218" s="630"/>
      <c r="BML218" s="630"/>
      <c r="BMM218" s="630"/>
      <c r="BMN218" s="630"/>
      <c r="BMO218" s="630"/>
      <c r="BMP218" s="630"/>
      <c r="BMQ218" s="630"/>
      <c r="BMR218" s="630"/>
      <c r="BMS218" s="630"/>
      <c r="BMT218" s="630"/>
      <c r="BMU218" s="630"/>
      <c r="BMV218" s="630"/>
      <c r="BMW218" s="630"/>
      <c r="BMX218" s="630"/>
      <c r="BMY218" s="630"/>
      <c r="BMZ218" s="630"/>
      <c r="BNA218" s="630"/>
      <c r="BNB218" s="630"/>
      <c r="BNC218" s="630"/>
      <c r="BND218" s="630"/>
      <c r="BNE218" s="630"/>
      <c r="BNF218" s="630"/>
      <c r="BNG218" s="630"/>
      <c r="BNH218" s="630"/>
      <c r="BNI218" s="630"/>
      <c r="BNJ218" s="630"/>
      <c r="BNK218" s="630"/>
      <c r="BNL218" s="630"/>
      <c r="BNM218" s="630"/>
      <c r="BNN218" s="630"/>
      <c r="BNO218" s="630"/>
      <c r="BNP218" s="630"/>
      <c r="BNQ218" s="630"/>
      <c r="BNR218" s="630"/>
      <c r="BNS218" s="630"/>
      <c r="BNT218" s="630"/>
      <c r="BNU218" s="630"/>
      <c r="BNV218" s="630"/>
      <c r="BNW218" s="630"/>
      <c r="BNX218" s="630"/>
      <c r="BNY218" s="630"/>
      <c r="BNZ218" s="630"/>
      <c r="BOA218" s="630"/>
      <c r="BOB218" s="630"/>
      <c r="BOC218" s="630"/>
      <c r="BOD218" s="630"/>
      <c r="BOE218" s="630"/>
      <c r="BOF218" s="630"/>
      <c r="BOG218" s="630"/>
      <c r="BOH218" s="630"/>
      <c r="BOI218" s="630"/>
      <c r="BOJ218" s="630"/>
      <c r="BOK218" s="630"/>
      <c r="BOL218" s="630"/>
      <c r="BOM218" s="630"/>
      <c r="BON218" s="630"/>
      <c r="BOO218" s="630"/>
      <c r="BOP218" s="630"/>
      <c r="BOQ218" s="630"/>
      <c r="BOR218" s="630"/>
      <c r="BOS218" s="630"/>
      <c r="BOT218" s="630"/>
      <c r="BOU218" s="630"/>
      <c r="BOV218" s="630"/>
      <c r="BOW218" s="630"/>
      <c r="BOX218" s="630"/>
      <c r="BOY218" s="630"/>
      <c r="BOZ218" s="630"/>
      <c r="BPA218" s="630"/>
      <c r="BPB218" s="630"/>
      <c r="BPC218" s="630"/>
      <c r="BPD218" s="630"/>
      <c r="BPE218" s="630"/>
      <c r="BPF218" s="630"/>
      <c r="BPG218" s="630"/>
      <c r="BPH218" s="630"/>
      <c r="BPI218" s="630"/>
      <c r="BPJ218" s="630"/>
      <c r="BPK218" s="630"/>
      <c r="BPL218" s="630"/>
      <c r="BPM218" s="630"/>
      <c r="BPN218" s="630"/>
      <c r="BPO218" s="630"/>
      <c r="BPP218" s="630"/>
      <c r="BPQ218" s="630"/>
      <c r="BPR218" s="630"/>
      <c r="BPS218" s="630"/>
      <c r="BPT218" s="630"/>
      <c r="BPU218" s="630"/>
      <c r="BPV218" s="630"/>
      <c r="BPW218" s="630"/>
      <c r="BPX218" s="630"/>
      <c r="BPY218" s="630"/>
      <c r="BPZ218" s="630"/>
      <c r="BQA218" s="630"/>
      <c r="BQB218" s="630"/>
      <c r="BQC218" s="630"/>
      <c r="BQD218" s="630"/>
      <c r="BQE218" s="630"/>
      <c r="BQF218" s="630"/>
      <c r="BQG218" s="630"/>
      <c r="BQH218" s="630"/>
      <c r="BQI218" s="630"/>
      <c r="BQJ218" s="630"/>
      <c r="BQK218" s="630"/>
      <c r="BQL218" s="630"/>
      <c r="BQM218" s="630"/>
      <c r="BQN218" s="630"/>
      <c r="BQO218" s="630"/>
      <c r="BQP218" s="630"/>
      <c r="BQQ218" s="630"/>
      <c r="BQR218" s="630"/>
      <c r="BQS218" s="630"/>
      <c r="BQT218" s="630"/>
      <c r="BQU218" s="630"/>
      <c r="BQV218" s="630"/>
      <c r="BQW218" s="630"/>
      <c r="BQX218" s="630"/>
      <c r="BQY218" s="630"/>
      <c r="BQZ218" s="630"/>
      <c r="BRA218" s="630"/>
      <c r="BRB218" s="630"/>
      <c r="BRC218" s="630"/>
      <c r="BRD218" s="630"/>
      <c r="BRE218" s="630"/>
      <c r="BRF218" s="630"/>
      <c r="BRG218" s="630"/>
      <c r="BRH218" s="630"/>
      <c r="BRI218" s="630"/>
      <c r="BRJ218" s="630"/>
      <c r="BRK218" s="630"/>
      <c r="BRL218" s="630"/>
      <c r="BRM218" s="630"/>
      <c r="BRN218" s="630"/>
      <c r="BRO218" s="630"/>
      <c r="BRP218" s="630"/>
      <c r="BRQ218" s="630"/>
      <c r="BRR218" s="630"/>
      <c r="BRS218" s="630"/>
      <c r="BRT218" s="630"/>
      <c r="BRU218" s="630"/>
      <c r="BRV218" s="630"/>
      <c r="BRW218" s="630"/>
      <c r="BRX218" s="630"/>
      <c r="BRY218" s="630"/>
      <c r="BRZ218" s="630"/>
      <c r="BSA218" s="630"/>
      <c r="BSB218" s="630"/>
      <c r="BSC218" s="630"/>
      <c r="BSD218" s="630"/>
      <c r="BSE218" s="630"/>
      <c r="BSF218" s="630"/>
      <c r="BSG218" s="630"/>
      <c r="BSH218" s="630"/>
      <c r="BSI218" s="630"/>
      <c r="BSJ218" s="630"/>
      <c r="BSK218" s="630"/>
      <c r="BSL218" s="630"/>
      <c r="BSM218" s="630"/>
      <c r="BSN218" s="630"/>
      <c r="BSO218" s="630"/>
      <c r="BSP218" s="630"/>
      <c r="BSQ218" s="630"/>
      <c r="BSR218" s="630"/>
      <c r="BSS218" s="630"/>
      <c r="BST218" s="630"/>
      <c r="BSU218" s="630"/>
      <c r="BSV218" s="630"/>
      <c r="BSW218" s="630"/>
      <c r="BSX218" s="630"/>
      <c r="BSY218" s="630"/>
      <c r="BSZ218" s="630"/>
      <c r="BTA218" s="630"/>
      <c r="BTB218" s="630"/>
      <c r="BTC218" s="630"/>
      <c r="BTD218" s="630"/>
      <c r="BTE218" s="630"/>
      <c r="BTF218" s="630"/>
      <c r="BTG218" s="630"/>
      <c r="BTH218" s="630"/>
      <c r="BTI218" s="630"/>
      <c r="BTJ218" s="630"/>
      <c r="BTK218" s="630"/>
      <c r="BTL218" s="630"/>
      <c r="BTM218" s="630"/>
      <c r="BTN218" s="630"/>
      <c r="BTO218" s="630"/>
      <c r="BTP218" s="630"/>
      <c r="BTQ218" s="630"/>
      <c r="BTR218" s="630"/>
      <c r="BTS218" s="630"/>
      <c r="BTT218" s="630"/>
      <c r="BTU218" s="630"/>
      <c r="BTV218" s="630"/>
      <c r="BTW218" s="630"/>
      <c r="BTX218" s="630"/>
      <c r="BTY218" s="630"/>
      <c r="BTZ218" s="630"/>
      <c r="BUA218" s="630"/>
      <c r="BUB218" s="630"/>
      <c r="BUC218" s="630"/>
      <c r="BUD218" s="630"/>
      <c r="BUE218" s="630"/>
      <c r="BUF218" s="630"/>
      <c r="BUG218" s="630"/>
      <c r="BUH218" s="630"/>
      <c r="BUI218" s="630"/>
      <c r="BUJ218" s="630"/>
      <c r="BUK218" s="630"/>
      <c r="BUL218" s="630"/>
      <c r="BUM218" s="630"/>
      <c r="BUN218" s="630"/>
      <c r="BUO218" s="630"/>
      <c r="BUP218" s="630"/>
      <c r="BUQ218" s="630"/>
      <c r="BUR218" s="630"/>
      <c r="BUS218" s="630"/>
      <c r="BUT218" s="630"/>
      <c r="BUU218" s="630"/>
      <c r="BUV218" s="630"/>
      <c r="BUW218" s="630"/>
      <c r="BUX218" s="630"/>
      <c r="BUY218" s="630"/>
      <c r="BUZ218" s="630"/>
      <c r="BVA218" s="630"/>
      <c r="BVB218" s="630"/>
      <c r="BVC218" s="630"/>
      <c r="BVD218" s="630"/>
      <c r="BVE218" s="630"/>
      <c r="BVF218" s="630"/>
      <c r="BVG218" s="630"/>
      <c r="BVH218" s="630"/>
      <c r="BVI218" s="630"/>
      <c r="BVJ218" s="630"/>
      <c r="BVK218" s="630"/>
      <c r="BVL218" s="630"/>
      <c r="BVM218" s="630"/>
      <c r="BVN218" s="630"/>
      <c r="BVO218" s="630"/>
      <c r="BVP218" s="630"/>
      <c r="BVQ218" s="630"/>
      <c r="BVR218" s="630"/>
      <c r="BVS218" s="630"/>
      <c r="BVT218" s="630"/>
      <c r="BVU218" s="630"/>
      <c r="BVV218" s="630"/>
      <c r="BVW218" s="630"/>
      <c r="BVX218" s="630"/>
      <c r="BVY218" s="630"/>
      <c r="BVZ218" s="630"/>
      <c r="BWA218" s="630"/>
      <c r="BWB218" s="630"/>
      <c r="BWC218" s="630"/>
      <c r="BWD218" s="630"/>
      <c r="BWE218" s="630"/>
      <c r="BWF218" s="630"/>
      <c r="BWG218" s="630"/>
      <c r="BWH218" s="630"/>
      <c r="BWI218" s="630"/>
      <c r="BWJ218" s="630"/>
      <c r="BWK218" s="630"/>
      <c r="BWL218" s="630"/>
      <c r="BWM218" s="630"/>
      <c r="BWN218" s="630"/>
      <c r="BWO218" s="630"/>
      <c r="BWP218" s="630"/>
      <c r="BWQ218" s="630"/>
      <c r="BWR218" s="630"/>
      <c r="BWS218" s="630"/>
      <c r="BWT218" s="630"/>
      <c r="BWU218" s="630"/>
      <c r="BWV218" s="630"/>
      <c r="BWW218" s="630"/>
      <c r="BWX218" s="630"/>
      <c r="BWY218" s="630"/>
      <c r="BWZ218" s="630"/>
      <c r="BXA218" s="630"/>
      <c r="BXB218" s="630"/>
      <c r="BXC218" s="630"/>
      <c r="BXD218" s="630"/>
      <c r="BXE218" s="630"/>
      <c r="BXF218" s="630"/>
      <c r="BXG218" s="630"/>
      <c r="BXH218" s="630"/>
      <c r="BXI218" s="630"/>
      <c r="BXJ218" s="630"/>
      <c r="BXK218" s="630"/>
      <c r="BXL218" s="630"/>
      <c r="BXM218" s="630"/>
      <c r="BXN218" s="630"/>
      <c r="BXO218" s="630"/>
      <c r="BXP218" s="630"/>
      <c r="BXQ218" s="630"/>
      <c r="BXR218" s="630"/>
      <c r="BXS218" s="630"/>
      <c r="BXT218" s="630"/>
      <c r="BXU218" s="630"/>
      <c r="BXV218" s="630"/>
      <c r="BXW218" s="630"/>
      <c r="BXX218" s="630"/>
      <c r="BXY218" s="630"/>
      <c r="BXZ218" s="630"/>
      <c r="BYA218" s="630"/>
      <c r="BYB218" s="630"/>
      <c r="BYC218" s="630"/>
      <c r="BYD218" s="630"/>
      <c r="BYE218" s="630"/>
      <c r="BYF218" s="630"/>
      <c r="BYG218" s="630"/>
      <c r="BYH218" s="630"/>
      <c r="BYI218" s="630"/>
      <c r="BYJ218" s="630"/>
      <c r="BYK218" s="630"/>
      <c r="BYL218" s="630"/>
      <c r="BYM218" s="630"/>
      <c r="BYN218" s="630"/>
      <c r="BYO218" s="630"/>
      <c r="BYP218" s="630"/>
      <c r="BYQ218" s="630"/>
      <c r="BYR218" s="630"/>
      <c r="BYS218" s="630"/>
      <c r="BYT218" s="630"/>
      <c r="BYU218" s="630"/>
      <c r="BYV218" s="630"/>
      <c r="BYW218" s="630"/>
      <c r="BYX218" s="630"/>
      <c r="BYY218" s="630"/>
      <c r="BYZ218" s="630"/>
      <c r="BZA218" s="630"/>
      <c r="BZB218" s="630"/>
      <c r="BZC218" s="630"/>
      <c r="BZD218" s="630"/>
      <c r="BZE218" s="630"/>
      <c r="BZF218" s="630"/>
      <c r="BZG218" s="630"/>
      <c r="BZH218" s="630"/>
      <c r="BZI218" s="630"/>
      <c r="BZJ218" s="630"/>
      <c r="BZK218" s="630"/>
      <c r="BZL218" s="630"/>
      <c r="BZM218" s="630"/>
      <c r="BZN218" s="630"/>
      <c r="BZO218" s="630"/>
      <c r="BZP218" s="630"/>
      <c r="BZQ218" s="630"/>
      <c r="BZR218" s="630"/>
      <c r="BZS218" s="630"/>
      <c r="BZT218" s="630"/>
      <c r="BZU218" s="630"/>
      <c r="BZV218" s="630"/>
      <c r="BZW218" s="630"/>
      <c r="BZX218" s="630"/>
      <c r="BZY218" s="630"/>
      <c r="BZZ218" s="630"/>
      <c r="CAA218" s="630"/>
      <c r="CAB218" s="630"/>
      <c r="CAC218" s="630"/>
      <c r="CAD218" s="630"/>
      <c r="CAE218" s="630"/>
      <c r="CAF218" s="630"/>
      <c r="CAG218" s="630"/>
      <c r="CAH218" s="630"/>
      <c r="CAI218" s="630"/>
      <c r="CAJ218" s="630"/>
      <c r="CAK218" s="630"/>
      <c r="CAL218" s="630"/>
      <c r="CAM218" s="630"/>
      <c r="CAN218" s="630"/>
      <c r="CAO218" s="630"/>
      <c r="CAP218" s="630"/>
      <c r="CAQ218" s="630"/>
      <c r="CAR218" s="630"/>
      <c r="CAS218" s="630"/>
      <c r="CAT218" s="630"/>
      <c r="CAU218" s="630"/>
      <c r="CAV218" s="630"/>
      <c r="CAW218" s="630"/>
      <c r="CAX218" s="630"/>
      <c r="CAY218" s="630"/>
      <c r="CAZ218" s="630"/>
      <c r="CBA218" s="630"/>
      <c r="CBB218" s="630"/>
      <c r="CBC218" s="630"/>
      <c r="CBD218" s="630"/>
      <c r="CBE218" s="630"/>
      <c r="CBF218" s="630"/>
      <c r="CBG218" s="630"/>
      <c r="CBH218" s="630"/>
      <c r="CBI218" s="630"/>
      <c r="CBJ218" s="630"/>
      <c r="CBK218" s="630"/>
      <c r="CBL218" s="630"/>
      <c r="CBM218" s="630"/>
      <c r="CBN218" s="630"/>
      <c r="CBO218" s="630"/>
      <c r="CBP218" s="630"/>
      <c r="CBQ218" s="630"/>
      <c r="CBR218" s="630"/>
      <c r="CBS218" s="630"/>
      <c r="CBT218" s="630"/>
      <c r="CBU218" s="630"/>
      <c r="CBV218" s="630"/>
      <c r="CBW218" s="630"/>
      <c r="CBX218" s="630"/>
      <c r="CBY218" s="630"/>
      <c r="CBZ218" s="630"/>
      <c r="CCA218" s="630"/>
      <c r="CCB218" s="630"/>
      <c r="CCC218" s="630"/>
      <c r="CCD218" s="630"/>
      <c r="CCE218" s="630"/>
      <c r="CCF218" s="630"/>
      <c r="CCG218" s="630"/>
      <c r="CCH218" s="630"/>
      <c r="CCI218" s="630"/>
      <c r="CCJ218" s="630"/>
      <c r="CCK218" s="630"/>
      <c r="CCL218" s="630"/>
      <c r="CCM218" s="630"/>
      <c r="CCN218" s="630"/>
      <c r="CCO218" s="630"/>
      <c r="CCP218" s="630"/>
      <c r="CCQ218" s="630"/>
      <c r="CCR218" s="630"/>
      <c r="CCS218" s="630"/>
      <c r="CCT218" s="630"/>
      <c r="CCU218" s="630"/>
      <c r="CCV218" s="630"/>
      <c r="CCW218" s="630"/>
      <c r="CCX218" s="630"/>
      <c r="CCY218" s="630"/>
      <c r="CCZ218" s="630"/>
      <c r="CDA218" s="630"/>
      <c r="CDB218" s="630"/>
      <c r="CDC218" s="630"/>
      <c r="CDD218" s="630"/>
      <c r="CDE218" s="630"/>
      <c r="CDF218" s="630"/>
      <c r="CDG218" s="630"/>
      <c r="CDH218" s="630"/>
      <c r="CDI218" s="630"/>
      <c r="CDJ218" s="630"/>
      <c r="CDK218" s="630"/>
      <c r="CDL218" s="630"/>
      <c r="CDM218" s="630"/>
      <c r="CDN218" s="630"/>
      <c r="CDO218" s="630"/>
      <c r="CDP218" s="630"/>
      <c r="CDQ218" s="630"/>
      <c r="CDR218" s="630"/>
      <c r="CDS218" s="630"/>
      <c r="CDT218" s="630"/>
      <c r="CDU218" s="630"/>
      <c r="CDV218" s="630"/>
      <c r="CDW218" s="630"/>
      <c r="CDX218" s="630"/>
      <c r="CDY218" s="630"/>
      <c r="CDZ218" s="630"/>
      <c r="CEA218" s="630"/>
      <c r="CEB218" s="630"/>
      <c r="CEC218" s="630"/>
      <c r="CED218" s="630"/>
      <c r="CEE218" s="630"/>
      <c r="CEF218" s="630"/>
      <c r="CEG218" s="630"/>
      <c r="CEH218" s="630"/>
      <c r="CEI218" s="630"/>
      <c r="CEJ218" s="630"/>
      <c r="CEK218" s="630"/>
      <c r="CEL218" s="630"/>
      <c r="CEM218" s="630"/>
      <c r="CEN218" s="630"/>
      <c r="CEO218" s="630"/>
      <c r="CEP218" s="630"/>
      <c r="CEQ218" s="630"/>
      <c r="CER218" s="630"/>
      <c r="CES218" s="630"/>
      <c r="CET218" s="630"/>
      <c r="CEU218" s="630"/>
      <c r="CEV218" s="630"/>
      <c r="CEW218" s="630"/>
      <c r="CEX218" s="630"/>
      <c r="CEY218" s="630"/>
      <c r="CEZ218" s="630"/>
      <c r="CFA218" s="630"/>
      <c r="CFB218" s="630"/>
      <c r="CFC218" s="630"/>
      <c r="CFD218" s="630"/>
      <c r="CFE218" s="630"/>
      <c r="CFF218" s="630"/>
      <c r="CFG218" s="630"/>
      <c r="CFH218" s="630"/>
      <c r="CFI218" s="630"/>
      <c r="CFJ218" s="630"/>
      <c r="CFK218" s="630"/>
      <c r="CFL218" s="630"/>
      <c r="CFM218" s="630"/>
      <c r="CFN218" s="630"/>
      <c r="CFO218" s="630"/>
      <c r="CFP218" s="630"/>
      <c r="CFQ218" s="630"/>
      <c r="CFR218" s="630"/>
      <c r="CFS218" s="630"/>
      <c r="CFT218" s="630"/>
      <c r="CFU218" s="630"/>
      <c r="CFV218" s="630"/>
      <c r="CFW218" s="630"/>
      <c r="CFX218" s="630"/>
      <c r="CFY218" s="630"/>
      <c r="CFZ218" s="630"/>
      <c r="CGA218" s="630"/>
      <c r="CGB218" s="630"/>
      <c r="CGC218" s="630"/>
      <c r="CGD218" s="630"/>
      <c r="CGE218" s="630"/>
      <c r="CGF218" s="630"/>
      <c r="CGG218" s="630"/>
      <c r="CGH218" s="630"/>
      <c r="CGI218" s="630"/>
      <c r="CGJ218" s="630"/>
      <c r="CGK218" s="630"/>
      <c r="CGL218" s="630"/>
      <c r="CGM218" s="630"/>
      <c r="CGN218" s="630"/>
      <c r="CGO218" s="630"/>
      <c r="CGP218" s="630"/>
      <c r="CGQ218" s="630"/>
      <c r="CGR218" s="630"/>
      <c r="CGS218" s="630"/>
      <c r="CGT218" s="630"/>
      <c r="CGU218" s="630"/>
      <c r="CGV218" s="630"/>
      <c r="CGW218" s="630"/>
      <c r="CGX218" s="630"/>
      <c r="CGY218" s="630"/>
      <c r="CGZ218" s="630"/>
      <c r="CHA218" s="630"/>
      <c r="CHB218" s="630"/>
      <c r="CHC218" s="630"/>
      <c r="CHD218" s="630"/>
      <c r="CHE218" s="630"/>
      <c r="CHF218" s="630"/>
      <c r="CHG218" s="630"/>
      <c r="CHH218" s="630"/>
      <c r="CHI218" s="630"/>
      <c r="CHJ218" s="630"/>
      <c r="CHK218" s="630"/>
      <c r="CHL218" s="630"/>
      <c r="CHM218" s="630"/>
      <c r="CHN218" s="630"/>
      <c r="CHO218" s="630"/>
      <c r="CHP218" s="630"/>
      <c r="CHQ218" s="630"/>
      <c r="CHR218" s="630"/>
      <c r="CHS218" s="630"/>
      <c r="CHT218" s="630"/>
      <c r="CHU218" s="630"/>
      <c r="CHV218" s="630"/>
      <c r="CHW218" s="630"/>
      <c r="CHX218" s="630"/>
      <c r="CHY218" s="630"/>
      <c r="CHZ218" s="630"/>
      <c r="CIA218" s="630"/>
      <c r="CIB218" s="630"/>
      <c r="CIC218" s="630"/>
      <c r="CID218" s="630"/>
      <c r="CIE218" s="630"/>
      <c r="CIF218" s="630"/>
      <c r="CIG218" s="630"/>
      <c r="CIH218" s="630"/>
      <c r="CII218" s="630"/>
      <c r="CIJ218" s="630"/>
      <c r="CIK218" s="630"/>
      <c r="CIL218" s="630"/>
      <c r="CIM218" s="630"/>
      <c r="CIN218" s="630"/>
      <c r="CIO218" s="630"/>
      <c r="CIP218" s="630"/>
      <c r="CIQ218" s="630"/>
      <c r="CIR218" s="630"/>
      <c r="CIS218" s="630"/>
      <c r="CIT218" s="630"/>
      <c r="CIU218" s="630"/>
      <c r="CIV218" s="630"/>
      <c r="CIW218" s="630"/>
      <c r="CIX218" s="630"/>
      <c r="CIY218" s="630"/>
      <c r="CIZ218" s="630"/>
      <c r="CJA218" s="630"/>
      <c r="CJB218" s="630"/>
      <c r="CJC218" s="630"/>
      <c r="CJD218" s="630"/>
      <c r="CJE218" s="630"/>
      <c r="CJF218" s="630"/>
      <c r="CJG218" s="630"/>
      <c r="CJH218" s="630"/>
      <c r="CJI218" s="630"/>
      <c r="CJJ218" s="630"/>
      <c r="CJK218" s="630"/>
      <c r="CJL218" s="630"/>
      <c r="CJM218" s="630"/>
      <c r="CJN218" s="630"/>
      <c r="CJO218" s="630"/>
      <c r="CJP218" s="630"/>
      <c r="CJQ218" s="630"/>
      <c r="CJR218" s="630"/>
      <c r="CJS218" s="630"/>
      <c r="CJT218" s="630"/>
      <c r="CJU218" s="630"/>
      <c r="CJV218" s="630"/>
      <c r="CJW218" s="630"/>
      <c r="CJX218" s="630"/>
      <c r="CJY218" s="630"/>
      <c r="CJZ218" s="630"/>
      <c r="CKA218" s="630"/>
      <c r="CKB218" s="630"/>
      <c r="CKC218" s="630"/>
      <c r="CKD218" s="630"/>
      <c r="CKE218" s="630"/>
      <c r="CKF218" s="630"/>
      <c r="CKG218" s="630"/>
      <c r="CKH218" s="630"/>
      <c r="CKI218" s="630"/>
      <c r="CKJ218" s="630"/>
      <c r="CKK218" s="630"/>
      <c r="CKL218" s="630"/>
      <c r="CKM218" s="630"/>
      <c r="CKN218" s="630"/>
      <c r="CKO218" s="630"/>
      <c r="CKP218" s="630"/>
      <c r="CKQ218" s="630"/>
      <c r="CKR218" s="630"/>
      <c r="CKS218" s="630"/>
      <c r="CKT218" s="630"/>
      <c r="CKU218" s="630"/>
      <c r="CKV218" s="630"/>
      <c r="CKW218" s="630"/>
      <c r="CKX218" s="630"/>
      <c r="CKY218" s="630"/>
      <c r="CKZ218" s="630"/>
      <c r="CLA218" s="630"/>
      <c r="CLB218" s="630"/>
      <c r="CLC218" s="630"/>
      <c r="CLD218" s="630"/>
      <c r="CLE218" s="630"/>
      <c r="CLF218" s="630"/>
      <c r="CLG218" s="630"/>
      <c r="CLH218" s="630"/>
      <c r="CLI218" s="630"/>
      <c r="CLJ218" s="630"/>
      <c r="CLK218" s="630"/>
      <c r="CLL218" s="630"/>
      <c r="CLM218" s="630"/>
      <c r="CLN218" s="630"/>
      <c r="CLO218" s="630"/>
      <c r="CLP218" s="630"/>
      <c r="CLQ218" s="630"/>
      <c r="CLR218" s="630"/>
      <c r="CLS218" s="630"/>
      <c r="CLT218" s="630"/>
      <c r="CLU218" s="630"/>
      <c r="CLV218" s="630"/>
      <c r="CLW218" s="630"/>
      <c r="CLX218" s="630"/>
      <c r="CLY218" s="630"/>
      <c r="CLZ218" s="630"/>
      <c r="CMA218" s="630"/>
      <c r="CMB218" s="630"/>
      <c r="CMC218" s="630"/>
      <c r="CMD218" s="630"/>
      <c r="CME218" s="630"/>
      <c r="CMF218" s="630"/>
      <c r="CMG218" s="630"/>
      <c r="CMH218" s="630"/>
      <c r="CMI218" s="630"/>
      <c r="CMJ218" s="630"/>
      <c r="CMK218" s="630"/>
      <c r="CML218" s="630"/>
      <c r="CMM218" s="630"/>
      <c r="CMN218" s="630"/>
      <c r="CMO218" s="630"/>
      <c r="CMP218" s="630"/>
      <c r="CMQ218" s="630"/>
      <c r="CMR218" s="630"/>
      <c r="CMS218" s="630"/>
      <c r="CMT218" s="630"/>
      <c r="CMU218" s="630"/>
      <c r="CMV218" s="630"/>
      <c r="CMW218" s="630"/>
      <c r="CMX218" s="630"/>
      <c r="CMY218" s="630"/>
      <c r="CMZ218" s="630"/>
      <c r="CNA218" s="630"/>
      <c r="CNB218" s="630"/>
      <c r="CNC218" s="630"/>
      <c r="CND218" s="630"/>
      <c r="CNE218" s="630"/>
      <c r="CNF218" s="630"/>
      <c r="CNG218" s="630"/>
      <c r="CNH218" s="630"/>
      <c r="CNI218" s="630"/>
      <c r="CNJ218" s="630"/>
      <c r="CNK218" s="630"/>
      <c r="CNL218" s="630"/>
      <c r="CNM218" s="630"/>
      <c r="CNN218" s="630"/>
      <c r="CNO218" s="630"/>
      <c r="CNP218" s="630"/>
      <c r="CNQ218" s="630"/>
      <c r="CNR218" s="630"/>
      <c r="CNS218" s="630"/>
      <c r="CNT218" s="630"/>
      <c r="CNU218" s="630"/>
      <c r="CNV218" s="630"/>
      <c r="CNW218" s="630"/>
      <c r="CNX218" s="630"/>
      <c r="CNY218" s="630"/>
      <c r="CNZ218" s="630"/>
      <c r="COA218" s="630"/>
      <c r="COB218" s="630"/>
      <c r="COC218" s="630"/>
      <c r="COD218" s="630"/>
      <c r="COE218" s="630"/>
      <c r="COF218" s="630"/>
      <c r="COG218" s="630"/>
      <c r="COH218" s="630"/>
      <c r="COI218" s="630"/>
      <c r="COJ218" s="630"/>
      <c r="COK218" s="630"/>
      <c r="COL218" s="630"/>
      <c r="COM218" s="630"/>
      <c r="CON218" s="630"/>
      <c r="COO218" s="630"/>
      <c r="COP218" s="630"/>
      <c r="COQ218" s="630"/>
      <c r="COR218" s="630"/>
      <c r="COS218" s="630"/>
      <c r="COT218" s="630"/>
      <c r="COU218" s="630"/>
      <c r="COV218" s="630"/>
      <c r="COW218" s="630"/>
      <c r="COX218" s="630"/>
      <c r="COY218" s="630"/>
      <c r="COZ218" s="630"/>
      <c r="CPA218" s="630"/>
      <c r="CPB218" s="630"/>
      <c r="CPC218" s="630"/>
      <c r="CPD218" s="630"/>
      <c r="CPE218" s="630"/>
      <c r="CPF218" s="630"/>
      <c r="CPG218" s="630"/>
      <c r="CPH218" s="630"/>
      <c r="CPI218" s="630"/>
      <c r="CPJ218" s="630"/>
      <c r="CPK218" s="630"/>
      <c r="CPL218" s="630"/>
      <c r="CPM218" s="630"/>
      <c r="CPN218" s="630"/>
      <c r="CPO218" s="630"/>
      <c r="CPP218" s="630"/>
      <c r="CPQ218" s="630"/>
      <c r="CPR218" s="630"/>
      <c r="CPS218" s="630"/>
      <c r="CPT218" s="630"/>
      <c r="CPU218" s="630"/>
      <c r="CPV218" s="630"/>
      <c r="CPW218" s="630"/>
      <c r="CPX218" s="630"/>
      <c r="CPY218" s="630"/>
      <c r="CPZ218" s="630"/>
      <c r="CQA218" s="630"/>
      <c r="CQB218" s="630"/>
      <c r="CQC218" s="630"/>
      <c r="CQD218" s="630"/>
      <c r="CQE218" s="630"/>
      <c r="CQF218" s="630"/>
      <c r="CQG218" s="630"/>
      <c r="CQH218" s="630"/>
      <c r="CQI218" s="630"/>
      <c r="CQJ218" s="630"/>
      <c r="CQK218" s="630"/>
      <c r="CQL218" s="630"/>
      <c r="CQM218" s="630"/>
      <c r="CQN218" s="630"/>
      <c r="CQO218" s="630"/>
      <c r="CQP218" s="630"/>
      <c r="CQQ218" s="630"/>
      <c r="CQR218" s="630"/>
      <c r="CQS218" s="630"/>
      <c r="CQT218" s="630"/>
      <c r="CQU218" s="630"/>
      <c r="CQV218" s="630"/>
      <c r="CQW218" s="630"/>
      <c r="CQX218" s="630"/>
      <c r="CQY218" s="630"/>
      <c r="CQZ218" s="630"/>
      <c r="CRA218" s="630"/>
      <c r="CRB218" s="630"/>
      <c r="CRC218" s="630"/>
      <c r="CRD218" s="630"/>
      <c r="CRE218" s="630"/>
      <c r="CRF218" s="630"/>
      <c r="CRG218" s="630"/>
      <c r="CRH218" s="630"/>
      <c r="CRI218" s="630"/>
      <c r="CRJ218" s="630"/>
      <c r="CRK218" s="630"/>
      <c r="CRL218" s="630"/>
      <c r="CRM218" s="630"/>
      <c r="CRN218" s="630"/>
      <c r="CRO218" s="630"/>
      <c r="CRP218" s="630"/>
      <c r="CRQ218" s="630"/>
      <c r="CRR218" s="630"/>
      <c r="CRS218" s="630"/>
      <c r="CRT218" s="630"/>
      <c r="CRU218" s="630"/>
      <c r="CRV218" s="630"/>
      <c r="CRW218" s="630"/>
      <c r="CRX218" s="630"/>
      <c r="CRY218" s="630"/>
      <c r="CRZ218" s="630"/>
      <c r="CSA218" s="630"/>
      <c r="CSB218" s="630"/>
      <c r="CSC218" s="630"/>
      <c r="CSD218" s="630"/>
      <c r="CSE218" s="630"/>
      <c r="CSF218" s="630"/>
      <c r="CSG218" s="630"/>
      <c r="CSH218" s="630"/>
      <c r="CSI218" s="630"/>
      <c r="CSJ218" s="630"/>
      <c r="CSK218" s="630"/>
      <c r="CSL218" s="630"/>
      <c r="CSM218" s="630"/>
      <c r="CSN218" s="630"/>
      <c r="CSO218" s="630"/>
      <c r="CSP218" s="630"/>
      <c r="CSQ218" s="630"/>
      <c r="CSR218" s="630"/>
      <c r="CSS218" s="630"/>
      <c r="CST218" s="630"/>
      <c r="CSU218" s="630"/>
      <c r="CSV218" s="630"/>
      <c r="CSW218" s="630"/>
      <c r="CSX218" s="630"/>
      <c r="CSY218" s="630"/>
      <c r="CSZ218" s="630"/>
      <c r="CTA218" s="630"/>
      <c r="CTB218" s="630"/>
      <c r="CTC218" s="630"/>
      <c r="CTD218" s="630"/>
      <c r="CTE218" s="630"/>
      <c r="CTF218" s="630"/>
      <c r="CTG218" s="630"/>
      <c r="CTH218" s="630"/>
      <c r="CTI218" s="630"/>
      <c r="CTJ218" s="630"/>
      <c r="CTK218" s="630"/>
      <c r="CTL218" s="630"/>
      <c r="CTM218" s="630"/>
      <c r="CTN218" s="630"/>
      <c r="CTO218" s="630"/>
      <c r="CTP218" s="630"/>
      <c r="CTQ218" s="630"/>
      <c r="CTR218" s="630"/>
      <c r="CTS218" s="630"/>
      <c r="CTT218" s="630"/>
      <c r="CTU218" s="630"/>
      <c r="CTV218" s="630"/>
      <c r="CTW218" s="630"/>
      <c r="CTX218" s="630"/>
      <c r="CTY218" s="630"/>
      <c r="CTZ218" s="630"/>
      <c r="CUA218" s="630"/>
      <c r="CUB218" s="630"/>
      <c r="CUC218" s="630"/>
      <c r="CUD218" s="630"/>
      <c r="CUE218" s="630"/>
      <c r="CUF218" s="630"/>
      <c r="CUG218" s="630"/>
      <c r="CUH218" s="630"/>
      <c r="CUI218" s="630"/>
      <c r="CUJ218" s="630"/>
      <c r="CUK218" s="630"/>
      <c r="CUL218" s="630"/>
      <c r="CUM218" s="630"/>
      <c r="CUN218" s="630"/>
      <c r="CUO218" s="630"/>
      <c r="CUP218" s="630"/>
      <c r="CUQ218" s="630"/>
      <c r="CUR218" s="630"/>
      <c r="CUS218" s="630"/>
      <c r="CUT218" s="630"/>
      <c r="CUU218" s="630"/>
      <c r="CUV218" s="630"/>
      <c r="CUW218" s="630"/>
      <c r="CUX218" s="630"/>
      <c r="CUY218" s="630"/>
      <c r="CUZ218" s="630"/>
      <c r="CVA218" s="630"/>
      <c r="CVB218" s="630"/>
      <c r="CVC218" s="630"/>
      <c r="CVD218" s="630"/>
      <c r="CVE218" s="630"/>
      <c r="CVF218" s="630"/>
      <c r="CVG218" s="630"/>
      <c r="CVH218" s="630"/>
      <c r="CVI218" s="630"/>
      <c r="CVJ218" s="630"/>
      <c r="CVK218" s="630"/>
      <c r="CVL218" s="630"/>
      <c r="CVM218" s="630"/>
      <c r="CVN218" s="630"/>
      <c r="CVO218" s="630"/>
      <c r="CVP218" s="630"/>
      <c r="CVQ218" s="630"/>
      <c r="CVR218" s="630"/>
      <c r="CVS218" s="630"/>
      <c r="CVT218" s="630"/>
      <c r="CVU218" s="630"/>
      <c r="CVV218" s="630"/>
      <c r="CVW218" s="630"/>
      <c r="CVX218" s="630"/>
      <c r="CVY218" s="630"/>
      <c r="CVZ218" s="630"/>
      <c r="CWA218" s="630"/>
      <c r="CWB218" s="630"/>
      <c r="CWC218" s="630"/>
      <c r="CWD218" s="630"/>
      <c r="CWE218" s="630"/>
      <c r="CWF218" s="630"/>
      <c r="CWG218" s="630"/>
      <c r="CWH218" s="630"/>
      <c r="CWI218" s="630"/>
      <c r="CWJ218" s="630"/>
      <c r="CWK218" s="630"/>
      <c r="CWL218" s="630"/>
      <c r="CWM218" s="630"/>
      <c r="CWN218" s="630"/>
      <c r="CWO218" s="630"/>
      <c r="CWP218" s="630"/>
      <c r="CWQ218" s="630"/>
      <c r="CWR218" s="630"/>
      <c r="CWS218" s="630"/>
      <c r="CWT218" s="630"/>
      <c r="CWU218" s="630"/>
      <c r="CWV218" s="630"/>
      <c r="CWW218" s="630"/>
      <c r="CWX218" s="630"/>
      <c r="CWY218" s="630"/>
      <c r="CWZ218" s="630"/>
      <c r="CXA218" s="630"/>
      <c r="CXB218" s="630"/>
      <c r="CXC218" s="630"/>
      <c r="CXD218" s="630"/>
      <c r="CXE218" s="630"/>
      <c r="CXF218" s="630"/>
      <c r="CXG218" s="630"/>
      <c r="CXH218" s="630"/>
      <c r="CXI218" s="630"/>
      <c r="CXJ218" s="630"/>
      <c r="CXK218" s="630"/>
      <c r="CXL218" s="630"/>
      <c r="CXM218" s="630"/>
      <c r="CXN218" s="630"/>
      <c r="CXO218" s="630"/>
      <c r="CXP218" s="630"/>
      <c r="CXQ218" s="630"/>
      <c r="CXR218" s="630"/>
      <c r="CXS218" s="630"/>
      <c r="CXT218" s="630"/>
      <c r="CXU218" s="630"/>
      <c r="CXV218" s="630"/>
      <c r="CXW218" s="630"/>
      <c r="CXX218" s="630"/>
      <c r="CXY218" s="630"/>
      <c r="CXZ218" s="630"/>
      <c r="CYA218" s="630"/>
      <c r="CYB218" s="630"/>
      <c r="CYC218" s="630"/>
      <c r="CYD218" s="630"/>
      <c r="CYE218" s="630"/>
      <c r="CYF218" s="630"/>
      <c r="CYG218" s="630"/>
      <c r="CYH218" s="630"/>
      <c r="CYI218" s="630"/>
      <c r="CYJ218" s="630"/>
      <c r="CYK218" s="630"/>
      <c r="CYL218" s="630"/>
      <c r="CYM218" s="630"/>
      <c r="CYN218" s="630"/>
      <c r="CYO218" s="630"/>
      <c r="CYP218" s="630"/>
      <c r="CYQ218" s="630"/>
      <c r="CYR218" s="630"/>
      <c r="CYS218" s="630"/>
      <c r="CYT218" s="630"/>
      <c r="CYU218" s="630"/>
      <c r="CYV218" s="630"/>
      <c r="CYW218" s="630"/>
      <c r="CYX218" s="630"/>
      <c r="CYY218" s="630"/>
      <c r="CYZ218" s="630"/>
      <c r="CZA218" s="630"/>
      <c r="CZB218" s="630"/>
      <c r="CZC218" s="630"/>
      <c r="CZD218" s="630"/>
      <c r="CZE218" s="630"/>
      <c r="CZF218" s="630"/>
      <c r="CZG218" s="630"/>
      <c r="CZH218" s="630"/>
      <c r="CZI218" s="630"/>
      <c r="CZJ218" s="630"/>
      <c r="CZK218" s="630"/>
      <c r="CZL218" s="630"/>
      <c r="CZM218" s="630"/>
      <c r="CZN218" s="630"/>
      <c r="CZO218" s="630"/>
      <c r="CZP218" s="630"/>
      <c r="CZQ218" s="630"/>
      <c r="CZR218" s="630"/>
      <c r="CZS218" s="630"/>
      <c r="CZT218" s="630"/>
      <c r="CZU218" s="630"/>
      <c r="CZV218" s="630"/>
      <c r="CZW218" s="630"/>
      <c r="CZX218" s="630"/>
      <c r="CZY218" s="630"/>
      <c r="CZZ218" s="630"/>
      <c r="DAA218" s="630"/>
      <c r="DAB218" s="630"/>
      <c r="DAC218" s="630"/>
      <c r="DAD218" s="630"/>
      <c r="DAE218" s="630"/>
      <c r="DAF218" s="630"/>
      <c r="DAG218" s="630"/>
      <c r="DAH218" s="630"/>
      <c r="DAI218" s="630"/>
      <c r="DAJ218" s="630"/>
      <c r="DAK218" s="630"/>
      <c r="DAL218" s="630"/>
      <c r="DAM218" s="630"/>
      <c r="DAN218" s="630"/>
      <c r="DAO218" s="630"/>
      <c r="DAP218" s="630"/>
      <c r="DAQ218" s="630"/>
      <c r="DAR218" s="630"/>
      <c r="DAS218" s="630"/>
      <c r="DAT218" s="630"/>
      <c r="DAU218" s="630"/>
      <c r="DAV218" s="630"/>
      <c r="DAW218" s="630"/>
      <c r="DAX218" s="630"/>
      <c r="DAY218" s="630"/>
      <c r="DAZ218" s="630"/>
      <c r="DBA218" s="630"/>
      <c r="DBB218" s="630"/>
      <c r="DBC218" s="630"/>
      <c r="DBD218" s="630"/>
      <c r="DBE218" s="630"/>
      <c r="DBF218" s="630"/>
      <c r="DBG218" s="630"/>
      <c r="DBH218" s="630"/>
      <c r="DBI218" s="630"/>
      <c r="DBJ218" s="630"/>
      <c r="DBK218" s="630"/>
      <c r="DBL218" s="630"/>
      <c r="DBM218" s="630"/>
      <c r="DBN218" s="630"/>
      <c r="DBO218" s="630"/>
      <c r="DBP218" s="630"/>
      <c r="DBQ218" s="630"/>
      <c r="DBR218" s="630"/>
      <c r="DBS218" s="630"/>
      <c r="DBT218" s="630"/>
      <c r="DBU218" s="630"/>
      <c r="DBV218" s="630"/>
      <c r="DBW218" s="630"/>
      <c r="DBX218" s="630"/>
      <c r="DBY218" s="630"/>
      <c r="DBZ218" s="630"/>
      <c r="DCA218" s="630"/>
      <c r="DCB218" s="630"/>
      <c r="DCC218" s="630"/>
      <c r="DCD218" s="630"/>
      <c r="DCE218" s="630"/>
      <c r="DCF218" s="630"/>
      <c r="DCG218" s="630"/>
      <c r="DCH218" s="630"/>
      <c r="DCI218" s="630"/>
      <c r="DCJ218" s="630"/>
      <c r="DCK218" s="630"/>
      <c r="DCL218" s="630"/>
      <c r="DCM218" s="630"/>
      <c r="DCN218" s="630"/>
      <c r="DCO218" s="630"/>
      <c r="DCP218" s="630"/>
      <c r="DCQ218" s="630"/>
      <c r="DCR218" s="630"/>
      <c r="DCS218" s="630"/>
      <c r="DCT218" s="630"/>
      <c r="DCU218" s="630"/>
      <c r="DCV218" s="630"/>
      <c r="DCW218" s="630"/>
      <c r="DCX218" s="630"/>
      <c r="DCY218" s="630"/>
      <c r="DCZ218" s="630"/>
      <c r="DDA218" s="630"/>
      <c r="DDB218" s="630"/>
      <c r="DDC218" s="630"/>
      <c r="DDD218" s="630"/>
      <c r="DDE218" s="630"/>
      <c r="DDF218" s="630"/>
      <c r="DDG218" s="630"/>
      <c r="DDH218" s="630"/>
      <c r="DDI218" s="630"/>
      <c r="DDJ218" s="630"/>
      <c r="DDK218" s="630"/>
      <c r="DDL218" s="630"/>
      <c r="DDM218" s="630"/>
      <c r="DDN218" s="630"/>
      <c r="DDO218" s="630"/>
      <c r="DDP218" s="630"/>
      <c r="DDQ218" s="630"/>
      <c r="DDR218" s="630"/>
      <c r="DDS218" s="630"/>
      <c r="DDT218" s="630"/>
      <c r="DDU218" s="630"/>
      <c r="DDV218" s="630"/>
      <c r="DDW218" s="630"/>
      <c r="DDX218" s="630"/>
      <c r="DDY218" s="630"/>
      <c r="DDZ218" s="630"/>
      <c r="DEA218" s="630"/>
      <c r="DEB218" s="630"/>
      <c r="DEC218" s="630"/>
      <c r="DED218" s="630"/>
      <c r="DEE218" s="630"/>
      <c r="DEF218" s="630"/>
      <c r="DEG218" s="630"/>
      <c r="DEH218" s="630"/>
      <c r="DEI218" s="630"/>
      <c r="DEJ218" s="630"/>
      <c r="DEK218" s="630"/>
      <c r="DEL218" s="630"/>
      <c r="DEM218" s="630"/>
      <c r="DEN218" s="630"/>
      <c r="DEO218" s="630"/>
      <c r="DEP218" s="630"/>
      <c r="DEQ218" s="630"/>
      <c r="DER218" s="630"/>
      <c r="DES218" s="630"/>
      <c r="DET218" s="630"/>
      <c r="DEU218" s="630"/>
      <c r="DEV218" s="630"/>
      <c r="DEW218" s="630"/>
      <c r="DEX218" s="630"/>
      <c r="DEY218" s="630"/>
      <c r="DEZ218" s="630"/>
      <c r="DFA218" s="630"/>
      <c r="DFB218" s="630"/>
      <c r="DFC218" s="630"/>
      <c r="DFD218" s="630"/>
      <c r="DFE218" s="630"/>
      <c r="DFF218" s="630"/>
      <c r="DFG218" s="630"/>
      <c r="DFH218" s="630"/>
      <c r="DFI218" s="630"/>
      <c r="DFJ218" s="630"/>
      <c r="DFK218" s="630"/>
      <c r="DFL218" s="630"/>
      <c r="DFM218" s="630"/>
      <c r="DFN218" s="630"/>
      <c r="DFO218" s="630"/>
      <c r="DFP218" s="630"/>
      <c r="DFQ218" s="630"/>
      <c r="DFR218" s="630"/>
      <c r="DFS218" s="630"/>
      <c r="DFT218" s="630"/>
      <c r="DFU218" s="630"/>
      <c r="DFV218" s="630"/>
      <c r="DFW218" s="630"/>
      <c r="DFX218" s="630"/>
      <c r="DFY218" s="630"/>
      <c r="DFZ218" s="630"/>
      <c r="DGA218" s="630"/>
      <c r="DGB218" s="630"/>
      <c r="DGC218" s="630"/>
      <c r="DGD218" s="630"/>
      <c r="DGE218" s="630"/>
      <c r="DGF218" s="630"/>
      <c r="DGG218" s="630"/>
      <c r="DGH218" s="630"/>
      <c r="DGI218" s="630"/>
      <c r="DGJ218" s="630"/>
      <c r="DGK218" s="630"/>
      <c r="DGL218" s="630"/>
      <c r="DGM218" s="630"/>
      <c r="DGN218" s="630"/>
      <c r="DGO218" s="630"/>
      <c r="DGP218" s="630"/>
      <c r="DGQ218" s="630"/>
      <c r="DGR218" s="630"/>
      <c r="DGS218" s="630"/>
      <c r="DGT218" s="630"/>
      <c r="DGU218" s="630"/>
      <c r="DGV218" s="630"/>
      <c r="DGW218" s="630"/>
      <c r="DGX218" s="630"/>
      <c r="DGY218" s="630"/>
      <c r="DGZ218" s="630"/>
      <c r="DHA218" s="630"/>
      <c r="DHB218" s="630"/>
      <c r="DHC218" s="630"/>
      <c r="DHD218" s="630"/>
      <c r="DHE218" s="630"/>
      <c r="DHF218" s="630"/>
      <c r="DHG218" s="630"/>
      <c r="DHH218" s="630"/>
      <c r="DHI218" s="630"/>
      <c r="DHJ218" s="630"/>
      <c r="DHK218" s="630"/>
      <c r="DHL218" s="630"/>
      <c r="DHM218" s="630"/>
      <c r="DHN218" s="630"/>
      <c r="DHO218" s="630"/>
      <c r="DHP218" s="630"/>
      <c r="DHQ218" s="630"/>
      <c r="DHR218" s="630"/>
      <c r="DHS218" s="630"/>
      <c r="DHT218" s="630"/>
      <c r="DHU218" s="630"/>
      <c r="DHV218" s="630"/>
      <c r="DHW218" s="630"/>
      <c r="DHX218" s="630"/>
      <c r="DHY218" s="630"/>
      <c r="DHZ218" s="630"/>
      <c r="DIA218" s="630"/>
      <c r="DIB218" s="630"/>
      <c r="DIC218" s="630"/>
      <c r="DID218" s="630"/>
      <c r="DIE218" s="630"/>
      <c r="DIF218" s="630"/>
      <c r="DIG218" s="630"/>
      <c r="DIH218" s="630"/>
      <c r="DII218" s="630"/>
      <c r="DIJ218" s="630"/>
      <c r="DIK218" s="630"/>
      <c r="DIL218" s="630"/>
      <c r="DIM218" s="630"/>
      <c r="DIN218" s="630"/>
      <c r="DIO218" s="630"/>
      <c r="DIP218" s="630"/>
      <c r="DIQ218" s="630"/>
      <c r="DIR218" s="630"/>
      <c r="DIS218" s="630"/>
      <c r="DIT218" s="630"/>
      <c r="DIU218" s="630"/>
      <c r="DIV218" s="630"/>
      <c r="DIW218" s="630"/>
      <c r="DIX218" s="630"/>
      <c r="DIY218" s="630"/>
      <c r="DIZ218" s="630"/>
      <c r="DJA218" s="630"/>
      <c r="DJB218" s="630"/>
      <c r="DJC218" s="630"/>
      <c r="DJD218" s="630"/>
      <c r="DJE218" s="630"/>
      <c r="DJF218" s="630"/>
      <c r="DJG218" s="630"/>
      <c r="DJH218" s="630"/>
      <c r="DJI218" s="630"/>
      <c r="DJJ218" s="630"/>
      <c r="DJK218" s="630"/>
      <c r="DJL218" s="630"/>
      <c r="DJM218" s="630"/>
      <c r="DJN218" s="630"/>
      <c r="DJO218" s="630"/>
      <c r="DJP218" s="630"/>
      <c r="DJQ218" s="630"/>
      <c r="DJR218" s="630"/>
      <c r="DJS218" s="630"/>
      <c r="DJT218" s="630"/>
      <c r="DJU218" s="630"/>
      <c r="DJV218" s="630"/>
      <c r="DJW218" s="630"/>
      <c r="DJX218" s="630"/>
      <c r="DJY218" s="630"/>
      <c r="DJZ218" s="630"/>
      <c r="DKA218" s="630"/>
      <c r="DKB218" s="630"/>
      <c r="DKC218" s="630"/>
      <c r="DKD218" s="630"/>
      <c r="DKE218" s="630"/>
      <c r="DKF218" s="630"/>
      <c r="DKG218" s="630"/>
      <c r="DKH218" s="630"/>
      <c r="DKI218" s="630"/>
      <c r="DKJ218" s="630"/>
      <c r="DKK218" s="630"/>
      <c r="DKL218" s="630"/>
      <c r="DKM218" s="630"/>
      <c r="DKN218" s="630"/>
      <c r="DKO218" s="630"/>
      <c r="DKP218" s="630"/>
      <c r="DKQ218" s="630"/>
      <c r="DKR218" s="630"/>
      <c r="DKS218" s="630"/>
      <c r="DKT218" s="630"/>
      <c r="DKU218" s="630"/>
      <c r="DKV218" s="630"/>
      <c r="DKW218" s="630"/>
      <c r="DKX218" s="630"/>
      <c r="DKY218" s="630"/>
      <c r="DKZ218" s="630"/>
      <c r="DLA218" s="630"/>
      <c r="DLB218" s="630"/>
      <c r="DLC218" s="630"/>
      <c r="DLD218" s="630"/>
      <c r="DLE218" s="630"/>
      <c r="DLF218" s="630"/>
      <c r="DLG218" s="630"/>
      <c r="DLH218" s="630"/>
      <c r="DLI218" s="630"/>
      <c r="DLJ218" s="630"/>
      <c r="DLK218" s="630"/>
      <c r="DLL218" s="630"/>
      <c r="DLM218" s="630"/>
      <c r="DLN218" s="630"/>
      <c r="DLO218" s="630"/>
      <c r="DLP218" s="630"/>
      <c r="DLQ218" s="630"/>
      <c r="DLR218" s="630"/>
      <c r="DLS218" s="630"/>
      <c r="DLT218" s="630"/>
      <c r="DLU218" s="630"/>
      <c r="DLV218" s="630"/>
      <c r="DLW218" s="630"/>
      <c r="DLX218" s="630"/>
      <c r="DLY218" s="630"/>
      <c r="DLZ218" s="630"/>
      <c r="DMA218" s="630"/>
      <c r="DMB218" s="630"/>
      <c r="DMC218" s="630"/>
      <c r="DMD218" s="630"/>
      <c r="DME218" s="630"/>
      <c r="DMF218" s="630"/>
      <c r="DMG218" s="630"/>
      <c r="DMH218" s="630"/>
      <c r="DMI218" s="630"/>
      <c r="DMJ218" s="630"/>
      <c r="DMK218" s="630"/>
      <c r="DML218" s="630"/>
      <c r="DMM218" s="630"/>
      <c r="DMN218" s="630"/>
      <c r="DMO218" s="630"/>
      <c r="DMP218" s="630"/>
      <c r="DMQ218" s="630"/>
      <c r="DMR218" s="630"/>
      <c r="DMS218" s="630"/>
      <c r="DMT218" s="630"/>
      <c r="DMU218" s="630"/>
      <c r="DMV218" s="630"/>
      <c r="DMW218" s="630"/>
      <c r="DMX218" s="630"/>
      <c r="DMY218" s="630"/>
      <c r="DMZ218" s="630"/>
      <c r="DNA218" s="630"/>
      <c r="DNB218" s="630"/>
      <c r="DNC218" s="630"/>
      <c r="DND218" s="630"/>
      <c r="DNE218" s="630"/>
      <c r="DNF218" s="630"/>
      <c r="DNG218" s="630"/>
      <c r="DNH218" s="630"/>
      <c r="DNI218" s="630"/>
      <c r="DNJ218" s="630"/>
      <c r="DNK218" s="630"/>
      <c r="DNL218" s="630"/>
      <c r="DNM218" s="630"/>
      <c r="DNN218" s="630"/>
      <c r="DNO218" s="630"/>
      <c r="DNP218" s="630"/>
      <c r="DNQ218" s="630"/>
      <c r="DNR218" s="630"/>
      <c r="DNS218" s="630"/>
      <c r="DNT218" s="630"/>
      <c r="DNU218" s="630"/>
      <c r="DNV218" s="630"/>
      <c r="DNW218" s="630"/>
      <c r="DNX218" s="630"/>
      <c r="DNY218" s="630"/>
      <c r="DNZ218" s="630"/>
      <c r="DOA218" s="630"/>
      <c r="DOB218" s="630"/>
      <c r="DOC218" s="630"/>
      <c r="DOD218" s="630"/>
      <c r="DOE218" s="630"/>
      <c r="DOF218" s="630"/>
      <c r="DOG218" s="630"/>
      <c r="DOH218" s="630"/>
      <c r="DOI218" s="630"/>
      <c r="DOJ218" s="630"/>
      <c r="DOK218" s="630"/>
      <c r="DOL218" s="630"/>
      <c r="DOM218" s="630"/>
      <c r="DON218" s="630"/>
      <c r="DOO218" s="630"/>
      <c r="DOP218" s="630"/>
      <c r="DOQ218" s="630"/>
      <c r="DOR218" s="630"/>
      <c r="DOS218" s="630"/>
      <c r="DOT218" s="630"/>
      <c r="DOU218" s="630"/>
      <c r="DOV218" s="630"/>
      <c r="DOW218" s="630"/>
      <c r="DOX218" s="630"/>
      <c r="DOY218" s="630"/>
      <c r="DOZ218" s="630"/>
      <c r="DPA218" s="630"/>
      <c r="DPB218" s="630"/>
      <c r="DPC218" s="630"/>
      <c r="DPD218" s="630"/>
      <c r="DPE218" s="630"/>
      <c r="DPF218" s="630"/>
      <c r="DPG218" s="630"/>
      <c r="DPH218" s="630"/>
      <c r="DPI218" s="630"/>
      <c r="DPJ218" s="630"/>
      <c r="DPK218" s="630"/>
      <c r="DPL218" s="630"/>
      <c r="DPM218" s="630"/>
      <c r="DPN218" s="630"/>
      <c r="DPO218" s="630"/>
      <c r="DPP218" s="630"/>
      <c r="DPQ218" s="630"/>
      <c r="DPR218" s="630"/>
      <c r="DPS218" s="630"/>
      <c r="DPT218" s="630"/>
      <c r="DPU218" s="630"/>
      <c r="DPV218" s="630"/>
      <c r="DPW218" s="630"/>
      <c r="DPX218" s="630"/>
      <c r="DPY218" s="630"/>
      <c r="DPZ218" s="630"/>
      <c r="DQA218" s="630"/>
      <c r="DQB218" s="630"/>
      <c r="DQC218" s="630"/>
      <c r="DQD218" s="630"/>
      <c r="DQE218" s="630"/>
      <c r="DQF218" s="630"/>
      <c r="DQG218" s="630"/>
      <c r="DQH218" s="630"/>
      <c r="DQI218" s="630"/>
      <c r="DQJ218" s="630"/>
      <c r="DQK218" s="630"/>
      <c r="DQL218" s="630"/>
      <c r="DQM218" s="630"/>
      <c r="DQN218" s="630"/>
      <c r="DQO218" s="630"/>
      <c r="DQP218" s="630"/>
      <c r="DQQ218" s="630"/>
      <c r="DQR218" s="630"/>
      <c r="DQS218" s="630"/>
      <c r="DQT218" s="630"/>
      <c r="DQU218" s="630"/>
      <c r="DQV218" s="630"/>
      <c r="DQW218" s="630"/>
      <c r="DQX218" s="630"/>
      <c r="DQY218" s="630"/>
      <c r="DQZ218" s="630"/>
      <c r="DRA218" s="630"/>
      <c r="DRB218" s="630"/>
      <c r="DRC218" s="630"/>
      <c r="DRD218" s="630"/>
      <c r="DRE218" s="630"/>
      <c r="DRF218" s="630"/>
      <c r="DRG218" s="630"/>
      <c r="DRH218" s="630"/>
      <c r="DRI218" s="630"/>
      <c r="DRJ218" s="630"/>
      <c r="DRK218" s="630"/>
      <c r="DRL218" s="630"/>
      <c r="DRM218" s="630"/>
      <c r="DRN218" s="630"/>
      <c r="DRO218" s="630"/>
      <c r="DRP218" s="630"/>
      <c r="DRQ218" s="630"/>
      <c r="DRR218" s="630"/>
      <c r="DRS218" s="630"/>
      <c r="DRT218" s="630"/>
      <c r="DRU218" s="630"/>
      <c r="DRV218" s="630"/>
      <c r="DRW218" s="630"/>
      <c r="DRX218" s="630"/>
      <c r="DRY218" s="630"/>
      <c r="DRZ218" s="630"/>
      <c r="DSA218" s="630"/>
      <c r="DSB218" s="630"/>
      <c r="DSC218" s="630"/>
      <c r="DSD218" s="630"/>
      <c r="DSE218" s="630"/>
      <c r="DSF218" s="630"/>
      <c r="DSG218" s="630"/>
      <c r="DSH218" s="630"/>
      <c r="DSI218" s="630"/>
      <c r="DSJ218" s="630"/>
      <c r="DSK218" s="630"/>
      <c r="DSL218" s="630"/>
      <c r="DSM218" s="630"/>
      <c r="DSN218" s="630"/>
      <c r="DSO218" s="630"/>
      <c r="DSP218" s="630"/>
      <c r="DSQ218" s="630"/>
      <c r="DSR218" s="630"/>
      <c r="DSS218" s="630"/>
      <c r="DST218" s="630"/>
      <c r="DSU218" s="630"/>
      <c r="DSV218" s="630"/>
      <c r="DSW218" s="630"/>
      <c r="DSX218" s="630"/>
      <c r="DSY218" s="630"/>
      <c r="DSZ218" s="630"/>
      <c r="DTA218" s="630"/>
      <c r="DTB218" s="630"/>
      <c r="DTC218" s="630"/>
      <c r="DTD218" s="630"/>
      <c r="DTE218" s="630"/>
      <c r="DTF218" s="630"/>
      <c r="DTG218" s="630"/>
      <c r="DTH218" s="630"/>
      <c r="DTI218" s="630"/>
      <c r="DTJ218" s="630"/>
      <c r="DTK218" s="630"/>
      <c r="DTL218" s="630"/>
      <c r="DTM218" s="630"/>
      <c r="DTN218" s="630"/>
      <c r="DTO218" s="630"/>
      <c r="DTP218" s="630"/>
      <c r="DTQ218" s="630"/>
      <c r="DTR218" s="630"/>
      <c r="DTS218" s="630"/>
      <c r="DTT218" s="630"/>
      <c r="DTU218" s="630"/>
      <c r="DTV218" s="630"/>
      <c r="DTW218" s="630"/>
      <c r="DTX218" s="630"/>
      <c r="DTY218" s="630"/>
      <c r="DTZ218" s="630"/>
      <c r="DUA218" s="630"/>
      <c r="DUB218" s="630"/>
      <c r="DUC218" s="630"/>
      <c r="DUD218" s="630"/>
      <c r="DUE218" s="630"/>
      <c r="DUF218" s="630"/>
      <c r="DUG218" s="630"/>
      <c r="DUH218" s="630"/>
      <c r="DUI218" s="630"/>
      <c r="DUJ218" s="630"/>
      <c r="DUK218" s="630"/>
      <c r="DUL218" s="630"/>
      <c r="DUM218" s="630"/>
      <c r="DUN218" s="630"/>
      <c r="DUO218" s="630"/>
      <c r="DUP218" s="630"/>
      <c r="DUQ218" s="630"/>
      <c r="DUR218" s="630"/>
      <c r="DUS218" s="630"/>
      <c r="DUT218" s="630"/>
      <c r="DUU218" s="630"/>
      <c r="DUV218" s="630"/>
      <c r="DUW218" s="630"/>
      <c r="DUX218" s="630"/>
      <c r="DUY218" s="630"/>
      <c r="DUZ218" s="630"/>
      <c r="DVA218" s="630"/>
      <c r="DVB218" s="630"/>
      <c r="DVC218" s="630"/>
      <c r="DVD218" s="630"/>
      <c r="DVE218" s="630"/>
      <c r="DVF218" s="630"/>
      <c r="DVG218" s="630"/>
      <c r="DVH218" s="630"/>
      <c r="DVI218" s="630"/>
      <c r="DVJ218" s="630"/>
      <c r="DVK218" s="630"/>
      <c r="DVL218" s="630"/>
      <c r="DVM218" s="630"/>
      <c r="DVN218" s="630"/>
      <c r="DVO218" s="630"/>
      <c r="DVP218" s="630"/>
      <c r="DVQ218" s="630"/>
      <c r="DVR218" s="630"/>
      <c r="DVS218" s="630"/>
      <c r="DVT218" s="630"/>
      <c r="DVU218" s="630"/>
      <c r="DVV218" s="630"/>
      <c r="DVW218" s="630"/>
      <c r="DVX218" s="630"/>
      <c r="DVY218" s="630"/>
      <c r="DVZ218" s="630"/>
      <c r="DWA218" s="630"/>
      <c r="DWB218" s="630"/>
      <c r="DWC218" s="630"/>
      <c r="DWD218" s="630"/>
      <c r="DWE218" s="630"/>
      <c r="DWF218" s="630"/>
      <c r="DWG218" s="630"/>
      <c r="DWH218" s="630"/>
      <c r="DWI218" s="630"/>
      <c r="DWJ218" s="630"/>
      <c r="DWK218" s="630"/>
      <c r="DWL218" s="630"/>
      <c r="DWM218" s="630"/>
      <c r="DWN218" s="630"/>
      <c r="DWO218" s="630"/>
      <c r="DWP218" s="630"/>
      <c r="DWQ218" s="630"/>
      <c r="DWR218" s="630"/>
      <c r="DWS218" s="630"/>
      <c r="DWT218" s="630"/>
      <c r="DWU218" s="630"/>
      <c r="DWV218" s="630"/>
      <c r="DWW218" s="630"/>
      <c r="DWX218" s="630"/>
      <c r="DWY218" s="630"/>
      <c r="DWZ218" s="630"/>
      <c r="DXA218" s="630"/>
      <c r="DXB218" s="630"/>
      <c r="DXC218" s="630"/>
      <c r="DXD218" s="630"/>
      <c r="DXE218" s="630"/>
      <c r="DXF218" s="630"/>
      <c r="DXG218" s="630"/>
      <c r="DXH218" s="630"/>
      <c r="DXI218" s="630"/>
      <c r="DXJ218" s="630"/>
      <c r="DXK218" s="630"/>
      <c r="DXL218" s="630"/>
      <c r="DXM218" s="630"/>
      <c r="DXN218" s="630"/>
      <c r="DXO218" s="630"/>
      <c r="DXP218" s="630"/>
      <c r="DXQ218" s="630"/>
      <c r="DXR218" s="630"/>
      <c r="DXS218" s="630"/>
      <c r="DXT218" s="630"/>
      <c r="DXU218" s="630"/>
      <c r="DXV218" s="630"/>
      <c r="DXW218" s="630"/>
      <c r="DXX218" s="630"/>
      <c r="DXY218" s="630"/>
      <c r="DXZ218" s="630"/>
      <c r="DYA218" s="630"/>
      <c r="DYB218" s="630"/>
      <c r="DYC218" s="630"/>
      <c r="DYD218" s="630"/>
      <c r="DYE218" s="630"/>
      <c r="DYF218" s="630"/>
      <c r="DYG218" s="630"/>
      <c r="DYH218" s="630"/>
      <c r="DYI218" s="630"/>
      <c r="DYJ218" s="630"/>
      <c r="DYK218" s="630"/>
      <c r="DYL218" s="630"/>
      <c r="DYM218" s="630"/>
      <c r="DYN218" s="630"/>
      <c r="DYO218" s="630"/>
      <c r="DYP218" s="630"/>
      <c r="DYQ218" s="630"/>
      <c r="DYR218" s="630"/>
      <c r="DYS218" s="630"/>
      <c r="DYT218" s="630"/>
      <c r="DYU218" s="630"/>
      <c r="DYV218" s="630"/>
      <c r="DYW218" s="630"/>
      <c r="DYX218" s="630"/>
      <c r="DYY218" s="630"/>
      <c r="DYZ218" s="630"/>
      <c r="DZA218" s="630"/>
      <c r="DZB218" s="630"/>
      <c r="DZC218" s="630"/>
      <c r="DZD218" s="630"/>
      <c r="DZE218" s="630"/>
      <c r="DZF218" s="630"/>
      <c r="DZG218" s="630"/>
      <c r="DZH218" s="630"/>
      <c r="DZI218" s="630"/>
      <c r="DZJ218" s="630"/>
      <c r="DZK218" s="630"/>
      <c r="DZL218" s="630"/>
      <c r="DZM218" s="630"/>
      <c r="DZN218" s="630"/>
      <c r="DZO218" s="630"/>
      <c r="DZP218" s="630"/>
      <c r="DZQ218" s="630"/>
      <c r="DZR218" s="630"/>
      <c r="DZS218" s="630"/>
      <c r="DZT218" s="630"/>
      <c r="DZU218" s="630"/>
      <c r="DZV218" s="630"/>
      <c r="DZW218" s="630"/>
      <c r="DZX218" s="630"/>
      <c r="DZY218" s="630"/>
      <c r="DZZ218" s="630"/>
      <c r="EAA218" s="630"/>
      <c r="EAB218" s="630"/>
      <c r="EAC218" s="630"/>
      <c r="EAD218" s="630"/>
      <c r="EAE218" s="630"/>
      <c r="EAF218" s="630"/>
      <c r="EAG218" s="630"/>
      <c r="EAH218" s="630"/>
      <c r="EAI218" s="630"/>
      <c r="EAJ218" s="630"/>
      <c r="EAK218" s="630"/>
      <c r="EAL218" s="630"/>
      <c r="EAM218" s="630"/>
      <c r="EAN218" s="630"/>
      <c r="EAO218" s="630"/>
      <c r="EAP218" s="630"/>
      <c r="EAQ218" s="630"/>
      <c r="EAR218" s="630"/>
      <c r="EAS218" s="630"/>
      <c r="EAT218" s="630"/>
      <c r="EAU218" s="630"/>
      <c r="EAV218" s="630"/>
      <c r="EAW218" s="630"/>
      <c r="EAX218" s="630"/>
      <c r="EAY218" s="630"/>
      <c r="EAZ218" s="630"/>
      <c r="EBA218" s="630"/>
      <c r="EBB218" s="630"/>
      <c r="EBC218" s="630"/>
      <c r="EBD218" s="630"/>
      <c r="EBE218" s="630"/>
      <c r="EBF218" s="630"/>
      <c r="EBG218" s="630"/>
      <c r="EBH218" s="630"/>
      <c r="EBI218" s="630"/>
      <c r="EBJ218" s="630"/>
      <c r="EBK218" s="630"/>
      <c r="EBL218" s="630"/>
      <c r="EBM218" s="630"/>
      <c r="EBN218" s="630"/>
      <c r="EBO218" s="630"/>
      <c r="EBP218" s="630"/>
      <c r="EBQ218" s="630"/>
      <c r="EBR218" s="630"/>
      <c r="EBS218" s="630"/>
      <c r="EBT218" s="630"/>
      <c r="EBU218" s="630"/>
      <c r="EBV218" s="630"/>
      <c r="EBW218" s="630"/>
      <c r="EBX218" s="630"/>
      <c r="EBY218" s="630"/>
      <c r="EBZ218" s="630"/>
      <c r="ECA218" s="630"/>
      <c r="ECB218" s="630"/>
      <c r="ECC218" s="630"/>
      <c r="ECD218" s="630"/>
      <c r="ECE218" s="630"/>
      <c r="ECF218" s="630"/>
      <c r="ECG218" s="630"/>
      <c r="ECH218" s="630"/>
      <c r="ECI218" s="630"/>
      <c r="ECJ218" s="630"/>
      <c r="ECK218" s="630"/>
      <c r="ECL218" s="630"/>
      <c r="ECM218" s="630"/>
      <c r="ECN218" s="630"/>
      <c r="ECO218" s="630"/>
      <c r="ECP218" s="630"/>
      <c r="ECQ218" s="630"/>
      <c r="ECR218" s="630"/>
      <c r="ECS218" s="630"/>
      <c r="ECT218" s="630"/>
      <c r="ECU218" s="630"/>
      <c r="ECV218" s="630"/>
      <c r="ECW218" s="630"/>
      <c r="ECX218" s="630"/>
      <c r="ECY218" s="630"/>
      <c r="ECZ218" s="630"/>
      <c r="EDA218" s="630"/>
      <c r="EDB218" s="630"/>
      <c r="EDC218" s="630"/>
      <c r="EDD218" s="630"/>
      <c r="EDE218" s="630"/>
      <c r="EDF218" s="630"/>
      <c r="EDG218" s="630"/>
      <c r="EDH218" s="630"/>
      <c r="EDI218" s="630"/>
      <c r="EDJ218" s="630"/>
      <c r="EDK218" s="630"/>
      <c r="EDL218" s="630"/>
      <c r="EDM218" s="630"/>
      <c r="EDN218" s="630"/>
      <c r="EDO218" s="630"/>
      <c r="EDP218" s="630"/>
      <c r="EDQ218" s="630"/>
      <c r="EDR218" s="630"/>
      <c r="EDS218" s="630"/>
      <c r="EDT218" s="630"/>
      <c r="EDU218" s="630"/>
      <c r="EDV218" s="630"/>
      <c r="EDW218" s="630"/>
      <c r="EDX218" s="630"/>
      <c r="EDY218" s="630"/>
      <c r="EDZ218" s="630"/>
      <c r="EEA218" s="630"/>
      <c r="EEB218" s="630"/>
      <c r="EEC218" s="630"/>
      <c r="EED218" s="630"/>
      <c r="EEE218" s="630"/>
      <c r="EEF218" s="630"/>
      <c r="EEG218" s="630"/>
      <c r="EEH218" s="630"/>
      <c r="EEI218" s="630"/>
      <c r="EEJ218" s="630"/>
      <c r="EEK218" s="630"/>
      <c r="EEL218" s="630"/>
      <c r="EEM218" s="630"/>
      <c r="EEN218" s="630"/>
      <c r="EEO218" s="630"/>
      <c r="EEP218" s="630"/>
      <c r="EEQ218" s="630"/>
      <c r="EER218" s="630"/>
      <c r="EES218" s="630"/>
      <c r="EET218" s="630"/>
      <c r="EEU218" s="630"/>
      <c r="EEV218" s="630"/>
      <c r="EEW218" s="630"/>
      <c r="EEX218" s="630"/>
      <c r="EEY218" s="630"/>
      <c r="EEZ218" s="630"/>
      <c r="EFA218" s="630"/>
      <c r="EFB218" s="630"/>
      <c r="EFC218" s="630"/>
      <c r="EFD218" s="630"/>
      <c r="EFE218" s="630"/>
      <c r="EFF218" s="630"/>
      <c r="EFG218" s="630"/>
      <c r="EFH218" s="630"/>
      <c r="EFI218" s="630"/>
      <c r="EFJ218" s="630"/>
      <c r="EFK218" s="630"/>
      <c r="EFL218" s="630"/>
      <c r="EFM218" s="630"/>
      <c r="EFN218" s="630"/>
      <c r="EFO218" s="630"/>
      <c r="EFP218" s="630"/>
      <c r="EFQ218" s="630"/>
      <c r="EFR218" s="630"/>
      <c r="EFS218" s="630"/>
      <c r="EFT218" s="630"/>
      <c r="EFU218" s="630"/>
      <c r="EFV218" s="630"/>
      <c r="EFW218" s="630"/>
      <c r="EFX218" s="630"/>
      <c r="EFY218" s="630"/>
      <c r="EFZ218" s="630"/>
      <c r="EGA218" s="630"/>
      <c r="EGB218" s="630"/>
      <c r="EGC218" s="630"/>
      <c r="EGD218" s="630"/>
      <c r="EGE218" s="630"/>
      <c r="EGF218" s="630"/>
      <c r="EGG218" s="630"/>
      <c r="EGH218" s="630"/>
      <c r="EGI218" s="630"/>
      <c r="EGJ218" s="630"/>
      <c r="EGK218" s="630"/>
      <c r="EGL218" s="630"/>
      <c r="EGM218" s="630"/>
      <c r="EGN218" s="630"/>
      <c r="EGO218" s="630"/>
      <c r="EGP218" s="630"/>
      <c r="EGQ218" s="630"/>
      <c r="EGR218" s="630"/>
      <c r="EGS218" s="630"/>
      <c r="EGT218" s="630"/>
      <c r="EGU218" s="630"/>
      <c r="EGV218" s="630"/>
      <c r="EGW218" s="630"/>
      <c r="EGX218" s="630"/>
      <c r="EGY218" s="630"/>
      <c r="EGZ218" s="630"/>
      <c r="EHA218" s="630"/>
      <c r="EHB218" s="630"/>
      <c r="EHC218" s="630"/>
      <c r="EHD218" s="630"/>
      <c r="EHE218" s="630"/>
      <c r="EHF218" s="630"/>
      <c r="EHG218" s="630"/>
      <c r="EHH218" s="630"/>
      <c r="EHI218" s="630"/>
      <c r="EHJ218" s="630"/>
      <c r="EHK218" s="630"/>
      <c r="EHL218" s="630"/>
      <c r="EHM218" s="630"/>
      <c r="EHN218" s="630"/>
      <c r="EHO218" s="630"/>
      <c r="EHP218" s="630"/>
      <c r="EHQ218" s="630"/>
      <c r="EHR218" s="630"/>
      <c r="EHS218" s="630"/>
      <c r="EHT218" s="630"/>
      <c r="EHU218" s="630"/>
      <c r="EHV218" s="630"/>
      <c r="EHW218" s="630"/>
      <c r="EHX218" s="630"/>
      <c r="EHY218" s="630"/>
      <c r="EHZ218" s="630"/>
      <c r="EIA218" s="630"/>
      <c r="EIB218" s="630"/>
      <c r="EIC218" s="630"/>
      <c r="EID218" s="630"/>
      <c r="EIE218" s="630"/>
      <c r="EIF218" s="630"/>
      <c r="EIG218" s="630"/>
      <c r="EIH218" s="630"/>
      <c r="EII218" s="630"/>
      <c r="EIJ218" s="630"/>
      <c r="EIK218" s="630"/>
      <c r="EIL218" s="630"/>
      <c r="EIM218" s="630"/>
      <c r="EIN218" s="630"/>
      <c r="EIO218" s="630"/>
      <c r="EIP218" s="630"/>
      <c r="EIQ218" s="630"/>
      <c r="EIR218" s="630"/>
      <c r="EIS218" s="630"/>
      <c r="EIT218" s="630"/>
      <c r="EIU218" s="630"/>
      <c r="EIV218" s="630"/>
      <c r="EIW218" s="630"/>
      <c r="EIX218" s="630"/>
      <c r="EIY218" s="630"/>
      <c r="EIZ218" s="630"/>
      <c r="EJA218" s="630"/>
      <c r="EJB218" s="630"/>
      <c r="EJC218" s="630"/>
      <c r="EJD218" s="630"/>
      <c r="EJE218" s="630"/>
      <c r="EJF218" s="630"/>
      <c r="EJG218" s="630"/>
      <c r="EJH218" s="630"/>
      <c r="EJI218" s="630"/>
      <c r="EJJ218" s="630"/>
      <c r="EJK218" s="630"/>
      <c r="EJL218" s="630"/>
      <c r="EJM218" s="630"/>
      <c r="EJN218" s="630"/>
      <c r="EJO218" s="630"/>
      <c r="EJP218" s="630"/>
      <c r="EJQ218" s="630"/>
      <c r="EJR218" s="630"/>
      <c r="EJS218" s="630"/>
      <c r="EJT218" s="630"/>
      <c r="EJU218" s="630"/>
      <c r="EJV218" s="630"/>
      <c r="EJW218" s="630"/>
      <c r="EJX218" s="630"/>
      <c r="EJY218" s="630"/>
      <c r="EJZ218" s="630"/>
      <c r="EKA218" s="630"/>
      <c r="EKB218" s="630"/>
      <c r="EKC218" s="630"/>
      <c r="EKD218" s="630"/>
      <c r="EKE218" s="630"/>
      <c r="EKF218" s="630"/>
      <c r="EKG218" s="630"/>
      <c r="EKH218" s="630"/>
      <c r="EKI218" s="630"/>
      <c r="EKJ218" s="630"/>
      <c r="EKK218" s="630"/>
      <c r="EKL218" s="630"/>
      <c r="EKM218" s="630"/>
      <c r="EKN218" s="630"/>
      <c r="EKO218" s="630"/>
      <c r="EKP218" s="630"/>
      <c r="EKQ218" s="630"/>
      <c r="EKR218" s="630"/>
      <c r="EKS218" s="630"/>
      <c r="EKT218" s="630"/>
      <c r="EKU218" s="630"/>
      <c r="EKV218" s="630"/>
      <c r="EKW218" s="630"/>
      <c r="EKX218" s="630"/>
      <c r="EKY218" s="630"/>
      <c r="EKZ218" s="630"/>
      <c r="ELA218" s="630"/>
      <c r="ELB218" s="630"/>
      <c r="ELC218" s="630"/>
      <c r="ELD218" s="630"/>
      <c r="ELE218" s="630"/>
      <c r="ELF218" s="630"/>
      <c r="ELG218" s="630"/>
      <c r="ELH218" s="630"/>
      <c r="ELI218" s="630"/>
      <c r="ELJ218" s="630"/>
      <c r="ELK218" s="630"/>
      <c r="ELL218" s="630"/>
      <c r="ELM218" s="630"/>
      <c r="ELN218" s="630"/>
      <c r="ELO218" s="630"/>
      <c r="ELP218" s="630"/>
      <c r="ELQ218" s="630"/>
      <c r="ELR218" s="630"/>
      <c r="ELS218" s="630"/>
      <c r="ELT218" s="630"/>
      <c r="ELU218" s="630"/>
      <c r="ELV218" s="630"/>
      <c r="ELW218" s="630"/>
      <c r="ELX218" s="630"/>
      <c r="ELY218" s="630"/>
      <c r="ELZ218" s="630"/>
      <c r="EMA218" s="630"/>
      <c r="EMB218" s="630"/>
      <c r="EMC218" s="630"/>
      <c r="EMD218" s="630"/>
      <c r="EME218" s="630"/>
      <c r="EMF218" s="630"/>
      <c r="EMG218" s="630"/>
      <c r="EMH218" s="630"/>
      <c r="EMI218" s="630"/>
      <c r="EMJ218" s="630"/>
      <c r="EMK218" s="630"/>
      <c r="EML218" s="630"/>
      <c r="EMM218" s="630"/>
      <c r="EMN218" s="630"/>
      <c r="EMO218" s="630"/>
      <c r="EMP218" s="630"/>
      <c r="EMQ218" s="630"/>
      <c r="EMR218" s="630"/>
      <c r="EMS218" s="630"/>
      <c r="EMT218" s="630"/>
      <c r="EMU218" s="630"/>
      <c r="EMV218" s="630"/>
      <c r="EMW218" s="630"/>
      <c r="EMX218" s="630"/>
      <c r="EMY218" s="630"/>
      <c r="EMZ218" s="630"/>
      <c r="ENA218" s="630"/>
      <c r="ENB218" s="630"/>
      <c r="ENC218" s="630"/>
      <c r="END218" s="630"/>
      <c r="ENE218" s="630"/>
      <c r="ENF218" s="630"/>
      <c r="ENG218" s="630"/>
      <c r="ENH218" s="630"/>
      <c r="ENI218" s="630"/>
      <c r="ENJ218" s="630"/>
      <c r="ENK218" s="630"/>
      <c r="ENL218" s="630"/>
      <c r="ENM218" s="630"/>
      <c r="ENN218" s="630"/>
      <c r="ENO218" s="630"/>
      <c r="ENP218" s="630"/>
      <c r="ENQ218" s="630"/>
      <c r="ENR218" s="630"/>
      <c r="ENS218" s="630"/>
      <c r="ENT218" s="630"/>
      <c r="ENU218" s="630"/>
      <c r="ENV218" s="630"/>
      <c r="ENW218" s="630"/>
      <c r="ENX218" s="630"/>
      <c r="ENY218" s="630"/>
      <c r="ENZ218" s="630"/>
      <c r="EOA218" s="630"/>
      <c r="EOB218" s="630"/>
      <c r="EOC218" s="630"/>
      <c r="EOD218" s="630"/>
      <c r="EOE218" s="630"/>
      <c r="EOF218" s="630"/>
      <c r="EOG218" s="630"/>
      <c r="EOH218" s="630"/>
      <c r="EOI218" s="630"/>
      <c r="EOJ218" s="630"/>
      <c r="EOK218" s="630"/>
      <c r="EOL218" s="630"/>
      <c r="EOM218" s="630"/>
      <c r="EON218" s="630"/>
      <c r="EOO218" s="630"/>
      <c r="EOP218" s="630"/>
      <c r="EOQ218" s="630"/>
      <c r="EOR218" s="630"/>
      <c r="EOS218" s="630"/>
      <c r="EOT218" s="630"/>
      <c r="EOU218" s="630"/>
      <c r="EOV218" s="630"/>
      <c r="EOW218" s="630"/>
      <c r="EOX218" s="630"/>
      <c r="EOY218" s="630"/>
      <c r="EOZ218" s="630"/>
      <c r="EPA218" s="630"/>
      <c r="EPB218" s="630"/>
      <c r="EPC218" s="630"/>
      <c r="EPD218" s="630"/>
      <c r="EPE218" s="630"/>
      <c r="EPF218" s="630"/>
      <c r="EPG218" s="630"/>
      <c r="EPH218" s="630"/>
      <c r="EPI218" s="630"/>
      <c r="EPJ218" s="630"/>
      <c r="EPK218" s="630"/>
      <c r="EPL218" s="630"/>
      <c r="EPM218" s="630"/>
      <c r="EPN218" s="630"/>
      <c r="EPO218" s="630"/>
      <c r="EPP218" s="630"/>
      <c r="EPQ218" s="630"/>
      <c r="EPR218" s="630"/>
      <c r="EPS218" s="630"/>
      <c r="EPT218" s="630"/>
      <c r="EPU218" s="630"/>
      <c r="EPV218" s="630"/>
      <c r="EPW218" s="630"/>
      <c r="EPX218" s="630"/>
      <c r="EPY218" s="630"/>
      <c r="EPZ218" s="630"/>
      <c r="EQA218" s="630"/>
      <c r="EQB218" s="630"/>
      <c r="EQC218" s="630"/>
      <c r="EQD218" s="630"/>
      <c r="EQE218" s="630"/>
      <c r="EQF218" s="630"/>
      <c r="EQG218" s="630"/>
      <c r="EQH218" s="630"/>
      <c r="EQI218" s="630"/>
      <c r="EQJ218" s="630"/>
      <c r="EQK218" s="630"/>
      <c r="EQL218" s="630"/>
      <c r="EQM218" s="630"/>
      <c r="EQN218" s="630"/>
      <c r="EQO218" s="630"/>
      <c r="EQP218" s="630"/>
      <c r="EQQ218" s="630"/>
      <c r="EQR218" s="630"/>
      <c r="EQS218" s="630"/>
      <c r="EQT218" s="630"/>
      <c r="EQU218" s="630"/>
      <c r="EQV218" s="630"/>
      <c r="EQW218" s="630"/>
      <c r="EQX218" s="630"/>
      <c r="EQY218" s="630"/>
      <c r="EQZ218" s="630"/>
      <c r="ERA218" s="630"/>
      <c r="ERB218" s="630"/>
      <c r="ERC218" s="630"/>
      <c r="ERD218" s="630"/>
      <c r="ERE218" s="630"/>
      <c r="ERF218" s="630"/>
      <c r="ERG218" s="630"/>
      <c r="ERH218" s="630"/>
      <c r="ERI218" s="630"/>
      <c r="ERJ218" s="630"/>
      <c r="ERK218" s="630"/>
      <c r="ERL218" s="630"/>
      <c r="ERM218" s="630"/>
      <c r="ERN218" s="630"/>
      <c r="ERO218" s="630"/>
      <c r="ERP218" s="630"/>
      <c r="ERQ218" s="630"/>
      <c r="ERR218" s="630"/>
      <c r="ERS218" s="630"/>
      <c r="ERT218" s="630"/>
      <c r="ERU218" s="630"/>
      <c r="ERV218" s="630"/>
      <c r="ERW218" s="630"/>
      <c r="ERX218" s="630"/>
      <c r="ERY218" s="630"/>
      <c r="ERZ218" s="630"/>
      <c r="ESA218" s="630"/>
      <c r="ESB218" s="630"/>
      <c r="ESC218" s="630"/>
      <c r="ESD218" s="630"/>
      <c r="ESE218" s="630"/>
      <c r="ESF218" s="630"/>
      <c r="ESG218" s="630"/>
      <c r="ESH218" s="630"/>
      <c r="ESI218" s="630"/>
      <c r="ESJ218" s="630"/>
      <c r="ESK218" s="630"/>
      <c r="ESL218" s="630"/>
      <c r="ESM218" s="630"/>
      <c r="ESN218" s="630"/>
      <c r="ESO218" s="630"/>
      <c r="ESP218" s="630"/>
      <c r="ESQ218" s="630"/>
      <c r="ESR218" s="630"/>
      <c r="ESS218" s="630"/>
      <c r="EST218" s="630"/>
      <c r="ESU218" s="630"/>
      <c r="ESV218" s="630"/>
      <c r="ESW218" s="630"/>
      <c r="ESX218" s="630"/>
      <c r="ESY218" s="630"/>
      <c r="ESZ218" s="630"/>
      <c r="ETA218" s="630"/>
      <c r="ETB218" s="630"/>
      <c r="ETC218" s="630"/>
      <c r="ETD218" s="630"/>
      <c r="ETE218" s="630"/>
      <c r="ETF218" s="630"/>
      <c r="ETG218" s="630"/>
      <c r="ETH218" s="630"/>
      <c r="ETI218" s="630"/>
      <c r="ETJ218" s="630"/>
      <c r="ETK218" s="630"/>
      <c r="ETL218" s="630"/>
      <c r="ETM218" s="630"/>
      <c r="ETN218" s="630"/>
      <c r="ETO218" s="630"/>
      <c r="ETP218" s="630"/>
      <c r="ETQ218" s="630"/>
      <c r="ETR218" s="630"/>
      <c r="ETS218" s="630"/>
      <c r="ETT218" s="630"/>
      <c r="ETU218" s="630"/>
      <c r="ETV218" s="630"/>
      <c r="ETW218" s="630"/>
      <c r="ETX218" s="630"/>
      <c r="ETY218" s="630"/>
      <c r="ETZ218" s="630"/>
      <c r="EUA218" s="630"/>
      <c r="EUB218" s="630"/>
      <c r="EUC218" s="630"/>
      <c r="EUD218" s="630"/>
      <c r="EUE218" s="630"/>
      <c r="EUF218" s="630"/>
      <c r="EUG218" s="630"/>
      <c r="EUH218" s="630"/>
      <c r="EUI218" s="630"/>
      <c r="EUJ218" s="630"/>
      <c r="EUK218" s="630"/>
      <c r="EUL218" s="630"/>
      <c r="EUM218" s="630"/>
      <c r="EUN218" s="630"/>
      <c r="EUO218" s="630"/>
      <c r="EUP218" s="630"/>
      <c r="EUQ218" s="630"/>
      <c r="EUR218" s="630"/>
      <c r="EUS218" s="630"/>
      <c r="EUT218" s="630"/>
      <c r="EUU218" s="630"/>
      <c r="EUV218" s="630"/>
      <c r="EUW218" s="630"/>
      <c r="EUX218" s="630"/>
      <c r="EUY218" s="630"/>
      <c r="EUZ218" s="630"/>
      <c r="EVA218" s="630"/>
      <c r="EVB218" s="630"/>
      <c r="EVC218" s="630"/>
      <c r="EVD218" s="630"/>
      <c r="EVE218" s="630"/>
      <c r="EVF218" s="630"/>
      <c r="EVG218" s="630"/>
      <c r="EVH218" s="630"/>
      <c r="EVI218" s="630"/>
      <c r="EVJ218" s="630"/>
      <c r="EVK218" s="630"/>
      <c r="EVL218" s="630"/>
      <c r="EVM218" s="630"/>
      <c r="EVN218" s="630"/>
      <c r="EVO218" s="630"/>
      <c r="EVP218" s="630"/>
      <c r="EVQ218" s="630"/>
      <c r="EVR218" s="630"/>
      <c r="EVS218" s="630"/>
      <c r="EVT218" s="630"/>
      <c r="EVU218" s="630"/>
      <c r="EVV218" s="630"/>
      <c r="EVW218" s="630"/>
      <c r="EVX218" s="630"/>
      <c r="EVY218" s="630"/>
      <c r="EVZ218" s="630"/>
      <c r="EWA218" s="630"/>
      <c r="EWB218" s="630"/>
      <c r="EWC218" s="630"/>
      <c r="EWD218" s="630"/>
      <c r="EWE218" s="630"/>
      <c r="EWF218" s="630"/>
      <c r="EWG218" s="630"/>
      <c r="EWH218" s="630"/>
      <c r="EWI218" s="630"/>
      <c r="EWJ218" s="630"/>
      <c r="EWK218" s="630"/>
      <c r="EWL218" s="630"/>
      <c r="EWM218" s="630"/>
      <c r="EWN218" s="630"/>
      <c r="EWO218" s="630"/>
      <c r="EWP218" s="630"/>
      <c r="EWQ218" s="630"/>
      <c r="EWR218" s="630"/>
      <c r="EWS218" s="630"/>
      <c r="EWT218" s="630"/>
      <c r="EWU218" s="630"/>
      <c r="EWV218" s="630"/>
      <c r="EWW218" s="630"/>
      <c r="EWX218" s="630"/>
      <c r="EWY218" s="630"/>
      <c r="EWZ218" s="630"/>
      <c r="EXA218" s="630"/>
      <c r="EXB218" s="630"/>
      <c r="EXC218" s="630"/>
      <c r="EXD218" s="630"/>
      <c r="EXE218" s="630"/>
      <c r="EXF218" s="630"/>
      <c r="EXG218" s="630"/>
      <c r="EXH218" s="630"/>
      <c r="EXI218" s="630"/>
      <c r="EXJ218" s="630"/>
      <c r="EXK218" s="630"/>
      <c r="EXL218" s="630"/>
      <c r="EXM218" s="630"/>
      <c r="EXN218" s="630"/>
      <c r="EXO218" s="630"/>
      <c r="EXP218" s="630"/>
      <c r="EXQ218" s="630"/>
      <c r="EXR218" s="630"/>
      <c r="EXS218" s="630"/>
      <c r="EXT218" s="630"/>
      <c r="EXU218" s="630"/>
      <c r="EXV218" s="630"/>
      <c r="EXW218" s="630"/>
      <c r="EXX218" s="630"/>
      <c r="EXY218" s="630"/>
      <c r="EXZ218" s="630"/>
      <c r="EYA218" s="630"/>
      <c r="EYB218" s="630"/>
      <c r="EYC218" s="630"/>
      <c r="EYD218" s="630"/>
      <c r="EYE218" s="630"/>
      <c r="EYF218" s="630"/>
      <c r="EYG218" s="630"/>
      <c r="EYH218" s="630"/>
      <c r="EYI218" s="630"/>
      <c r="EYJ218" s="630"/>
      <c r="EYK218" s="630"/>
      <c r="EYL218" s="630"/>
      <c r="EYM218" s="630"/>
      <c r="EYN218" s="630"/>
      <c r="EYO218" s="630"/>
      <c r="EYP218" s="630"/>
      <c r="EYQ218" s="630"/>
      <c r="EYR218" s="630"/>
      <c r="EYS218" s="630"/>
      <c r="EYT218" s="630"/>
      <c r="EYU218" s="630"/>
      <c r="EYV218" s="630"/>
      <c r="EYW218" s="630"/>
      <c r="EYX218" s="630"/>
      <c r="EYY218" s="630"/>
      <c r="EYZ218" s="630"/>
      <c r="EZA218" s="630"/>
      <c r="EZB218" s="630"/>
      <c r="EZC218" s="630"/>
      <c r="EZD218" s="630"/>
      <c r="EZE218" s="630"/>
      <c r="EZF218" s="630"/>
      <c r="EZG218" s="630"/>
      <c r="EZH218" s="630"/>
      <c r="EZI218" s="630"/>
      <c r="EZJ218" s="630"/>
      <c r="EZK218" s="630"/>
      <c r="EZL218" s="630"/>
      <c r="EZM218" s="630"/>
      <c r="EZN218" s="630"/>
      <c r="EZO218" s="630"/>
      <c r="EZP218" s="630"/>
      <c r="EZQ218" s="630"/>
      <c r="EZR218" s="630"/>
      <c r="EZS218" s="630"/>
      <c r="EZT218" s="630"/>
      <c r="EZU218" s="630"/>
      <c r="EZV218" s="630"/>
      <c r="EZW218" s="630"/>
      <c r="EZX218" s="630"/>
      <c r="EZY218" s="630"/>
      <c r="EZZ218" s="630"/>
      <c r="FAA218" s="630"/>
      <c r="FAB218" s="630"/>
      <c r="FAC218" s="630"/>
      <c r="FAD218" s="630"/>
      <c r="FAE218" s="630"/>
      <c r="FAF218" s="630"/>
      <c r="FAG218" s="630"/>
      <c r="FAH218" s="630"/>
      <c r="FAI218" s="630"/>
      <c r="FAJ218" s="630"/>
      <c r="FAK218" s="630"/>
      <c r="FAL218" s="630"/>
      <c r="FAM218" s="630"/>
      <c r="FAN218" s="630"/>
      <c r="FAO218" s="630"/>
      <c r="FAP218" s="630"/>
      <c r="FAQ218" s="630"/>
      <c r="FAR218" s="630"/>
      <c r="FAS218" s="630"/>
      <c r="FAT218" s="630"/>
      <c r="FAU218" s="630"/>
      <c r="FAV218" s="630"/>
      <c r="FAW218" s="630"/>
      <c r="FAX218" s="630"/>
      <c r="FAY218" s="630"/>
      <c r="FAZ218" s="630"/>
      <c r="FBA218" s="630"/>
      <c r="FBB218" s="630"/>
      <c r="FBC218" s="630"/>
      <c r="FBD218" s="630"/>
      <c r="FBE218" s="630"/>
      <c r="FBF218" s="630"/>
      <c r="FBG218" s="630"/>
      <c r="FBH218" s="630"/>
      <c r="FBI218" s="630"/>
      <c r="FBJ218" s="630"/>
      <c r="FBK218" s="630"/>
      <c r="FBL218" s="630"/>
      <c r="FBM218" s="630"/>
      <c r="FBN218" s="630"/>
      <c r="FBO218" s="630"/>
      <c r="FBP218" s="630"/>
      <c r="FBQ218" s="630"/>
      <c r="FBR218" s="630"/>
      <c r="FBS218" s="630"/>
      <c r="FBT218" s="630"/>
      <c r="FBU218" s="630"/>
      <c r="FBV218" s="630"/>
      <c r="FBW218" s="630"/>
      <c r="FBX218" s="630"/>
      <c r="FBY218" s="630"/>
      <c r="FBZ218" s="630"/>
      <c r="FCA218" s="630"/>
      <c r="FCB218" s="630"/>
      <c r="FCC218" s="630"/>
      <c r="FCD218" s="630"/>
      <c r="FCE218" s="630"/>
      <c r="FCF218" s="630"/>
      <c r="FCG218" s="630"/>
      <c r="FCH218" s="630"/>
      <c r="FCI218" s="630"/>
      <c r="FCJ218" s="630"/>
      <c r="FCK218" s="630"/>
      <c r="FCL218" s="630"/>
      <c r="FCM218" s="630"/>
      <c r="FCN218" s="630"/>
      <c r="FCO218" s="630"/>
      <c r="FCP218" s="630"/>
      <c r="FCQ218" s="630"/>
      <c r="FCR218" s="630"/>
      <c r="FCS218" s="630"/>
      <c r="FCT218" s="630"/>
      <c r="FCU218" s="630"/>
      <c r="FCV218" s="630"/>
      <c r="FCW218" s="630"/>
      <c r="FCX218" s="630"/>
      <c r="FCY218" s="630"/>
      <c r="FCZ218" s="630"/>
      <c r="FDA218" s="630"/>
      <c r="FDB218" s="630"/>
      <c r="FDC218" s="630"/>
      <c r="FDD218" s="630"/>
      <c r="FDE218" s="630"/>
      <c r="FDF218" s="630"/>
      <c r="FDG218" s="630"/>
      <c r="FDH218" s="630"/>
      <c r="FDI218" s="630"/>
      <c r="FDJ218" s="630"/>
      <c r="FDK218" s="630"/>
      <c r="FDL218" s="630"/>
      <c r="FDM218" s="630"/>
      <c r="FDN218" s="630"/>
      <c r="FDO218" s="630"/>
      <c r="FDP218" s="630"/>
      <c r="FDQ218" s="630"/>
      <c r="FDR218" s="630"/>
      <c r="FDS218" s="630"/>
      <c r="FDT218" s="630"/>
      <c r="FDU218" s="630"/>
      <c r="FDV218" s="630"/>
      <c r="FDW218" s="630"/>
      <c r="FDX218" s="630"/>
      <c r="FDY218" s="630"/>
      <c r="FDZ218" s="630"/>
      <c r="FEA218" s="630"/>
      <c r="FEB218" s="630"/>
      <c r="FEC218" s="630"/>
      <c r="FED218" s="630"/>
      <c r="FEE218" s="630"/>
      <c r="FEF218" s="630"/>
      <c r="FEG218" s="630"/>
      <c r="FEH218" s="630"/>
      <c r="FEI218" s="630"/>
      <c r="FEJ218" s="630"/>
      <c r="FEK218" s="630"/>
      <c r="FEL218" s="630"/>
      <c r="FEM218" s="630"/>
      <c r="FEN218" s="630"/>
      <c r="FEO218" s="630"/>
      <c r="FEP218" s="630"/>
      <c r="FEQ218" s="630"/>
      <c r="FER218" s="630"/>
      <c r="FES218" s="630"/>
      <c r="FET218" s="630"/>
      <c r="FEU218" s="630"/>
      <c r="FEV218" s="630"/>
      <c r="FEW218" s="630"/>
      <c r="FEX218" s="630"/>
      <c r="FEY218" s="630"/>
      <c r="FEZ218" s="630"/>
      <c r="FFA218" s="630"/>
      <c r="FFB218" s="630"/>
      <c r="FFC218" s="630"/>
      <c r="FFD218" s="630"/>
      <c r="FFE218" s="630"/>
      <c r="FFF218" s="630"/>
      <c r="FFG218" s="630"/>
      <c r="FFH218" s="630"/>
      <c r="FFI218" s="630"/>
      <c r="FFJ218" s="630"/>
      <c r="FFK218" s="630"/>
      <c r="FFL218" s="630"/>
      <c r="FFM218" s="630"/>
      <c r="FFN218" s="630"/>
      <c r="FFO218" s="630"/>
      <c r="FFP218" s="630"/>
      <c r="FFQ218" s="630"/>
      <c r="FFR218" s="630"/>
      <c r="FFS218" s="630"/>
      <c r="FFT218" s="630"/>
      <c r="FFU218" s="630"/>
      <c r="FFV218" s="630"/>
      <c r="FFW218" s="630"/>
      <c r="FFX218" s="630"/>
      <c r="FFY218" s="630"/>
      <c r="FFZ218" s="630"/>
      <c r="FGA218" s="630"/>
      <c r="FGB218" s="630"/>
      <c r="FGC218" s="630"/>
      <c r="FGD218" s="630"/>
      <c r="FGE218" s="630"/>
      <c r="FGF218" s="630"/>
      <c r="FGG218" s="630"/>
      <c r="FGH218" s="630"/>
      <c r="FGI218" s="630"/>
      <c r="FGJ218" s="630"/>
      <c r="FGK218" s="630"/>
      <c r="FGL218" s="630"/>
      <c r="FGM218" s="630"/>
      <c r="FGN218" s="630"/>
      <c r="FGO218" s="630"/>
      <c r="FGP218" s="630"/>
      <c r="FGQ218" s="630"/>
      <c r="FGR218" s="630"/>
      <c r="FGS218" s="630"/>
      <c r="FGT218" s="630"/>
      <c r="FGU218" s="630"/>
      <c r="FGV218" s="630"/>
      <c r="FGW218" s="630"/>
      <c r="FGX218" s="630"/>
      <c r="FGY218" s="630"/>
      <c r="FGZ218" s="630"/>
      <c r="FHA218" s="630"/>
      <c r="FHB218" s="630"/>
      <c r="FHC218" s="630"/>
      <c r="FHD218" s="630"/>
      <c r="FHE218" s="630"/>
      <c r="FHF218" s="630"/>
      <c r="FHG218" s="630"/>
      <c r="FHH218" s="630"/>
      <c r="FHI218" s="630"/>
      <c r="FHJ218" s="630"/>
      <c r="FHK218" s="630"/>
      <c r="FHL218" s="630"/>
      <c r="FHM218" s="630"/>
      <c r="FHN218" s="630"/>
      <c r="FHO218" s="630"/>
      <c r="FHP218" s="630"/>
      <c r="FHQ218" s="630"/>
      <c r="FHR218" s="630"/>
      <c r="FHS218" s="630"/>
      <c r="FHT218" s="630"/>
      <c r="FHU218" s="630"/>
      <c r="FHV218" s="630"/>
      <c r="FHW218" s="630"/>
      <c r="FHX218" s="630"/>
      <c r="FHY218" s="630"/>
      <c r="FHZ218" s="630"/>
      <c r="FIA218" s="630"/>
      <c r="FIB218" s="630"/>
      <c r="FIC218" s="630"/>
      <c r="FID218" s="630"/>
      <c r="FIE218" s="630"/>
      <c r="FIF218" s="630"/>
      <c r="FIG218" s="630"/>
      <c r="FIH218" s="630"/>
      <c r="FII218" s="630"/>
      <c r="FIJ218" s="630"/>
      <c r="FIK218" s="630"/>
      <c r="FIL218" s="630"/>
      <c r="FIM218" s="630"/>
      <c r="FIN218" s="630"/>
      <c r="FIO218" s="630"/>
      <c r="FIP218" s="630"/>
      <c r="FIQ218" s="630"/>
      <c r="FIR218" s="630"/>
      <c r="FIS218" s="630"/>
      <c r="FIT218" s="630"/>
      <c r="FIU218" s="630"/>
      <c r="FIV218" s="630"/>
      <c r="FIW218" s="630"/>
      <c r="FIX218" s="630"/>
      <c r="FIY218" s="630"/>
      <c r="FIZ218" s="630"/>
      <c r="FJA218" s="630"/>
      <c r="FJB218" s="630"/>
      <c r="FJC218" s="630"/>
      <c r="FJD218" s="630"/>
      <c r="FJE218" s="630"/>
      <c r="FJF218" s="630"/>
      <c r="FJG218" s="630"/>
      <c r="FJH218" s="630"/>
      <c r="FJI218" s="630"/>
      <c r="FJJ218" s="630"/>
      <c r="FJK218" s="630"/>
      <c r="FJL218" s="630"/>
      <c r="FJM218" s="630"/>
      <c r="FJN218" s="630"/>
      <c r="FJO218" s="630"/>
      <c r="FJP218" s="630"/>
      <c r="FJQ218" s="630"/>
      <c r="FJR218" s="630"/>
      <c r="FJS218" s="630"/>
      <c r="FJT218" s="630"/>
      <c r="FJU218" s="630"/>
      <c r="FJV218" s="630"/>
      <c r="FJW218" s="630"/>
      <c r="FJX218" s="630"/>
      <c r="FJY218" s="630"/>
      <c r="FJZ218" s="630"/>
      <c r="FKA218" s="630"/>
      <c r="FKB218" s="630"/>
      <c r="FKC218" s="630"/>
      <c r="FKD218" s="630"/>
      <c r="FKE218" s="630"/>
      <c r="FKF218" s="630"/>
      <c r="FKG218" s="630"/>
      <c r="FKH218" s="630"/>
      <c r="FKI218" s="630"/>
      <c r="FKJ218" s="630"/>
      <c r="FKK218" s="630"/>
      <c r="FKL218" s="630"/>
      <c r="FKM218" s="630"/>
      <c r="FKN218" s="630"/>
      <c r="FKO218" s="630"/>
      <c r="FKP218" s="630"/>
      <c r="FKQ218" s="630"/>
      <c r="FKR218" s="630"/>
      <c r="FKS218" s="630"/>
      <c r="FKT218" s="630"/>
      <c r="FKU218" s="630"/>
      <c r="FKV218" s="630"/>
      <c r="FKW218" s="630"/>
      <c r="FKX218" s="630"/>
      <c r="FKY218" s="630"/>
      <c r="FKZ218" s="630"/>
      <c r="FLA218" s="630"/>
      <c r="FLB218" s="630"/>
      <c r="FLC218" s="630"/>
      <c r="FLD218" s="630"/>
      <c r="FLE218" s="630"/>
      <c r="FLF218" s="630"/>
      <c r="FLG218" s="630"/>
      <c r="FLH218" s="630"/>
      <c r="FLI218" s="630"/>
      <c r="FLJ218" s="630"/>
      <c r="FLK218" s="630"/>
      <c r="FLL218" s="630"/>
      <c r="FLM218" s="630"/>
      <c r="FLN218" s="630"/>
      <c r="FLO218" s="630"/>
      <c r="FLP218" s="630"/>
      <c r="FLQ218" s="630"/>
      <c r="FLR218" s="630"/>
      <c r="FLS218" s="630"/>
      <c r="FLT218" s="630"/>
      <c r="FLU218" s="630"/>
      <c r="FLV218" s="630"/>
      <c r="FLW218" s="630"/>
      <c r="FLX218" s="630"/>
      <c r="FLY218" s="630"/>
      <c r="FLZ218" s="630"/>
      <c r="FMA218" s="630"/>
      <c r="FMB218" s="630"/>
      <c r="FMC218" s="630"/>
      <c r="FMD218" s="630"/>
      <c r="FME218" s="630"/>
      <c r="FMF218" s="630"/>
      <c r="FMG218" s="630"/>
      <c r="FMH218" s="630"/>
      <c r="FMI218" s="630"/>
      <c r="FMJ218" s="630"/>
      <c r="FMK218" s="630"/>
      <c r="FML218" s="630"/>
      <c r="FMM218" s="630"/>
      <c r="FMN218" s="630"/>
      <c r="FMO218" s="630"/>
      <c r="FMP218" s="630"/>
      <c r="FMQ218" s="630"/>
      <c r="FMR218" s="630"/>
      <c r="FMS218" s="630"/>
      <c r="FMT218" s="630"/>
      <c r="FMU218" s="630"/>
      <c r="FMV218" s="630"/>
      <c r="FMW218" s="630"/>
      <c r="FMX218" s="630"/>
      <c r="FMY218" s="630"/>
      <c r="FMZ218" s="630"/>
      <c r="FNA218" s="630"/>
      <c r="FNB218" s="630"/>
      <c r="FNC218" s="630"/>
      <c r="FND218" s="630"/>
      <c r="FNE218" s="630"/>
      <c r="FNF218" s="630"/>
      <c r="FNG218" s="630"/>
      <c r="FNH218" s="630"/>
      <c r="FNI218" s="630"/>
      <c r="FNJ218" s="630"/>
      <c r="FNK218" s="630"/>
      <c r="FNL218" s="630"/>
      <c r="FNM218" s="630"/>
      <c r="FNN218" s="630"/>
      <c r="FNO218" s="630"/>
      <c r="FNP218" s="630"/>
      <c r="FNQ218" s="630"/>
      <c r="FNR218" s="630"/>
      <c r="FNS218" s="630"/>
      <c r="FNT218" s="630"/>
      <c r="FNU218" s="630"/>
      <c r="FNV218" s="630"/>
      <c r="FNW218" s="630"/>
      <c r="FNX218" s="630"/>
      <c r="FNY218" s="630"/>
      <c r="FNZ218" s="630"/>
      <c r="FOA218" s="630"/>
      <c r="FOB218" s="630"/>
      <c r="FOC218" s="630"/>
      <c r="FOD218" s="630"/>
      <c r="FOE218" s="630"/>
      <c r="FOF218" s="630"/>
      <c r="FOG218" s="630"/>
      <c r="FOH218" s="630"/>
      <c r="FOI218" s="630"/>
      <c r="FOJ218" s="630"/>
      <c r="FOK218" s="630"/>
      <c r="FOL218" s="630"/>
      <c r="FOM218" s="630"/>
      <c r="FON218" s="630"/>
      <c r="FOO218" s="630"/>
      <c r="FOP218" s="630"/>
      <c r="FOQ218" s="630"/>
      <c r="FOR218" s="630"/>
      <c r="FOS218" s="630"/>
      <c r="FOT218" s="630"/>
      <c r="FOU218" s="630"/>
      <c r="FOV218" s="630"/>
      <c r="FOW218" s="630"/>
      <c r="FOX218" s="630"/>
      <c r="FOY218" s="630"/>
      <c r="FOZ218" s="630"/>
      <c r="FPA218" s="630"/>
      <c r="FPB218" s="630"/>
      <c r="FPC218" s="630"/>
      <c r="FPD218" s="630"/>
      <c r="FPE218" s="630"/>
      <c r="FPF218" s="630"/>
      <c r="FPG218" s="630"/>
      <c r="FPH218" s="630"/>
      <c r="FPI218" s="630"/>
      <c r="FPJ218" s="630"/>
      <c r="FPK218" s="630"/>
      <c r="FPL218" s="630"/>
      <c r="FPM218" s="630"/>
      <c r="FPN218" s="630"/>
      <c r="FPO218" s="630"/>
      <c r="FPP218" s="630"/>
      <c r="FPQ218" s="630"/>
      <c r="FPR218" s="630"/>
      <c r="FPS218" s="630"/>
      <c r="FPT218" s="630"/>
      <c r="FPU218" s="630"/>
      <c r="FPV218" s="630"/>
      <c r="FPW218" s="630"/>
      <c r="FPX218" s="630"/>
      <c r="FPY218" s="630"/>
      <c r="FPZ218" s="630"/>
      <c r="FQA218" s="630"/>
      <c r="FQB218" s="630"/>
      <c r="FQC218" s="630"/>
      <c r="FQD218" s="630"/>
      <c r="FQE218" s="630"/>
      <c r="FQF218" s="630"/>
      <c r="FQG218" s="630"/>
      <c r="FQH218" s="630"/>
      <c r="FQI218" s="630"/>
      <c r="FQJ218" s="630"/>
      <c r="FQK218" s="630"/>
      <c r="FQL218" s="630"/>
      <c r="FQM218" s="630"/>
      <c r="FQN218" s="630"/>
      <c r="FQO218" s="630"/>
      <c r="FQP218" s="630"/>
      <c r="FQQ218" s="630"/>
      <c r="FQR218" s="630"/>
      <c r="FQS218" s="630"/>
      <c r="FQT218" s="630"/>
      <c r="FQU218" s="630"/>
      <c r="FQV218" s="630"/>
      <c r="FQW218" s="630"/>
      <c r="FQX218" s="630"/>
      <c r="FQY218" s="630"/>
      <c r="FQZ218" s="630"/>
      <c r="FRA218" s="630"/>
      <c r="FRB218" s="630"/>
      <c r="FRC218" s="630"/>
      <c r="FRD218" s="630"/>
      <c r="FRE218" s="630"/>
      <c r="FRF218" s="630"/>
      <c r="FRG218" s="630"/>
      <c r="FRH218" s="630"/>
      <c r="FRI218" s="630"/>
      <c r="FRJ218" s="630"/>
      <c r="FRK218" s="630"/>
      <c r="FRL218" s="630"/>
      <c r="FRM218" s="630"/>
      <c r="FRN218" s="630"/>
      <c r="FRO218" s="630"/>
      <c r="FRP218" s="630"/>
      <c r="FRQ218" s="630"/>
      <c r="FRR218" s="630"/>
      <c r="FRS218" s="630"/>
      <c r="FRT218" s="630"/>
      <c r="FRU218" s="630"/>
      <c r="FRV218" s="630"/>
      <c r="FRW218" s="630"/>
      <c r="FRX218" s="630"/>
      <c r="FRY218" s="630"/>
      <c r="FRZ218" s="630"/>
      <c r="FSA218" s="630"/>
      <c r="FSB218" s="630"/>
      <c r="FSC218" s="630"/>
      <c r="FSD218" s="630"/>
      <c r="FSE218" s="630"/>
      <c r="FSF218" s="630"/>
      <c r="FSG218" s="630"/>
      <c r="FSH218" s="630"/>
      <c r="FSI218" s="630"/>
      <c r="FSJ218" s="630"/>
      <c r="FSK218" s="630"/>
      <c r="FSL218" s="630"/>
      <c r="FSM218" s="630"/>
      <c r="FSN218" s="630"/>
      <c r="FSO218" s="630"/>
      <c r="FSP218" s="630"/>
      <c r="FSQ218" s="630"/>
      <c r="FSR218" s="630"/>
      <c r="FSS218" s="630"/>
      <c r="FST218" s="630"/>
      <c r="FSU218" s="630"/>
      <c r="FSV218" s="630"/>
      <c r="FSW218" s="630"/>
      <c r="FSX218" s="630"/>
      <c r="FSY218" s="630"/>
      <c r="FSZ218" s="630"/>
      <c r="FTA218" s="630"/>
      <c r="FTB218" s="630"/>
      <c r="FTC218" s="630"/>
      <c r="FTD218" s="630"/>
      <c r="FTE218" s="630"/>
      <c r="FTF218" s="630"/>
      <c r="FTG218" s="630"/>
      <c r="FTH218" s="630"/>
      <c r="FTI218" s="630"/>
      <c r="FTJ218" s="630"/>
      <c r="FTK218" s="630"/>
      <c r="FTL218" s="630"/>
      <c r="FTM218" s="630"/>
      <c r="FTN218" s="630"/>
      <c r="FTO218" s="630"/>
      <c r="FTP218" s="630"/>
      <c r="FTQ218" s="630"/>
      <c r="FTR218" s="630"/>
      <c r="FTS218" s="630"/>
      <c r="FTT218" s="630"/>
      <c r="FTU218" s="630"/>
      <c r="FTV218" s="630"/>
      <c r="FTW218" s="630"/>
      <c r="FTX218" s="630"/>
      <c r="FTY218" s="630"/>
      <c r="FTZ218" s="630"/>
      <c r="FUA218" s="630"/>
      <c r="FUB218" s="630"/>
      <c r="FUC218" s="630"/>
      <c r="FUD218" s="630"/>
      <c r="FUE218" s="630"/>
      <c r="FUF218" s="630"/>
      <c r="FUG218" s="630"/>
      <c r="FUH218" s="630"/>
      <c r="FUI218" s="630"/>
      <c r="FUJ218" s="630"/>
      <c r="FUK218" s="630"/>
      <c r="FUL218" s="630"/>
      <c r="FUM218" s="630"/>
      <c r="FUN218" s="630"/>
      <c r="FUO218" s="630"/>
      <c r="FUP218" s="630"/>
      <c r="FUQ218" s="630"/>
      <c r="FUR218" s="630"/>
      <c r="FUS218" s="630"/>
      <c r="FUT218" s="630"/>
      <c r="FUU218" s="630"/>
      <c r="FUV218" s="630"/>
      <c r="FUW218" s="630"/>
      <c r="FUX218" s="630"/>
      <c r="FUY218" s="630"/>
      <c r="FUZ218" s="630"/>
      <c r="FVA218" s="630"/>
      <c r="FVB218" s="630"/>
      <c r="FVC218" s="630"/>
      <c r="FVD218" s="630"/>
      <c r="FVE218" s="630"/>
      <c r="FVF218" s="630"/>
      <c r="FVG218" s="630"/>
      <c r="FVH218" s="630"/>
      <c r="FVI218" s="630"/>
      <c r="FVJ218" s="630"/>
      <c r="FVK218" s="630"/>
      <c r="FVL218" s="630"/>
      <c r="FVM218" s="630"/>
      <c r="FVN218" s="630"/>
      <c r="FVO218" s="630"/>
      <c r="FVP218" s="630"/>
      <c r="FVQ218" s="630"/>
      <c r="FVR218" s="630"/>
      <c r="FVS218" s="630"/>
      <c r="FVT218" s="630"/>
      <c r="FVU218" s="630"/>
      <c r="FVV218" s="630"/>
      <c r="FVW218" s="630"/>
      <c r="FVX218" s="630"/>
      <c r="FVY218" s="630"/>
      <c r="FVZ218" s="630"/>
      <c r="FWA218" s="630"/>
      <c r="FWB218" s="630"/>
      <c r="FWC218" s="630"/>
      <c r="FWD218" s="630"/>
      <c r="FWE218" s="630"/>
      <c r="FWF218" s="630"/>
      <c r="FWG218" s="630"/>
      <c r="FWH218" s="630"/>
      <c r="FWI218" s="630"/>
      <c r="FWJ218" s="630"/>
      <c r="FWK218" s="630"/>
      <c r="FWL218" s="630"/>
      <c r="FWM218" s="630"/>
      <c r="FWN218" s="630"/>
      <c r="FWO218" s="630"/>
      <c r="FWP218" s="630"/>
      <c r="FWQ218" s="630"/>
      <c r="FWR218" s="630"/>
      <c r="FWS218" s="630"/>
      <c r="FWT218" s="630"/>
      <c r="FWU218" s="630"/>
      <c r="FWV218" s="630"/>
      <c r="FWW218" s="630"/>
      <c r="FWX218" s="630"/>
      <c r="FWY218" s="630"/>
      <c r="FWZ218" s="630"/>
      <c r="FXA218" s="630"/>
      <c r="FXB218" s="630"/>
      <c r="FXC218" s="630"/>
      <c r="FXD218" s="630"/>
      <c r="FXE218" s="630"/>
      <c r="FXF218" s="630"/>
      <c r="FXG218" s="630"/>
      <c r="FXH218" s="630"/>
      <c r="FXI218" s="630"/>
      <c r="FXJ218" s="630"/>
      <c r="FXK218" s="630"/>
      <c r="FXL218" s="630"/>
      <c r="FXM218" s="630"/>
      <c r="FXN218" s="630"/>
      <c r="FXO218" s="630"/>
      <c r="FXP218" s="630"/>
      <c r="FXQ218" s="630"/>
      <c r="FXR218" s="630"/>
      <c r="FXS218" s="630"/>
      <c r="FXT218" s="630"/>
      <c r="FXU218" s="630"/>
      <c r="FXV218" s="630"/>
      <c r="FXW218" s="630"/>
      <c r="FXX218" s="630"/>
      <c r="FXY218" s="630"/>
      <c r="FXZ218" s="630"/>
      <c r="FYA218" s="630"/>
      <c r="FYB218" s="630"/>
      <c r="FYC218" s="630"/>
      <c r="FYD218" s="630"/>
      <c r="FYE218" s="630"/>
      <c r="FYF218" s="630"/>
      <c r="FYG218" s="630"/>
      <c r="FYH218" s="630"/>
      <c r="FYI218" s="630"/>
      <c r="FYJ218" s="630"/>
      <c r="FYK218" s="630"/>
      <c r="FYL218" s="630"/>
      <c r="FYM218" s="630"/>
      <c r="FYN218" s="630"/>
      <c r="FYO218" s="630"/>
      <c r="FYP218" s="630"/>
      <c r="FYQ218" s="630"/>
      <c r="FYR218" s="630"/>
      <c r="FYS218" s="630"/>
      <c r="FYT218" s="630"/>
      <c r="FYU218" s="630"/>
      <c r="FYV218" s="630"/>
      <c r="FYW218" s="630"/>
      <c r="FYX218" s="630"/>
      <c r="FYY218" s="630"/>
      <c r="FYZ218" s="630"/>
      <c r="FZA218" s="630"/>
      <c r="FZB218" s="630"/>
      <c r="FZC218" s="630"/>
      <c r="FZD218" s="630"/>
      <c r="FZE218" s="630"/>
      <c r="FZF218" s="630"/>
      <c r="FZG218" s="630"/>
      <c r="FZH218" s="630"/>
      <c r="FZI218" s="630"/>
      <c r="FZJ218" s="630"/>
      <c r="FZK218" s="630"/>
      <c r="FZL218" s="630"/>
      <c r="FZM218" s="630"/>
      <c r="FZN218" s="630"/>
      <c r="FZO218" s="630"/>
      <c r="FZP218" s="630"/>
      <c r="FZQ218" s="630"/>
      <c r="FZR218" s="630"/>
      <c r="FZS218" s="630"/>
      <c r="FZT218" s="630"/>
      <c r="FZU218" s="630"/>
      <c r="FZV218" s="630"/>
      <c r="FZW218" s="630"/>
      <c r="FZX218" s="630"/>
      <c r="FZY218" s="630"/>
      <c r="FZZ218" s="630"/>
      <c r="GAA218" s="630"/>
      <c r="GAB218" s="630"/>
      <c r="GAC218" s="630"/>
      <c r="GAD218" s="630"/>
      <c r="GAE218" s="630"/>
      <c r="GAF218" s="630"/>
      <c r="GAG218" s="630"/>
      <c r="GAH218" s="630"/>
      <c r="GAI218" s="630"/>
      <c r="GAJ218" s="630"/>
      <c r="GAK218" s="630"/>
      <c r="GAL218" s="630"/>
      <c r="GAM218" s="630"/>
      <c r="GAN218" s="630"/>
      <c r="GAO218" s="630"/>
      <c r="GAP218" s="630"/>
      <c r="GAQ218" s="630"/>
      <c r="GAR218" s="630"/>
      <c r="GAS218" s="630"/>
      <c r="GAT218" s="630"/>
      <c r="GAU218" s="630"/>
      <c r="GAV218" s="630"/>
      <c r="GAW218" s="630"/>
      <c r="GAX218" s="630"/>
      <c r="GAY218" s="630"/>
      <c r="GAZ218" s="630"/>
      <c r="GBA218" s="630"/>
      <c r="GBB218" s="630"/>
      <c r="GBC218" s="630"/>
      <c r="GBD218" s="630"/>
      <c r="GBE218" s="630"/>
      <c r="GBF218" s="630"/>
      <c r="GBG218" s="630"/>
      <c r="GBH218" s="630"/>
      <c r="GBI218" s="630"/>
      <c r="GBJ218" s="630"/>
      <c r="GBK218" s="630"/>
      <c r="GBL218" s="630"/>
      <c r="GBM218" s="630"/>
      <c r="GBN218" s="630"/>
      <c r="GBO218" s="630"/>
      <c r="GBP218" s="630"/>
      <c r="GBQ218" s="630"/>
      <c r="GBR218" s="630"/>
      <c r="GBS218" s="630"/>
      <c r="GBT218" s="630"/>
      <c r="GBU218" s="630"/>
      <c r="GBV218" s="630"/>
      <c r="GBW218" s="630"/>
      <c r="GBX218" s="630"/>
      <c r="GBY218" s="630"/>
      <c r="GBZ218" s="630"/>
      <c r="GCA218" s="630"/>
      <c r="GCB218" s="630"/>
      <c r="GCC218" s="630"/>
      <c r="GCD218" s="630"/>
      <c r="GCE218" s="630"/>
      <c r="GCF218" s="630"/>
      <c r="GCG218" s="630"/>
      <c r="GCH218" s="630"/>
      <c r="GCI218" s="630"/>
      <c r="GCJ218" s="630"/>
      <c r="GCK218" s="630"/>
      <c r="GCL218" s="630"/>
      <c r="GCM218" s="630"/>
      <c r="GCN218" s="630"/>
      <c r="GCO218" s="630"/>
      <c r="GCP218" s="630"/>
      <c r="GCQ218" s="630"/>
      <c r="GCR218" s="630"/>
      <c r="GCS218" s="630"/>
      <c r="GCT218" s="630"/>
      <c r="GCU218" s="630"/>
      <c r="GCV218" s="630"/>
      <c r="GCW218" s="630"/>
      <c r="GCX218" s="630"/>
      <c r="GCY218" s="630"/>
      <c r="GCZ218" s="630"/>
      <c r="GDA218" s="630"/>
      <c r="GDB218" s="630"/>
      <c r="GDC218" s="630"/>
      <c r="GDD218" s="630"/>
      <c r="GDE218" s="630"/>
      <c r="GDF218" s="630"/>
      <c r="GDG218" s="630"/>
      <c r="GDH218" s="630"/>
      <c r="GDI218" s="630"/>
      <c r="GDJ218" s="630"/>
      <c r="GDK218" s="630"/>
      <c r="GDL218" s="630"/>
      <c r="GDM218" s="630"/>
      <c r="GDN218" s="630"/>
      <c r="GDO218" s="630"/>
      <c r="GDP218" s="630"/>
      <c r="GDQ218" s="630"/>
      <c r="GDR218" s="630"/>
      <c r="GDS218" s="630"/>
      <c r="GDT218" s="630"/>
      <c r="GDU218" s="630"/>
      <c r="GDV218" s="630"/>
      <c r="GDW218" s="630"/>
      <c r="GDX218" s="630"/>
      <c r="GDY218" s="630"/>
      <c r="GDZ218" s="630"/>
      <c r="GEA218" s="630"/>
      <c r="GEB218" s="630"/>
      <c r="GEC218" s="630"/>
      <c r="GED218" s="630"/>
      <c r="GEE218" s="630"/>
      <c r="GEF218" s="630"/>
      <c r="GEG218" s="630"/>
      <c r="GEH218" s="630"/>
      <c r="GEI218" s="630"/>
      <c r="GEJ218" s="630"/>
      <c r="GEK218" s="630"/>
      <c r="GEL218" s="630"/>
      <c r="GEM218" s="630"/>
      <c r="GEN218" s="630"/>
      <c r="GEO218" s="630"/>
      <c r="GEP218" s="630"/>
      <c r="GEQ218" s="630"/>
      <c r="GER218" s="630"/>
      <c r="GES218" s="630"/>
      <c r="GET218" s="630"/>
      <c r="GEU218" s="630"/>
      <c r="GEV218" s="630"/>
      <c r="GEW218" s="630"/>
      <c r="GEX218" s="630"/>
      <c r="GEY218" s="630"/>
      <c r="GEZ218" s="630"/>
      <c r="GFA218" s="630"/>
      <c r="GFB218" s="630"/>
      <c r="GFC218" s="630"/>
      <c r="GFD218" s="630"/>
      <c r="GFE218" s="630"/>
      <c r="GFF218" s="630"/>
      <c r="GFG218" s="630"/>
      <c r="GFH218" s="630"/>
      <c r="GFI218" s="630"/>
      <c r="GFJ218" s="630"/>
      <c r="GFK218" s="630"/>
      <c r="GFL218" s="630"/>
      <c r="GFM218" s="630"/>
      <c r="GFN218" s="630"/>
      <c r="GFO218" s="630"/>
      <c r="GFP218" s="630"/>
      <c r="GFQ218" s="630"/>
      <c r="GFR218" s="630"/>
      <c r="GFS218" s="630"/>
      <c r="GFT218" s="630"/>
      <c r="GFU218" s="630"/>
      <c r="GFV218" s="630"/>
      <c r="GFW218" s="630"/>
      <c r="GFX218" s="630"/>
      <c r="GFY218" s="630"/>
      <c r="GFZ218" s="630"/>
      <c r="GGA218" s="630"/>
      <c r="GGB218" s="630"/>
      <c r="GGC218" s="630"/>
      <c r="GGD218" s="630"/>
      <c r="GGE218" s="630"/>
      <c r="GGF218" s="630"/>
      <c r="GGG218" s="630"/>
      <c r="GGH218" s="630"/>
      <c r="GGI218" s="630"/>
      <c r="GGJ218" s="630"/>
      <c r="GGK218" s="630"/>
      <c r="GGL218" s="630"/>
      <c r="GGM218" s="630"/>
      <c r="GGN218" s="630"/>
      <c r="GGO218" s="630"/>
      <c r="GGP218" s="630"/>
      <c r="GGQ218" s="630"/>
      <c r="GGR218" s="630"/>
      <c r="GGS218" s="630"/>
      <c r="GGT218" s="630"/>
      <c r="GGU218" s="630"/>
      <c r="GGV218" s="630"/>
      <c r="GGW218" s="630"/>
      <c r="GGX218" s="630"/>
      <c r="GGY218" s="630"/>
      <c r="GGZ218" s="630"/>
      <c r="GHA218" s="630"/>
      <c r="GHB218" s="630"/>
      <c r="GHC218" s="630"/>
      <c r="GHD218" s="630"/>
      <c r="GHE218" s="630"/>
      <c r="GHF218" s="630"/>
      <c r="GHG218" s="630"/>
      <c r="GHH218" s="630"/>
      <c r="GHI218" s="630"/>
      <c r="GHJ218" s="630"/>
      <c r="GHK218" s="630"/>
      <c r="GHL218" s="630"/>
      <c r="GHM218" s="630"/>
      <c r="GHN218" s="630"/>
      <c r="GHO218" s="630"/>
      <c r="GHP218" s="630"/>
      <c r="GHQ218" s="630"/>
      <c r="GHR218" s="630"/>
      <c r="GHS218" s="630"/>
      <c r="GHT218" s="630"/>
      <c r="GHU218" s="630"/>
      <c r="GHV218" s="630"/>
      <c r="GHW218" s="630"/>
      <c r="GHX218" s="630"/>
      <c r="GHY218" s="630"/>
      <c r="GHZ218" s="630"/>
      <c r="GIA218" s="630"/>
      <c r="GIB218" s="630"/>
      <c r="GIC218" s="630"/>
      <c r="GID218" s="630"/>
      <c r="GIE218" s="630"/>
      <c r="GIF218" s="630"/>
      <c r="GIG218" s="630"/>
      <c r="GIH218" s="630"/>
      <c r="GII218" s="630"/>
      <c r="GIJ218" s="630"/>
      <c r="GIK218" s="630"/>
      <c r="GIL218" s="630"/>
      <c r="GIM218" s="630"/>
      <c r="GIN218" s="630"/>
      <c r="GIO218" s="630"/>
      <c r="GIP218" s="630"/>
      <c r="GIQ218" s="630"/>
      <c r="GIR218" s="630"/>
      <c r="GIS218" s="630"/>
      <c r="GIT218" s="630"/>
      <c r="GIU218" s="630"/>
      <c r="GIV218" s="630"/>
      <c r="GIW218" s="630"/>
      <c r="GIX218" s="630"/>
      <c r="GIY218" s="630"/>
      <c r="GIZ218" s="630"/>
      <c r="GJA218" s="630"/>
      <c r="GJB218" s="630"/>
      <c r="GJC218" s="630"/>
      <c r="GJD218" s="630"/>
      <c r="GJE218" s="630"/>
      <c r="GJF218" s="630"/>
      <c r="GJG218" s="630"/>
      <c r="GJH218" s="630"/>
      <c r="GJI218" s="630"/>
      <c r="GJJ218" s="630"/>
      <c r="GJK218" s="630"/>
      <c r="GJL218" s="630"/>
      <c r="GJM218" s="630"/>
      <c r="GJN218" s="630"/>
      <c r="GJO218" s="630"/>
      <c r="GJP218" s="630"/>
      <c r="GJQ218" s="630"/>
      <c r="GJR218" s="630"/>
      <c r="GJS218" s="630"/>
      <c r="GJT218" s="630"/>
      <c r="GJU218" s="630"/>
      <c r="GJV218" s="630"/>
      <c r="GJW218" s="630"/>
      <c r="GJX218" s="630"/>
      <c r="GJY218" s="630"/>
      <c r="GJZ218" s="630"/>
      <c r="GKA218" s="630"/>
      <c r="GKB218" s="630"/>
      <c r="GKC218" s="630"/>
      <c r="GKD218" s="630"/>
      <c r="GKE218" s="630"/>
      <c r="GKF218" s="630"/>
      <c r="GKG218" s="630"/>
      <c r="GKH218" s="630"/>
      <c r="GKI218" s="630"/>
      <c r="GKJ218" s="630"/>
      <c r="GKK218" s="630"/>
      <c r="GKL218" s="630"/>
      <c r="GKM218" s="630"/>
      <c r="GKN218" s="630"/>
      <c r="GKO218" s="630"/>
      <c r="GKP218" s="630"/>
      <c r="GKQ218" s="630"/>
      <c r="GKR218" s="630"/>
      <c r="GKS218" s="630"/>
      <c r="GKT218" s="630"/>
      <c r="GKU218" s="630"/>
      <c r="GKV218" s="630"/>
      <c r="GKW218" s="630"/>
      <c r="GKX218" s="630"/>
      <c r="GKY218" s="630"/>
      <c r="GKZ218" s="630"/>
      <c r="GLA218" s="630"/>
      <c r="GLB218" s="630"/>
      <c r="GLC218" s="630"/>
      <c r="GLD218" s="630"/>
      <c r="GLE218" s="630"/>
      <c r="GLF218" s="630"/>
      <c r="GLG218" s="630"/>
      <c r="GLH218" s="630"/>
      <c r="GLI218" s="630"/>
      <c r="GLJ218" s="630"/>
      <c r="GLK218" s="630"/>
      <c r="GLL218" s="630"/>
      <c r="GLM218" s="630"/>
      <c r="GLN218" s="630"/>
      <c r="GLO218" s="630"/>
      <c r="GLP218" s="630"/>
      <c r="GLQ218" s="630"/>
      <c r="GLR218" s="630"/>
      <c r="GLS218" s="630"/>
      <c r="GLT218" s="630"/>
      <c r="GLU218" s="630"/>
      <c r="GLV218" s="630"/>
      <c r="GLW218" s="630"/>
      <c r="GLX218" s="630"/>
      <c r="GLY218" s="630"/>
      <c r="GLZ218" s="630"/>
      <c r="GMA218" s="630"/>
      <c r="GMB218" s="630"/>
      <c r="GMC218" s="630"/>
      <c r="GMD218" s="630"/>
      <c r="GME218" s="630"/>
      <c r="GMF218" s="630"/>
      <c r="GMG218" s="630"/>
      <c r="GMH218" s="630"/>
      <c r="GMI218" s="630"/>
      <c r="GMJ218" s="630"/>
      <c r="GMK218" s="630"/>
      <c r="GML218" s="630"/>
      <c r="GMM218" s="630"/>
      <c r="GMN218" s="630"/>
      <c r="GMO218" s="630"/>
      <c r="GMP218" s="630"/>
      <c r="GMQ218" s="630"/>
      <c r="GMR218" s="630"/>
      <c r="GMS218" s="630"/>
      <c r="GMT218" s="630"/>
      <c r="GMU218" s="630"/>
      <c r="GMV218" s="630"/>
      <c r="GMW218" s="630"/>
      <c r="GMX218" s="630"/>
      <c r="GMY218" s="630"/>
      <c r="GMZ218" s="630"/>
      <c r="GNA218" s="630"/>
      <c r="GNB218" s="630"/>
      <c r="GNC218" s="630"/>
      <c r="GND218" s="630"/>
      <c r="GNE218" s="630"/>
      <c r="GNF218" s="630"/>
      <c r="GNG218" s="630"/>
      <c r="GNH218" s="630"/>
      <c r="GNI218" s="630"/>
      <c r="GNJ218" s="630"/>
      <c r="GNK218" s="630"/>
      <c r="GNL218" s="630"/>
      <c r="GNM218" s="630"/>
      <c r="GNN218" s="630"/>
      <c r="GNO218" s="630"/>
      <c r="GNP218" s="630"/>
      <c r="GNQ218" s="630"/>
      <c r="GNR218" s="630"/>
      <c r="GNS218" s="630"/>
      <c r="GNT218" s="630"/>
      <c r="GNU218" s="630"/>
      <c r="GNV218" s="630"/>
      <c r="GNW218" s="630"/>
      <c r="GNX218" s="630"/>
      <c r="GNY218" s="630"/>
      <c r="GNZ218" s="630"/>
      <c r="GOA218" s="630"/>
      <c r="GOB218" s="630"/>
      <c r="GOC218" s="630"/>
      <c r="GOD218" s="630"/>
      <c r="GOE218" s="630"/>
      <c r="GOF218" s="630"/>
      <c r="GOG218" s="630"/>
      <c r="GOH218" s="630"/>
      <c r="GOI218" s="630"/>
      <c r="GOJ218" s="630"/>
      <c r="GOK218" s="630"/>
      <c r="GOL218" s="630"/>
      <c r="GOM218" s="630"/>
      <c r="GON218" s="630"/>
      <c r="GOO218" s="630"/>
      <c r="GOP218" s="630"/>
      <c r="GOQ218" s="630"/>
      <c r="GOR218" s="630"/>
      <c r="GOS218" s="630"/>
      <c r="GOT218" s="630"/>
      <c r="GOU218" s="630"/>
      <c r="GOV218" s="630"/>
      <c r="GOW218" s="630"/>
      <c r="GOX218" s="630"/>
      <c r="GOY218" s="630"/>
      <c r="GOZ218" s="630"/>
      <c r="GPA218" s="630"/>
      <c r="GPB218" s="630"/>
      <c r="GPC218" s="630"/>
      <c r="GPD218" s="630"/>
      <c r="GPE218" s="630"/>
      <c r="GPF218" s="630"/>
      <c r="GPG218" s="630"/>
      <c r="GPH218" s="630"/>
      <c r="GPI218" s="630"/>
      <c r="GPJ218" s="630"/>
      <c r="GPK218" s="630"/>
      <c r="GPL218" s="630"/>
      <c r="GPM218" s="630"/>
      <c r="GPN218" s="630"/>
      <c r="GPO218" s="630"/>
      <c r="GPP218" s="630"/>
      <c r="GPQ218" s="630"/>
      <c r="GPR218" s="630"/>
      <c r="GPS218" s="630"/>
      <c r="GPT218" s="630"/>
      <c r="GPU218" s="630"/>
      <c r="GPV218" s="630"/>
      <c r="GPW218" s="630"/>
      <c r="GPX218" s="630"/>
      <c r="GPY218" s="630"/>
      <c r="GPZ218" s="630"/>
      <c r="GQA218" s="630"/>
      <c r="GQB218" s="630"/>
      <c r="GQC218" s="630"/>
      <c r="GQD218" s="630"/>
      <c r="GQE218" s="630"/>
      <c r="GQF218" s="630"/>
      <c r="GQG218" s="630"/>
      <c r="GQH218" s="630"/>
      <c r="GQI218" s="630"/>
      <c r="GQJ218" s="630"/>
      <c r="GQK218" s="630"/>
      <c r="GQL218" s="630"/>
      <c r="GQM218" s="630"/>
      <c r="GQN218" s="630"/>
      <c r="GQO218" s="630"/>
      <c r="GQP218" s="630"/>
      <c r="GQQ218" s="630"/>
      <c r="GQR218" s="630"/>
      <c r="GQS218" s="630"/>
      <c r="GQT218" s="630"/>
      <c r="GQU218" s="630"/>
      <c r="GQV218" s="630"/>
      <c r="GQW218" s="630"/>
      <c r="GQX218" s="630"/>
      <c r="GQY218" s="630"/>
      <c r="GQZ218" s="630"/>
      <c r="GRA218" s="630"/>
      <c r="GRB218" s="630"/>
      <c r="GRC218" s="630"/>
      <c r="GRD218" s="630"/>
      <c r="GRE218" s="630"/>
      <c r="GRF218" s="630"/>
      <c r="GRG218" s="630"/>
      <c r="GRH218" s="630"/>
      <c r="GRI218" s="630"/>
      <c r="GRJ218" s="630"/>
      <c r="GRK218" s="630"/>
      <c r="GRL218" s="630"/>
      <c r="GRM218" s="630"/>
      <c r="GRN218" s="630"/>
      <c r="GRO218" s="630"/>
      <c r="GRP218" s="630"/>
      <c r="GRQ218" s="630"/>
      <c r="GRR218" s="630"/>
      <c r="GRS218" s="630"/>
      <c r="GRT218" s="630"/>
      <c r="GRU218" s="630"/>
      <c r="GRV218" s="630"/>
      <c r="GRW218" s="630"/>
      <c r="GRX218" s="630"/>
      <c r="GRY218" s="630"/>
      <c r="GRZ218" s="630"/>
      <c r="GSA218" s="630"/>
      <c r="GSB218" s="630"/>
      <c r="GSC218" s="630"/>
      <c r="GSD218" s="630"/>
      <c r="GSE218" s="630"/>
      <c r="GSF218" s="630"/>
      <c r="GSG218" s="630"/>
      <c r="GSH218" s="630"/>
      <c r="GSI218" s="630"/>
      <c r="GSJ218" s="630"/>
      <c r="GSK218" s="630"/>
      <c r="GSL218" s="630"/>
      <c r="GSM218" s="630"/>
      <c r="GSN218" s="630"/>
      <c r="GSO218" s="630"/>
      <c r="GSP218" s="630"/>
      <c r="GSQ218" s="630"/>
      <c r="GSR218" s="630"/>
      <c r="GSS218" s="630"/>
      <c r="GST218" s="630"/>
      <c r="GSU218" s="630"/>
      <c r="GSV218" s="630"/>
      <c r="GSW218" s="630"/>
      <c r="GSX218" s="630"/>
      <c r="GSY218" s="630"/>
      <c r="GSZ218" s="630"/>
      <c r="GTA218" s="630"/>
      <c r="GTB218" s="630"/>
      <c r="GTC218" s="630"/>
      <c r="GTD218" s="630"/>
      <c r="GTE218" s="630"/>
      <c r="GTF218" s="630"/>
      <c r="GTG218" s="630"/>
      <c r="GTH218" s="630"/>
      <c r="GTI218" s="630"/>
      <c r="GTJ218" s="630"/>
      <c r="GTK218" s="630"/>
      <c r="GTL218" s="630"/>
      <c r="GTM218" s="630"/>
      <c r="GTN218" s="630"/>
      <c r="GTO218" s="630"/>
      <c r="GTP218" s="630"/>
      <c r="GTQ218" s="630"/>
      <c r="GTR218" s="630"/>
      <c r="GTS218" s="630"/>
      <c r="GTT218" s="630"/>
      <c r="GTU218" s="630"/>
      <c r="GTV218" s="630"/>
      <c r="GTW218" s="630"/>
      <c r="GTX218" s="630"/>
      <c r="GTY218" s="630"/>
      <c r="GTZ218" s="630"/>
      <c r="GUA218" s="630"/>
      <c r="GUB218" s="630"/>
      <c r="GUC218" s="630"/>
      <c r="GUD218" s="630"/>
      <c r="GUE218" s="630"/>
      <c r="GUF218" s="630"/>
      <c r="GUG218" s="630"/>
      <c r="GUH218" s="630"/>
      <c r="GUI218" s="630"/>
      <c r="GUJ218" s="630"/>
      <c r="GUK218" s="630"/>
      <c r="GUL218" s="630"/>
      <c r="GUM218" s="630"/>
      <c r="GUN218" s="630"/>
      <c r="GUO218" s="630"/>
      <c r="GUP218" s="630"/>
      <c r="GUQ218" s="630"/>
      <c r="GUR218" s="630"/>
      <c r="GUS218" s="630"/>
      <c r="GUT218" s="630"/>
      <c r="GUU218" s="630"/>
      <c r="GUV218" s="630"/>
      <c r="GUW218" s="630"/>
      <c r="GUX218" s="630"/>
      <c r="GUY218" s="630"/>
      <c r="GUZ218" s="630"/>
      <c r="GVA218" s="630"/>
      <c r="GVB218" s="630"/>
      <c r="GVC218" s="630"/>
      <c r="GVD218" s="630"/>
      <c r="GVE218" s="630"/>
      <c r="GVF218" s="630"/>
      <c r="GVG218" s="630"/>
      <c r="GVH218" s="630"/>
      <c r="GVI218" s="630"/>
      <c r="GVJ218" s="630"/>
      <c r="GVK218" s="630"/>
      <c r="GVL218" s="630"/>
      <c r="GVM218" s="630"/>
      <c r="GVN218" s="630"/>
      <c r="GVO218" s="630"/>
      <c r="GVP218" s="630"/>
      <c r="GVQ218" s="630"/>
      <c r="GVR218" s="630"/>
      <c r="GVS218" s="630"/>
      <c r="GVT218" s="630"/>
      <c r="GVU218" s="630"/>
      <c r="GVV218" s="630"/>
      <c r="GVW218" s="630"/>
      <c r="GVX218" s="630"/>
      <c r="GVY218" s="630"/>
      <c r="GVZ218" s="630"/>
      <c r="GWA218" s="630"/>
      <c r="GWB218" s="630"/>
      <c r="GWC218" s="630"/>
      <c r="GWD218" s="630"/>
      <c r="GWE218" s="630"/>
      <c r="GWF218" s="630"/>
      <c r="GWG218" s="630"/>
      <c r="GWH218" s="630"/>
      <c r="GWI218" s="630"/>
      <c r="GWJ218" s="630"/>
      <c r="GWK218" s="630"/>
      <c r="GWL218" s="630"/>
      <c r="GWM218" s="630"/>
      <c r="GWN218" s="630"/>
      <c r="GWO218" s="630"/>
      <c r="GWP218" s="630"/>
      <c r="GWQ218" s="630"/>
      <c r="GWR218" s="630"/>
      <c r="GWS218" s="630"/>
      <c r="GWT218" s="630"/>
      <c r="GWU218" s="630"/>
      <c r="GWV218" s="630"/>
      <c r="GWW218" s="630"/>
      <c r="GWX218" s="630"/>
      <c r="GWY218" s="630"/>
      <c r="GWZ218" s="630"/>
      <c r="GXA218" s="630"/>
      <c r="GXB218" s="630"/>
      <c r="GXC218" s="630"/>
      <c r="GXD218" s="630"/>
      <c r="GXE218" s="630"/>
      <c r="GXF218" s="630"/>
      <c r="GXG218" s="630"/>
      <c r="GXH218" s="630"/>
      <c r="GXI218" s="630"/>
      <c r="GXJ218" s="630"/>
      <c r="GXK218" s="630"/>
      <c r="GXL218" s="630"/>
      <c r="GXM218" s="630"/>
      <c r="GXN218" s="630"/>
      <c r="GXO218" s="630"/>
      <c r="GXP218" s="630"/>
      <c r="GXQ218" s="630"/>
      <c r="GXR218" s="630"/>
      <c r="GXS218" s="630"/>
      <c r="GXT218" s="630"/>
      <c r="GXU218" s="630"/>
      <c r="GXV218" s="630"/>
      <c r="GXW218" s="630"/>
      <c r="GXX218" s="630"/>
      <c r="GXY218" s="630"/>
      <c r="GXZ218" s="630"/>
      <c r="GYA218" s="630"/>
      <c r="GYB218" s="630"/>
      <c r="GYC218" s="630"/>
      <c r="GYD218" s="630"/>
      <c r="GYE218" s="630"/>
      <c r="GYF218" s="630"/>
      <c r="GYG218" s="630"/>
      <c r="GYH218" s="630"/>
      <c r="GYI218" s="630"/>
      <c r="GYJ218" s="630"/>
      <c r="GYK218" s="630"/>
      <c r="GYL218" s="630"/>
      <c r="GYM218" s="630"/>
      <c r="GYN218" s="630"/>
      <c r="GYO218" s="630"/>
      <c r="GYP218" s="630"/>
      <c r="GYQ218" s="630"/>
      <c r="GYR218" s="630"/>
      <c r="GYS218" s="630"/>
      <c r="GYT218" s="630"/>
      <c r="GYU218" s="630"/>
      <c r="GYV218" s="630"/>
      <c r="GYW218" s="630"/>
      <c r="GYX218" s="630"/>
      <c r="GYY218" s="630"/>
      <c r="GYZ218" s="630"/>
      <c r="GZA218" s="630"/>
      <c r="GZB218" s="630"/>
      <c r="GZC218" s="630"/>
      <c r="GZD218" s="630"/>
      <c r="GZE218" s="630"/>
      <c r="GZF218" s="630"/>
      <c r="GZG218" s="630"/>
      <c r="GZH218" s="630"/>
      <c r="GZI218" s="630"/>
      <c r="GZJ218" s="630"/>
      <c r="GZK218" s="630"/>
      <c r="GZL218" s="630"/>
      <c r="GZM218" s="630"/>
      <c r="GZN218" s="630"/>
      <c r="GZO218" s="630"/>
      <c r="GZP218" s="630"/>
      <c r="GZQ218" s="630"/>
      <c r="GZR218" s="630"/>
      <c r="GZS218" s="630"/>
      <c r="GZT218" s="630"/>
      <c r="GZU218" s="630"/>
      <c r="GZV218" s="630"/>
      <c r="GZW218" s="630"/>
      <c r="GZX218" s="630"/>
      <c r="GZY218" s="630"/>
      <c r="GZZ218" s="630"/>
      <c r="HAA218" s="630"/>
      <c r="HAB218" s="630"/>
      <c r="HAC218" s="630"/>
      <c r="HAD218" s="630"/>
      <c r="HAE218" s="630"/>
      <c r="HAF218" s="630"/>
      <c r="HAG218" s="630"/>
      <c r="HAH218" s="630"/>
      <c r="HAI218" s="630"/>
      <c r="HAJ218" s="630"/>
      <c r="HAK218" s="630"/>
      <c r="HAL218" s="630"/>
      <c r="HAM218" s="630"/>
      <c r="HAN218" s="630"/>
      <c r="HAO218" s="630"/>
      <c r="HAP218" s="630"/>
      <c r="HAQ218" s="630"/>
      <c r="HAR218" s="630"/>
      <c r="HAS218" s="630"/>
      <c r="HAT218" s="630"/>
      <c r="HAU218" s="630"/>
      <c r="HAV218" s="630"/>
      <c r="HAW218" s="630"/>
      <c r="HAX218" s="630"/>
      <c r="HAY218" s="630"/>
      <c r="HAZ218" s="630"/>
      <c r="HBA218" s="630"/>
      <c r="HBB218" s="630"/>
      <c r="HBC218" s="630"/>
      <c r="HBD218" s="630"/>
      <c r="HBE218" s="630"/>
      <c r="HBF218" s="630"/>
      <c r="HBG218" s="630"/>
      <c r="HBH218" s="630"/>
      <c r="HBI218" s="630"/>
      <c r="HBJ218" s="630"/>
      <c r="HBK218" s="630"/>
      <c r="HBL218" s="630"/>
      <c r="HBM218" s="630"/>
      <c r="HBN218" s="630"/>
      <c r="HBO218" s="630"/>
      <c r="HBP218" s="630"/>
      <c r="HBQ218" s="630"/>
      <c r="HBR218" s="630"/>
      <c r="HBS218" s="630"/>
      <c r="HBT218" s="630"/>
      <c r="HBU218" s="630"/>
      <c r="HBV218" s="630"/>
      <c r="HBW218" s="630"/>
      <c r="HBX218" s="630"/>
      <c r="HBY218" s="630"/>
      <c r="HBZ218" s="630"/>
      <c r="HCA218" s="630"/>
      <c r="HCB218" s="630"/>
      <c r="HCC218" s="630"/>
      <c r="HCD218" s="630"/>
      <c r="HCE218" s="630"/>
      <c r="HCF218" s="630"/>
      <c r="HCG218" s="630"/>
      <c r="HCH218" s="630"/>
      <c r="HCI218" s="630"/>
      <c r="HCJ218" s="630"/>
      <c r="HCK218" s="630"/>
      <c r="HCL218" s="630"/>
      <c r="HCM218" s="630"/>
      <c r="HCN218" s="630"/>
      <c r="HCO218" s="630"/>
      <c r="HCP218" s="630"/>
      <c r="HCQ218" s="630"/>
      <c r="HCR218" s="630"/>
      <c r="HCS218" s="630"/>
      <c r="HCT218" s="630"/>
      <c r="HCU218" s="630"/>
      <c r="HCV218" s="630"/>
      <c r="HCW218" s="630"/>
      <c r="HCX218" s="630"/>
      <c r="HCY218" s="630"/>
      <c r="HCZ218" s="630"/>
      <c r="HDA218" s="630"/>
      <c r="HDB218" s="630"/>
      <c r="HDC218" s="630"/>
      <c r="HDD218" s="630"/>
      <c r="HDE218" s="630"/>
      <c r="HDF218" s="630"/>
      <c r="HDG218" s="630"/>
      <c r="HDH218" s="630"/>
      <c r="HDI218" s="630"/>
      <c r="HDJ218" s="630"/>
      <c r="HDK218" s="630"/>
      <c r="HDL218" s="630"/>
      <c r="HDM218" s="630"/>
      <c r="HDN218" s="630"/>
      <c r="HDO218" s="630"/>
      <c r="HDP218" s="630"/>
      <c r="HDQ218" s="630"/>
      <c r="HDR218" s="630"/>
      <c r="HDS218" s="630"/>
      <c r="HDT218" s="630"/>
      <c r="HDU218" s="630"/>
      <c r="HDV218" s="630"/>
      <c r="HDW218" s="630"/>
      <c r="HDX218" s="630"/>
      <c r="HDY218" s="630"/>
      <c r="HDZ218" s="630"/>
      <c r="HEA218" s="630"/>
      <c r="HEB218" s="630"/>
      <c r="HEC218" s="630"/>
      <c r="HED218" s="630"/>
      <c r="HEE218" s="630"/>
      <c r="HEF218" s="630"/>
      <c r="HEG218" s="630"/>
      <c r="HEH218" s="630"/>
      <c r="HEI218" s="630"/>
      <c r="HEJ218" s="630"/>
      <c r="HEK218" s="630"/>
      <c r="HEL218" s="630"/>
      <c r="HEM218" s="630"/>
      <c r="HEN218" s="630"/>
      <c r="HEO218" s="630"/>
      <c r="HEP218" s="630"/>
      <c r="HEQ218" s="630"/>
      <c r="HER218" s="630"/>
      <c r="HES218" s="630"/>
      <c r="HET218" s="630"/>
      <c r="HEU218" s="630"/>
      <c r="HEV218" s="630"/>
      <c r="HEW218" s="630"/>
      <c r="HEX218" s="630"/>
      <c r="HEY218" s="630"/>
      <c r="HEZ218" s="630"/>
      <c r="HFA218" s="630"/>
      <c r="HFB218" s="630"/>
      <c r="HFC218" s="630"/>
      <c r="HFD218" s="630"/>
      <c r="HFE218" s="630"/>
      <c r="HFF218" s="630"/>
      <c r="HFG218" s="630"/>
      <c r="HFH218" s="630"/>
      <c r="HFI218" s="630"/>
      <c r="HFJ218" s="630"/>
      <c r="HFK218" s="630"/>
      <c r="HFL218" s="630"/>
      <c r="HFM218" s="630"/>
      <c r="HFN218" s="630"/>
      <c r="HFO218" s="630"/>
      <c r="HFP218" s="630"/>
      <c r="HFQ218" s="630"/>
      <c r="HFR218" s="630"/>
      <c r="HFS218" s="630"/>
      <c r="HFT218" s="630"/>
      <c r="HFU218" s="630"/>
      <c r="HFV218" s="630"/>
      <c r="HFW218" s="630"/>
      <c r="HFX218" s="630"/>
      <c r="HFY218" s="630"/>
      <c r="HFZ218" s="630"/>
      <c r="HGA218" s="630"/>
      <c r="HGB218" s="630"/>
      <c r="HGC218" s="630"/>
      <c r="HGD218" s="630"/>
      <c r="HGE218" s="630"/>
      <c r="HGF218" s="630"/>
      <c r="HGG218" s="630"/>
      <c r="HGH218" s="630"/>
      <c r="HGI218" s="630"/>
      <c r="HGJ218" s="630"/>
      <c r="HGK218" s="630"/>
      <c r="HGL218" s="630"/>
      <c r="HGM218" s="630"/>
      <c r="HGN218" s="630"/>
      <c r="HGO218" s="630"/>
      <c r="HGP218" s="630"/>
      <c r="HGQ218" s="630"/>
      <c r="HGR218" s="630"/>
      <c r="HGS218" s="630"/>
      <c r="HGT218" s="630"/>
      <c r="HGU218" s="630"/>
      <c r="HGV218" s="630"/>
      <c r="HGW218" s="630"/>
      <c r="HGX218" s="630"/>
      <c r="HGY218" s="630"/>
      <c r="HGZ218" s="630"/>
      <c r="HHA218" s="630"/>
      <c r="HHB218" s="630"/>
      <c r="HHC218" s="630"/>
      <c r="HHD218" s="630"/>
      <c r="HHE218" s="630"/>
      <c r="HHF218" s="630"/>
      <c r="HHG218" s="630"/>
      <c r="HHH218" s="630"/>
      <c r="HHI218" s="630"/>
      <c r="HHJ218" s="630"/>
      <c r="HHK218" s="630"/>
      <c r="HHL218" s="630"/>
      <c r="HHM218" s="630"/>
      <c r="HHN218" s="630"/>
      <c r="HHO218" s="630"/>
      <c r="HHP218" s="630"/>
      <c r="HHQ218" s="630"/>
      <c r="HHR218" s="630"/>
      <c r="HHS218" s="630"/>
      <c r="HHT218" s="630"/>
      <c r="HHU218" s="630"/>
      <c r="HHV218" s="630"/>
      <c r="HHW218" s="630"/>
      <c r="HHX218" s="630"/>
      <c r="HHY218" s="630"/>
      <c r="HHZ218" s="630"/>
      <c r="HIA218" s="630"/>
      <c r="HIB218" s="630"/>
      <c r="HIC218" s="630"/>
      <c r="HID218" s="630"/>
      <c r="HIE218" s="630"/>
      <c r="HIF218" s="630"/>
      <c r="HIG218" s="630"/>
      <c r="HIH218" s="630"/>
      <c r="HII218" s="630"/>
      <c r="HIJ218" s="630"/>
      <c r="HIK218" s="630"/>
      <c r="HIL218" s="630"/>
      <c r="HIM218" s="630"/>
      <c r="HIN218" s="630"/>
      <c r="HIO218" s="630"/>
      <c r="HIP218" s="630"/>
      <c r="HIQ218" s="630"/>
      <c r="HIR218" s="630"/>
      <c r="HIS218" s="630"/>
      <c r="HIT218" s="630"/>
      <c r="HIU218" s="630"/>
      <c r="HIV218" s="630"/>
      <c r="HIW218" s="630"/>
      <c r="HIX218" s="630"/>
      <c r="HIY218" s="630"/>
      <c r="HIZ218" s="630"/>
      <c r="HJA218" s="630"/>
      <c r="HJB218" s="630"/>
      <c r="HJC218" s="630"/>
      <c r="HJD218" s="630"/>
      <c r="HJE218" s="630"/>
      <c r="HJF218" s="630"/>
      <c r="HJG218" s="630"/>
      <c r="HJH218" s="630"/>
      <c r="HJI218" s="630"/>
      <c r="HJJ218" s="630"/>
      <c r="HJK218" s="630"/>
      <c r="HJL218" s="630"/>
      <c r="HJM218" s="630"/>
      <c r="HJN218" s="630"/>
      <c r="HJO218" s="630"/>
      <c r="HJP218" s="630"/>
      <c r="HJQ218" s="630"/>
      <c r="HJR218" s="630"/>
      <c r="HJS218" s="630"/>
      <c r="HJT218" s="630"/>
      <c r="HJU218" s="630"/>
      <c r="HJV218" s="630"/>
      <c r="HJW218" s="630"/>
      <c r="HJX218" s="630"/>
      <c r="HJY218" s="630"/>
      <c r="HJZ218" s="630"/>
      <c r="HKA218" s="630"/>
      <c r="HKB218" s="630"/>
      <c r="HKC218" s="630"/>
      <c r="HKD218" s="630"/>
      <c r="HKE218" s="630"/>
      <c r="HKF218" s="630"/>
      <c r="HKG218" s="630"/>
      <c r="HKH218" s="630"/>
      <c r="HKI218" s="630"/>
      <c r="HKJ218" s="630"/>
      <c r="HKK218" s="630"/>
      <c r="HKL218" s="630"/>
      <c r="HKM218" s="630"/>
      <c r="HKN218" s="630"/>
      <c r="HKO218" s="630"/>
      <c r="HKP218" s="630"/>
      <c r="HKQ218" s="630"/>
      <c r="HKR218" s="630"/>
      <c r="HKS218" s="630"/>
      <c r="HKT218" s="630"/>
      <c r="HKU218" s="630"/>
      <c r="HKV218" s="630"/>
      <c r="HKW218" s="630"/>
      <c r="HKX218" s="630"/>
      <c r="HKY218" s="630"/>
      <c r="HKZ218" s="630"/>
      <c r="HLA218" s="630"/>
      <c r="HLB218" s="630"/>
      <c r="HLC218" s="630"/>
      <c r="HLD218" s="630"/>
      <c r="HLE218" s="630"/>
      <c r="HLF218" s="630"/>
      <c r="HLG218" s="630"/>
      <c r="HLH218" s="630"/>
      <c r="HLI218" s="630"/>
      <c r="HLJ218" s="630"/>
      <c r="HLK218" s="630"/>
      <c r="HLL218" s="630"/>
      <c r="HLM218" s="630"/>
      <c r="HLN218" s="630"/>
      <c r="HLO218" s="630"/>
      <c r="HLP218" s="630"/>
      <c r="HLQ218" s="630"/>
      <c r="HLR218" s="630"/>
      <c r="HLS218" s="630"/>
      <c r="HLT218" s="630"/>
      <c r="HLU218" s="630"/>
      <c r="HLV218" s="630"/>
      <c r="HLW218" s="630"/>
      <c r="HLX218" s="630"/>
      <c r="HLY218" s="630"/>
      <c r="HLZ218" s="630"/>
      <c r="HMA218" s="630"/>
      <c r="HMB218" s="630"/>
      <c r="HMC218" s="630"/>
      <c r="HMD218" s="630"/>
      <c r="HME218" s="630"/>
      <c r="HMF218" s="630"/>
      <c r="HMG218" s="630"/>
      <c r="HMH218" s="630"/>
      <c r="HMI218" s="630"/>
      <c r="HMJ218" s="630"/>
      <c r="HMK218" s="630"/>
      <c r="HML218" s="630"/>
      <c r="HMM218" s="630"/>
      <c r="HMN218" s="630"/>
      <c r="HMO218" s="630"/>
      <c r="HMP218" s="630"/>
      <c r="HMQ218" s="630"/>
      <c r="HMR218" s="630"/>
      <c r="HMS218" s="630"/>
      <c r="HMT218" s="630"/>
      <c r="HMU218" s="630"/>
      <c r="HMV218" s="630"/>
      <c r="HMW218" s="630"/>
      <c r="HMX218" s="630"/>
      <c r="HMY218" s="630"/>
      <c r="HMZ218" s="630"/>
      <c r="HNA218" s="630"/>
      <c r="HNB218" s="630"/>
      <c r="HNC218" s="630"/>
      <c r="HND218" s="630"/>
      <c r="HNE218" s="630"/>
      <c r="HNF218" s="630"/>
      <c r="HNG218" s="630"/>
      <c r="HNH218" s="630"/>
      <c r="HNI218" s="630"/>
      <c r="HNJ218" s="630"/>
      <c r="HNK218" s="630"/>
      <c r="HNL218" s="630"/>
      <c r="HNM218" s="630"/>
      <c r="HNN218" s="630"/>
      <c r="HNO218" s="630"/>
      <c r="HNP218" s="630"/>
      <c r="HNQ218" s="630"/>
      <c r="HNR218" s="630"/>
      <c r="HNS218" s="630"/>
      <c r="HNT218" s="630"/>
      <c r="HNU218" s="630"/>
      <c r="HNV218" s="630"/>
      <c r="HNW218" s="630"/>
      <c r="HNX218" s="630"/>
      <c r="HNY218" s="630"/>
      <c r="HNZ218" s="630"/>
      <c r="HOA218" s="630"/>
      <c r="HOB218" s="630"/>
      <c r="HOC218" s="630"/>
      <c r="HOD218" s="630"/>
      <c r="HOE218" s="630"/>
      <c r="HOF218" s="630"/>
      <c r="HOG218" s="630"/>
      <c r="HOH218" s="630"/>
      <c r="HOI218" s="630"/>
      <c r="HOJ218" s="630"/>
      <c r="HOK218" s="630"/>
      <c r="HOL218" s="630"/>
      <c r="HOM218" s="630"/>
      <c r="HON218" s="630"/>
      <c r="HOO218" s="630"/>
      <c r="HOP218" s="630"/>
      <c r="HOQ218" s="630"/>
      <c r="HOR218" s="630"/>
      <c r="HOS218" s="630"/>
      <c r="HOT218" s="630"/>
      <c r="HOU218" s="630"/>
      <c r="HOV218" s="630"/>
      <c r="HOW218" s="630"/>
      <c r="HOX218" s="630"/>
      <c r="HOY218" s="630"/>
      <c r="HOZ218" s="630"/>
      <c r="HPA218" s="630"/>
      <c r="HPB218" s="630"/>
      <c r="HPC218" s="630"/>
      <c r="HPD218" s="630"/>
      <c r="HPE218" s="630"/>
      <c r="HPF218" s="630"/>
      <c r="HPG218" s="630"/>
      <c r="HPH218" s="630"/>
      <c r="HPI218" s="630"/>
      <c r="HPJ218" s="630"/>
      <c r="HPK218" s="630"/>
      <c r="HPL218" s="630"/>
      <c r="HPM218" s="630"/>
      <c r="HPN218" s="630"/>
      <c r="HPO218" s="630"/>
      <c r="HPP218" s="630"/>
      <c r="HPQ218" s="630"/>
      <c r="HPR218" s="630"/>
      <c r="HPS218" s="630"/>
      <c r="HPT218" s="630"/>
      <c r="HPU218" s="630"/>
      <c r="HPV218" s="630"/>
      <c r="HPW218" s="630"/>
      <c r="HPX218" s="630"/>
      <c r="HPY218" s="630"/>
      <c r="HPZ218" s="630"/>
      <c r="HQA218" s="630"/>
      <c r="HQB218" s="630"/>
      <c r="HQC218" s="630"/>
      <c r="HQD218" s="630"/>
      <c r="HQE218" s="630"/>
      <c r="HQF218" s="630"/>
      <c r="HQG218" s="630"/>
      <c r="HQH218" s="630"/>
      <c r="HQI218" s="630"/>
      <c r="HQJ218" s="630"/>
      <c r="HQK218" s="630"/>
      <c r="HQL218" s="630"/>
      <c r="HQM218" s="630"/>
      <c r="HQN218" s="630"/>
      <c r="HQO218" s="630"/>
      <c r="HQP218" s="630"/>
      <c r="HQQ218" s="630"/>
      <c r="HQR218" s="630"/>
      <c r="HQS218" s="630"/>
      <c r="HQT218" s="630"/>
      <c r="HQU218" s="630"/>
      <c r="HQV218" s="630"/>
      <c r="HQW218" s="630"/>
      <c r="HQX218" s="630"/>
      <c r="HQY218" s="630"/>
      <c r="HQZ218" s="630"/>
      <c r="HRA218" s="630"/>
      <c r="HRB218" s="630"/>
      <c r="HRC218" s="630"/>
      <c r="HRD218" s="630"/>
      <c r="HRE218" s="630"/>
      <c r="HRF218" s="630"/>
      <c r="HRG218" s="630"/>
      <c r="HRH218" s="630"/>
      <c r="HRI218" s="630"/>
      <c r="HRJ218" s="630"/>
      <c r="HRK218" s="630"/>
      <c r="HRL218" s="630"/>
      <c r="HRM218" s="630"/>
      <c r="HRN218" s="630"/>
      <c r="HRO218" s="630"/>
      <c r="HRP218" s="630"/>
      <c r="HRQ218" s="630"/>
      <c r="HRR218" s="630"/>
      <c r="HRS218" s="630"/>
      <c r="HRT218" s="630"/>
      <c r="HRU218" s="630"/>
      <c r="HRV218" s="630"/>
      <c r="HRW218" s="630"/>
      <c r="HRX218" s="630"/>
      <c r="HRY218" s="630"/>
      <c r="HRZ218" s="630"/>
      <c r="HSA218" s="630"/>
      <c r="HSB218" s="630"/>
      <c r="HSC218" s="630"/>
      <c r="HSD218" s="630"/>
      <c r="HSE218" s="630"/>
      <c r="HSF218" s="630"/>
      <c r="HSG218" s="630"/>
      <c r="HSH218" s="630"/>
      <c r="HSI218" s="630"/>
      <c r="HSJ218" s="630"/>
      <c r="HSK218" s="630"/>
      <c r="HSL218" s="630"/>
      <c r="HSM218" s="630"/>
      <c r="HSN218" s="630"/>
      <c r="HSO218" s="630"/>
      <c r="HSP218" s="630"/>
      <c r="HSQ218" s="630"/>
      <c r="HSR218" s="630"/>
      <c r="HSS218" s="630"/>
      <c r="HST218" s="630"/>
      <c r="HSU218" s="630"/>
      <c r="HSV218" s="630"/>
      <c r="HSW218" s="630"/>
      <c r="HSX218" s="630"/>
      <c r="HSY218" s="630"/>
      <c r="HSZ218" s="630"/>
      <c r="HTA218" s="630"/>
      <c r="HTB218" s="630"/>
      <c r="HTC218" s="630"/>
      <c r="HTD218" s="630"/>
      <c r="HTE218" s="630"/>
      <c r="HTF218" s="630"/>
      <c r="HTG218" s="630"/>
      <c r="HTH218" s="630"/>
      <c r="HTI218" s="630"/>
      <c r="HTJ218" s="630"/>
      <c r="HTK218" s="630"/>
      <c r="HTL218" s="630"/>
      <c r="HTM218" s="630"/>
      <c r="HTN218" s="630"/>
      <c r="HTO218" s="630"/>
      <c r="HTP218" s="630"/>
      <c r="HTQ218" s="630"/>
      <c r="HTR218" s="630"/>
      <c r="HTS218" s="630"/>
      <c r="HTT218" s="630"/>
      <c r="HTU218" s="630"/>
      <c r="HTV218" s="630"/>
      <c r="HTW218" s="630"/>
      <c r="HTX218" s="630"/>
      <c r="HTY218" s="630"/>
      <c r="HTZ218" s="630"/>
      <c r="HUA218" s="630"/>
      <c r="HUB218" s="630"/>
      <c r="HUC218" s="630"/>
      <c r="HUD218" s="630"/>
      <c r="HUE218" s="630"/>
      <c r="HUF218" s="630"/>
      <c r="HUG218" s="630"/>
      <c r="HUH218" s="630"/>
      <c r="HUI218" s="630"/>
      <c r="HUJ218" s="630"/>
      <c r="HUK218" s="630"/>
      <c r="HUL218" s="630"/>
      <c r="HUM218" s="630"/>
      <c r="HUN218" s="630"/>
      <c r="HUO218" s="630"/>
      <c r="HUP218" s="630"/>
      <c r="HUQ218" s="630"/>
      <c r="HUR218" s="630"/>
      <c r="HUS218" s="630"/>
      <c r="HUT218" s="630"/>
      <c r="HUU218" s="630"/>
      <c r="HUV218" s="630"/>
      <c r="HUW218" s="630"/>
      <c r="HUX218" s="630"/>
      <c r="HUY218" s="630"/>
      <c r="HUZ218" s="630"/>
      <c r="HVA218" s="630"/>
      <c r="HVB218" s="630"/>
      <c r="HVC218" s="630"/>
      <c r="HVD218" s="630"/>
      <c r="HVE218" s="630"/>
      <c r="HVF218" s="630"/>
      <c r="HVG218" s="630"/>
      <c r="HVH218" s="630"/>
      <c r="HVI218" s="630"/>
      <c r="HVJ218" s="630"/>
      <c r="HVK218" s="630"/>
      <c r="HVL218" s="630"/>
      <c r="HVM218" s="630"/>
      <c r="HVN218" s="630"/>
      <c r="HVO218" s="630"/>
      <c r="HVP218" s="630"/>
      <c r="HVQ218" s="630"/>
      <c r="HVR218" s="630"/>
      <c r="HVS218" s="630"/>
      <c r="HVT218" s="630"/>
      <c r="HVU218" s="630"/>
      <c r="HVV218" s="630"/>
      <c r="HVW218" s="630"/>
      <c r="HVX218" s="630"/>
      <c r="HVY218" s="630"/>
      <c r="HVZ218" s="630"/>
      <c r="HWA218" s="630"/>
      <c r="HWB218" s="630"/>
      <c r="HWC218" s="630"/>
      <c r="HWD218" s="630"/>
      <c r="HWE218" s="630"/>
      <c r="HWF218" s="630"/>
      <c r="HWG218" s="630"/>
      <c r="HWH218" s="630"/>
      <c r="HWI218" s="630"/>
      <c r="HWJ218" s="630"/>
      <c r="HWK218" s="630"/>
      <c r="HWL218" s="630"/>
      <c r="HWM218" s="630"/>
      <c r="HWN218" s="630"/>
      <c r="HWO218" s="630"/>
      <c r="HWP218" s="630"/>
      <c r="HWQ218" s="630"/>
      <c r="HWR218" s="630"/>
      <c r="HWS218" s="630"/>
      <c r="HWT218" s="630"/>
      <c r="HWU218" s="630"/>
      <c r="HWV218" s="630"/>
      <c r="HWW218" s="630"/>
      <c r="HWX218" s="630"/>
      <c r="HWY218" s="630"/>
      <c r="HWZ218" s="630"/>
      <c r="HXA218" s="630"/>
      <c r="HXB218" s="630"/>
      <c r="HXC218" s="630"/>
      <c r="HXD218" s="630"/>
      <c r="HXE218" s="630"/>
      <c r="HXF218" s="630"/>
      <c r="HXG218" s="630"/>
      <c r="HXH218" s="630"/>
      <c r="HXI218" s="630"/>
      <c r="HXJ218" s="630"/>
      <c r="HXK218" s="630"/>
      <c r="HXL218" s="630"/>
      <c r="HXM218" s="630"/>
      <c r="HXN218" s="630"/>
      <c r="HXO218" s="630"/>
      <c r="HXP218" s="630"/>
      <c r="HXQ218" s="630"/>
      <c r="HXR218" s="630"/>
      <c r="HXS218" s="630"/>
      <c r="HXT218" s="630"/>
      <c r="HXU218" s="630"/>
      <c r="HXV218" s="630"/>
      <c r="HXW218" s="630"/>
      <c r="HXX218" s="630"/>
      <c r="HXY218" s="630"/>
      <c r="HXZ218" s="630"/>
      <c r="HYA218" s="630"/>
      <c r="HYB218" s="630"/>
      <c r="HYC218" s="630"/>
      <c r="HYD218" s="630"/>
      <c r="HYE218" s="630"/>
      <c r="HYF218" s="630"/>
      <c r="HYG218" s="630"/>
      <c r="HYH218" s="630"/>
      <c r="HYI218" s="630"/>
      <c r="HYJ218" s="630"/>
      <c r="HYK218" s="630"/>
      <c r="HYL218" s="630"/>
      <c r="HYM218" s="630"/>
      <c r="HYN218" s="630"/>
      <c r="HYO218" s="630"/>
      <c r="HYP218" s="630"/>
      <c r="HYQ218" s="630"/>
      <c r="HYR218" s="630"/>
      <c r="HYS218" s="630"/>
      <c r="HYT218" s="630"/>
      <c r="HYU218" s="630"/>
      <c r="HYV218" s="630"/>
      <c r="HYW218" s="630"/>
      <c r="HYX218" s="630"/>
      <c r="HYY218" s="630"/>
      <c r="HYZ218" s="630"/>
      <c r="HZA218" s="630"/>
      <c r="HZB218" s="630"/>
      <c r="HZC218" s="630"/>
      <c r="HZD218" s="630"/>
      <c r="HZE218" s="630"/>
      <c r="HZF218" s="630"/>
      <c r="HZG218" s="630"/>
      <c r="HZH218" s="630"/>
      <c r="HZI218" s="630"/>
      <c r="HZJ218" s="630"/>
      <c r="HZK218" s="630"/>
      <c r="HZL218" s="630"/>
      <c r="HZM218" s="630"/>
      <c r="HZN218" s="630"/>
      <c r="HZO218" s="630"/>
      <c r="HZP218" s="630"/>
      <c r="HZQ218" s="630"/>
      <c r="HZR218" s="630"/>
      <c r="HZS218" s="630"/>
      <c r="HZT218" s="630"/>
      <c r="HZU218" s="630"/>
      <c r="HZV218" s="630"/>
      <c r="HZW218" s="630"/>
      <c r="HZX218" s="630"/>
      <c r="HZY218" s="630"/>
      <c r="HZZ218" s="630"/>
      <c r="IAA218" s="630"/>
      <c r="IAB218" s="630"/>
      <c r="IAC218" s="630"/>
      <c r="IAD218" s="630"/>
      <c r="IAE218" s="630"/>
      <c r="IAF218" s="630"/>
      <c r="IAG218" s="630"/>
      <c r="IAH218" s="630"/>
      <c r="IAI218" s="630"/>
      <c r="IAJ218" s="630"/>
      <c r="IAK218" s="630"/>
      <c r="IAL218" s="630"/>
      <c r="IAM218" s="630"/>
      <c r="IAN218" s="630"/>
      <c r="IAO218" s="630"/>
      <c r="IAP218" s="630"/>
      <c r="IAQ218" s="630"/>
      <c r="IAR218" s="630"/>
      <c r="IAS218" s="630"/>
      <c r="IAT218" s="630"/>
      <c r="IAU218" s="630"/>
      <c r="IAV218" s="630"/>
      <c r="IAW218" s="630"/>
      <c r="IAX218" s="630"/>
      <c r="IAY218" s="630"/>
      <c r="IAZ218" s="630"/>
      <c r="IBA218" s="630"/>
      <c r="IBB218" s="630"/>
      <c r="IBC218" s="630"/>
      <c r="IBD218" s="630"/>
      <c r="IBE218" s="630"/>
      <c r="IBF218" s="630"/>
      <c r="IBG218" s="630"/>
      <c r="IBH218" s="630"/>
      <c r="IBI218" s="630"/>
      <c r="IBJ218" s="630"/>
      <c r="IBK218" s="630"/>
      <c r="IBL218" s="630"/>
      <c r="IBM218" s="630"/>
      <c r="IBN218" s="630"/>
      <c r="IBO218" s="630"/>
      <c r="IBP218" s="630"/>
      <c r="IBQ218" s="630"/>
      <c r="IBR218" s="630"/>
      <c r="IBS218" s="630"/>
      <c r="IBT218" s="630"/>
      <c r="IBU218" s="630"/>
      <c r="IBV218" s="630"/>
      <c r="IBW218" s="630"/>
      <c r="IBX218" s="630"/>
      <c r="IBY218" s="630"/>
      <c r="IBZ218" s="630"/>
      <c r="ICA218" s="630"/>
      <c r="ICB218" s="630"/>
      <c r="ICC218" s="630"/>
      <c r="ICD218" s="630"/>
      <c r="ICE218" s="630"/>
      <c r="ICF218" s="630"/>
      <c r="ICG218" s="630"/>
      <c r="ICH218" s="630"/>
      <c r="ICI218" s="630"/>
      <c r="ICJ218" s="630"/>
      <c r="ICK218" s="630"/>
      <c r="ICL218" s="630"/>
      <c r="ICM218" s="630"/>
      <c r="ICN218" s="630"/>
      <c r="ICO218" s="630"/>
      <c r="ICP218" s="630"/>
      <c r="ICQ218" s="630"/>
      <c r="ICR218" s="630"/>
      <c r="ICS218" s="630"/>
      <c r="ICT218" s="630"/>
      <c r="ICU218" s="630"/>
      <c r="ICV218" s="630"/>
      <c r="ICW218" s="630"/>
      <c r="ICX218" s="630"/>
      <c r="ICY218" s="630"/>
      <c r="ICZ218" s="630"/>
      <c r="IDA218" s="630"/>
      <c r="IDB218" s="630"/>
      <c r="IDC218" s="630"/>
      <c r="IDD218" s="630"/>
      <c r="IDE218" s="630"/>
      <c r="IDF218" s="630"/>
      <c r="IDG218" s="630"/>
      <c r="IDH218" s="630"/>
      <c r="IDI218" s="630"/>
      <c r="IDJ218" s="630"/>
      <c r="IDK218" s="630"/>
      <c r="IDL218" s="630"/>
      <c r="IDM218" s="630"/>
      <c r="IDN218" s="630"/>
      <c r="IDO218" s="630"/>
      <c r="IDP218" s="630"/>
      <c r="IDQ218" s="630"/>
      <c r="IDR218" s="630"/>
      <c r="IDS218" s="630"/>
      <c r="IDT218" s="630"/>
      <c r="IDU218" s="630"/>
      <c r="IDV218" s="630"/>
      <c r="IDW218" s="630"/>
      <c r="IDX218" s="630"/>
      <c r="IDY218" s="630"/>
      <c r="IDZ218" s="630"/>
      <c r="IEA218" s="630"/>
      <c r="IEB218" s="630"/>
      <c r="IEC218" s="630"/>
      <c r="IED218" s="630"/>
      <c r="IEE218" s="630"/>
      <c r="IEF218" s="630"/>
      <c r="IEG218" s="630"/>
      <c r="IEH218" s="630"/>
      <c r="IEI218" s="630"/>
      <c r="IEJ218" s="630"/>
      <c r="IEK218" s="630"/>
      <c r="IEL218" s="630"/>
      <c r="IEM218" s="630"/>
      <c r="IEN218" s="630"/>
      <c r="IEO218" s="630"/>
      <c r="IEP218" s="630"/>
      <c r="IEQ218" s="630"/>
      <c r="IER218" s="630"/>
      <c r="IES218" s="630"/>
      <c r="IET218" s="630"/>
      <c r="IEU218" s="630"/>
      <c r="IEV218" s="630"/>
      <c r="IEW218" s="630"/>
      <c r="IEX218" s="630"/>
      <c r="IEY218" s="630"/>
      <c r="IEZ218" s="630"/>
      <c r="IFA218" s="630"/>
      <c r="IFB218" s="630"/>
      <c r="IFC218" s="630"/>
      <c r="IFD218" s="630"/>
      <c r="IFE218" s="630"/>
      <c r="IFF218" s="630"/>
      <c r="IFG218" s="630"/>
      <c r="IFH218" s="630"/>
      <c r="IFI218" s="630"/>
      <c r="IFJ218" s="630"/>
      <c r="IFK218" s="630"/>
      <c r="IFL218" s="630"/>
      <c r="IFM218" s="630"/>
      <c r="IFN218" s="630"/>
      <c r="IFO218" s="630"/>
      <c r="IFP218" s="630"/>
      <c r="IFQ218" s="630"/>
      <c r="IFR218" s="630"/>
      <c r="IFS218" s="630"/>
      <c r="IFT218" s="630"/>
      <c r="IFU218" s="630"/>
      <c r="IFV218" s="630"/>
      <c r="IFW218" s="630"/>
      <c r="IFX218" s="630"/>
      <c r="IFY218" s="630"/>
      <c r="IFZ218" s="630"/>
      <c r="IGA218" s="630"/>
      <c r="IGB218" s="630"/>
      <c r="IGC218" s="630"/>
      <c r="IGD218" s="630"/>
      <c r="IGE218" s="630"/>
      <c r="IGF218" s="630"/>
      <c r="IGG218" s="630"/>
      <c r="IGH218" s="630"/>
      <c r="IGI218" s="630"/>
      <c r="IGJ218" s="630"/>
      <c r="IGK218" s="630"/>
      <c r="IGL218" s="630"/>
      <c r="IGM218" s="630"/>
      <c r="IGN218" s="630"/>
      <c r="IGO218" s="630"/>
      <c r="IGP218" s="630"/>
      <c r="IGQ218" s="630"/>
      <c r="IGR218" s="630"/>
      <c r="IGS218" s="630"/>
      <c r="IGT218" s="630"/>
      <c r="IGU218" s="630"/>
      <c r="IGV218" s="630"/>
      <c r="IGW218" s="630"/>
      <c r="IGX218" s="630"/>
      <c r="IGY218" s="630"/>
      <c r="IGZ218" s="630"/>
      <c r="IHA218" s="630"/>
      <c r="IHB218" s="630"/>
      <c r="IHC218" s="630"/>
      <c r="IHD218" s="630"/>
      <c r="IHE218" s="630"/>
      <c r="IHF218" s="630"/>
      <c r="IHG218" s="630"/>
      <c r="IHH218" s="630"/>
      <c r="IHI218" s="630"/>
      <c r="IHJ218" s="630"/>
      <c r="IHK218" s="630"/>
      <c r="IHL218" s="630"/>
      <c r="IHM218" s="630"/>
      <c r="IHN218" s="630"/>
      <c r="IHO218" s="630"/>
      <c r="IHP218" s="630"/>
      <c r="IHQ218" s="630"/>
      <c r="IHR218" s="630"/>
      <c r="IHS218" s="630"/>
      <c r="IHT218" s="630"/>
      <c r="IHU218" s="630"/>
      <c r="IHV218" s="630"/>
      <c r="IHW218" s="630"/>
      <c r="IHX218" s="630"/>
      <c r="IHY218" s="630"/>
      <c r="IHZ218" s="630"/>
      <c r="IIA218" s="630"/>
      <c r="IIB218" s="630"/>
      <c r="IIC218" s="630"/>
      <c r="IID218" s="630"/>
      <c r="IIE218" s="630"/>
      <c r="IIF218" s="630"/>
      <c r="IIG218" s="630"/>
      <c r="IIH218" s="630"/>
      <c r="III218" s="630"/>
      <c r="IIJ218" s="630"/>
      <c r="IIK218" s="630"/>
      <c r="IIL218" s="630"/>
      <c r="IIM218" s="630"/>
      <c r="IIN218" s="630"/>
      <c r="IIO218" s="630"/>
      <c r="IIP218" s="630"/>
      <c r="IIQ218" s="630"/>
      <c r="IIR218" s="630"/>
      <c r="IIS218" s="630"/>
      <c r="IIT218" s="630"/>
      <c r="IIU218" s="630"/>
      <c r="IIV218" s="630"/>
      <c r="IIW218" s="630"/>
      <c r="IIX218" s="630"/>
      <c r="IIY218" s="630"/>
      <c r="IIZ218" s="630"/>
      <c r="IJA218" s="630"/>
      <c r="IJB218" s="630"/>
      <c r="IJC218" s="630"/>
      <c r="IJD218" s="630"/>
      <c r="IJE218" s="630"/>
      <c r="IJF218" s="630"/>
      <c r="IJG218" s="630"/>
      <c r="IJH218" s="630"/>
      <c r="IJI218" s="630"/>
      <c r="IJJ218" s="630"/>
      <c r="IJK218" s="630"/>
      <c r="IJL218" s="630"/>
      <c r="IJM218" s="630"/>
      <c r="IJN218" s="630"/>
      <c r="IJO218" s="630"/>
      <c r="IJP218" s="630"/>
      <c r="IJQ218" s="630"/>
      <c r="IJR218" s="630"/>
      <c r="IJS218" s="630"/>
      <c r="IJT218" s="630"/>
      <c r="IJU218" s="630"/>
      <c r="IJV218" s="630"/>
      <c r="IJW218" s="630"/>
      <c r="IJX218" s="630"/>
      <c r="IJY218" s="630"/>
      <c r="IJZ218" s="630"/>
      <c r="IKA218" s="630"/>
      <c r="IKB218" s="630"/>
      <c r="IKC218" s="630"/>
      <c r="IKD218" s="630"/>
      <c r="IKE218" s="630"/>
      <c r="IKF218" s="630"/>
      <c r="IKG218" s="630"/>
      <c r="IKH218" s="630"/>
      <c r="IKI218" s="630"/>
      <c r="IKJ218" s="630"/>
      <c r="IKK218" s="630"/>
      <c r="IKL218" s="630"/>
      <c r="IKM218" s="630"/>
      <c r="IKN218" s="630"/>
      <c r="IKO218" s="630"/>
      <c r="IKP218" s="630"/>
      <c r="IKQ218" s="630"/>
      <c r="IKR218" s="630"/>
      <c r="IKS218" s="630"/>
      <c r="IKT218" s="630"/>
      <c r="IKU218" s="630"/>
      <c r="IKV218" s="630"/>
      <c r="IKW218" s="630"/>
      <c r="IKX218" s="630"/>
      <c r="IKY218" s="630"/>
      <c r="IKZ218" s="630"/>
      <c r="ILA218" s="630"/>
      <c r="ILB218" s="630"/>
      <c r="ILC218" s="630"/>
      <c r="ILD218" s="630"/>
      <c r="ILE218" s="630"/>
      <c r="ILF218" s="630"/>
      <c r="ILG218" s="630"/>
      <c r="ILH218" s="630"/>
      <c r="ILI218" s="630"/>
      <c r="ILJ218" s="630"/>
      <c r="ILK218" s="630"/>
      <c r="ILL218" s="630"/>
      <c r="ILM218" s="630"/>
      <c r="ILN218" s="630"/>
      <c r="ILO218" s="630"/>
      <c r="ILP218" s="630"/>
      <c r="ILQ218" s="630"/>
      <c r="ILR218" s="630"/>
      <c r="ILS218" s="630"/>
      <c r="ILT218" s="630"/>
      <c r="ILU218" s="630"/>
      <c r="ILV218" s="630"/>
      <c r="ILW218" s="630"/>
      <c r="ILX218" s="630"/>
      <c r="ILY218" s="630"/>
      <c r="ILZ218" s="630"/>
      <c r="IMA218" s="630"/>
      <c r="IMB218" s="630"/>
      <c r="IMC218" s="630"/>
      <c r="IMD218" s="630"/>
      <c r="IME218" s="630"/>
      <c r="IMF218" s="630"/>
      <c r="IMG218" s="630"/>
      <c r="IMH218" s="630"/>
      <c r="IMI218" s="630"/>
      <c r="IMJ218" s="630"/>
      <c r="IMK218" s="630"/>
      <c r="IML218" s="630"/>
      <c r="IMM218" s="630"/>
      <c r="IMN218" s="630"/>
      <c r="IMO218" s="630"/>
      <c r="IMP218" s="630"/>
      <c r="IMQ218" s="630"/>
      <c r="IMR218" s="630"/>
      <c r="IMS218" s="630"/>
      <c r="IMT218" s="630"/>
      <c r="IMU218" s="630"/>
      <c r="IMV218" s="630"/>
      <c r="IMW218" s="630"/>
      <c r="IMX218" s="630"/>
      <c r="IMY218" s="630"/>
      <c r="IMZ218" s="630"/>
      <c r="INA218" s="630"/>
      <c r="INB218" s="630"/>
      <c r="INC218" s="630"/>
      <c r="IND218" s="630"/>
      <c r="INE218" s="630"/>
      <c r="INF218" s="630"/>
      <c r="ING218" s="630"/>
      <c r="INH218" s="630"/>
      <c r="INI218" s="630"/>
      <c r="INJ218" s="630"/>
      <c r="INK218" s="630"/>
      <c r="INL218" s="630"/>
      <c r="INM218" s="630"/>
      <c r="INN218" s="630"/>
      <c r="INO218" s="630"/>
      <c r="INP218" s="630"/>
      <c r="INQ218" s="630"/>
      <c r="INR218" s="630"/>
      <c r="INS218" s="630"/>
      <c r="INT218" s="630"/>
      <c r="INU218" s="630"/>
      <c r="INV218" s="630"/>
      <c r="INW218" s="630"/>
      <c r="INX218" s="630"/>
      <c r="INY218" s="630"/>
      <c r="INZ218" s="630"/>
      <c r="IOA218" s="630"/>
      <c r="IOB218" s="630"/>
      <c r="IOC218" s="630"/>
      <c r="IOD218" s="630"/>
      <c r="IOE218" s="630"/>
      <c r="IOF218" s="630"/>
      <c r="IOG218" s="630"/>
      <c r="IOH218" s="630"/>
      <c r="IOI218" s="630"/>
      <c r="IOJ218" s="630"/>
      <c r="IOK218" s="630"/>
      <c r="IOL218" s="630"/>
      <c r="IOM218" s="630"/>
      <c r="ION218" s="630"/>
      <c r="IOO218" s="630"/>
      <c r="IOP218" s="630"/>
      <c r="IOQ218" s="630"/>
      <c r="IOR218" s="630"/>
      <c r="IOS218" s="630"/>
      <c r="IOT218" s="630"/>
      <c r="IOU218" s="630"/>
      <c r="IOV218" s="630"/>
      <c r="IOW218" s="630"/>
      <c r="IOX218" s="630"/>
      <c r="IOY218" s="630"/>
      <c r="IOZ218" s="630"/>
      <c r="IPA218" s="630"/>
      <c r="IPB218" s="630"/>
      <c r="IPC218" s="630"/>
      <c r="IPD218" s="630"/>
      <c r="IPE218" s="630"/>
      <c r="IPF218" s="630"/>
      <c r="IPG218" s="630"/>
      <c r="IPH218" s="630"/>
      <c r="IPI218" s="630"/>
      <c r="IPJ218" s="630"/>
      <c r="IPK218" s="630"/>
      <c r="IPL218" s="630"/>
      <c r="IPM218" s="630"/>
      <c r="IPN218" s="630"/>
      <c r="IPO218" s="630"/>
      <c r="IPP218" s="630"/>
      <c r="IPQ218" s="630"/>
      <c r="IPR218" s="630"/>
      <c r="IPS218" s="630"/>
      <c r="IPT218" s="630"/>
      <c r="IPU218" s="630"/>
      <c r="IPV218" s="630"/>
      <c r="IPW218" s="630"/>
      <c r="IPX218" s="630"/>
      <c r="IPY218" s="630"/>
      <c r="IPZ218" s="630"/>
      <c r="IQA218" s="630"/>
      <c r="IQB218" s="630"/>
      <c r="IQC218" s="630"/>
      <c r="IQD218" s="630"/>
      <c r="IQE218" s="630"/>
      <c r="IQF218" s="630"/>
      <c r="IQG218" s="630"/>
      <c r="IQH218" s="630"/>
      <c r="IQI218" s="630"/>
      <c r="IQJ218" s="630"/>
      <c r="IQK218" s="630"/>
      <c r="IQL218" s="630"/>
      <c r="IQM218" s="630"/>
      <c r="IQN218" s="630"/>
      <c r="IQO218" s="630"/>
      <c r="IQP218" s="630"/>
      <c r="IQQ218" s="630"/>
      <c r="IQR218" s="630"/>
      <c r="IQS218" s="630"/>
      <c r="IQT218" s="630"/>
      <c r="IQU218" s="630"/>
      <c r="IQV218" s="630"/>
      <c r="IQW218" s="630"/>
      <c r="IQX218" s="630"/>
      <c r="IQY218" s="630"/>
      <c r="IQZ218" s="630"/>
      <c r="IRA218" s="630"/>
      <c r="IRB218" s="630"/>
      <c r="IRC218" s="630"/>
      <c r="IRD218" s="630"/>
      <c r="IRE218" s="630"/>
      <c r="IRF218" s="630"/>
      <c r="IRG218" s="630"/>
      <c r="IRH218" s="630"/>
      <c r="IRI218" s="630"/>
      <c r="IRJ218" s="630"/>
      <c r="IRK218" s="630"/>
      <c r="IRL218" s="630"/>
      <c r="IRM218" s="630"/>
      <c r="IRN218" s="630"/>
      <c r="IRO218" s="630"/>
      <c r="IRP218" s="630"/>
      <c r="IRQ218" s="630"/>
      <c r="IRR218" s="630"/>
      <c r="IRS218" s="630"/>
      <c r="IRT218" s="630"/>
      <c r="IRU218" s="630"/>
      <c r="IRV218" s="630"/>
      <c r="IRW218" s="630"/>
      <c r="IRX218" s="630"/>
      <c r="IRY218" s="630"/>
      <c r="IRZ218" s="630"/>
      <c r="ISA218" s="630"/>
      <c r="ISB218" s="630"/>
      <c r="ISC218" s="630"/>
      <c r="ISD218" s="630"/>
      <c r="ISE218" s="630"/>
      <c r="ISF218" s="630"/>
      <c r="ISG218" s="630"/>
      <c r="ISH218" s="630"/>
      <c r="ISI218" s="630"/>
      <c r="ISJ218" s="630"/>
      <c r="ISK218" s="630"/>
      <c r="ISL218" s="630"/>
      <c r="ISM218" s="630"/>
      <c r="ISN218" s="630"/>
      <c r="ISO218" s="630"/>
      <c r="ISP218" s="630"/>
      <c r="ISQ218" s="630"/>
      <c r="ISR218" s="630"/>
      <c r="ISS218" s="630"/>
      <c r="IST218" s="630"/>
      <c r="ISU218" s="630"/>
      <c r="ISV218" s="630"/>
      <c r="ISW218" s="630"/>
      <c r="ISX218" s="630"/>
      <c r="ISY218" s="630"/>
      <c r="ISZ218" s="630"/>
      <c r="ITA218" s="630"/>
      <c r="ITB218" s="630"/>
      <c r="ITC218" s="630"/>
      <c r="ITD218" s="630"/>
      <c r="ITE218" s="630"/>
      <c r="ITF218" s="630"/>
      <c r="ITG218" s="630"/>
      <c r="ITH218" s="630"/>
      <c r="ITI218" s="630"/>
      <c r="ITJ218" s="630"/>
      <c r="ITK218" s="630"/>
      <c r="ITL218" s="630"/>
      <c r="ITM218" s="630"/>
      <c r="ITN218" s="630"/>
      <c r="ITO218" s="630"/>
      <c r="ITP218" s="630"/>
      <c r="ITQ218" s="630"/>
      <c r="ITR218" s="630"/>
      <c r="ITS218" s="630"/>
      <c r="ITT218" s="630"/>
      <c r="ITU218" s="630"/>
      <c r="ITV218" s="630"/>
      <c r="ITW218" s="630"/>
      <c r="ITX218" s="630"/>
      <c r="ITY218" s="630"/>
      <c r="ITZ218" s="630"/>
      <c r="IUA218" s="630"/>
      <c r="IUB218" s="630"/>
      <c r="IUC218" s="630"/>
      <c r="IUD218" s="630"/>
      <c r="IUE218" s="630"/>
      <c r="IUF218" s="630"/>
      <c r="IUG218" s="630"/>
      <c r="IUH218" s="630"/>
      <c r="IUI218" s="630"/>
      <c r="IUJ218" s="630"/>
      <c r="IUK218" s="630"/>
      <c r="IUL218" s="630"/>
      <c r="IUM218" s="630"/>
      <c r="IUN218" s="630"/>
      <c r="IUO218" s="630"/>
      <c r="IUP218" s="630"/>
      <c r="IUQ218" s="630"/>
      <c r="IUR218" s="630"/>
      <c r="IUS218" s="630"/>
      <c r="IUT218" s="630"/>
      <c r="IUU218" s="630"/>
      <c r="IUV218" s="630"/>
      <c r="IUW218" s="630"/>
      <c r="IUX218" s="630"/>
      <c r="IUY218" s="630"/>
      <c r="IUZ218" s="630"/>
      <c r="IVA218" s="630"/>
      <c r="IVB218" s="630"/>
      <c r="IVC218" s="630"/>
      <c r="IVD218" s="630"/>
      <c r="IVE218" s="630"/>
      <c r="IVF218" s="630"/>
      <c r="IVG218" s="630"/>
      <c r="IVH218" s="630"/>
      <c r="IVI218" s="630"/>
      <c r="IVJ218" s="630"/>
      <c r="IVK218" s="630"/>
      <c r="IVL218" s="630"/>
      <c r="IVM218" s="630"/>
      <c r="IVN218" s="630"/>
      <c r="IVO218" s="630"/>
      <c r="IVP218" s="630"/>
      <c r="IVQ218" s="630"/>
      <c r="IVR218" s="630"/>
      <c r="IVS218" s="630"/>
      <c r="IVT218" s="630"/>
      <c r="IVU218" s="630"/>
      <c r="IVV218" s="630"/>
      <c r="IVW218" s="630"/>
      <c r="IVX218" s="630"/>
      <c r="IVY218" s="630"/>
      <c r="IVZ218" s="630"/>
      <c r="IWA218" s="630"/>
      <c r="IWB218" s="630"/>
      <c r="IWC218" s="630"/>
      <c r="IWD218" s="630"/>
      <c r="IWE218" s="630"/>
      <c r="IWF218" s="630"/>
      <c r="IWG218" s="630"/>
      <c r="IWH218" s="630"/>
      <c r="IWI218" s="630"/>
      <c r="IWJ218" s="630"/>
      <c r="IWK218" s="630"/>
      <c r="IWL218" s="630"/>
      <c r="IWM218" s="630"/>
      <c r="IWN218" s="630"/>
      <c r="IWO218" s="630"/>
      <c r="IWP218" s="630"/>
      <c r="IWQ218" s="630"/>
      <c r="IWR218" s="630"/>
      <c r="IWS218" s="630"/>
      <c r="IWT218" s="630"/>
      <c r="IWU218" s="630"/>
      <c r="IWV218" s="630"/>
      <c r="IWW218" s="630"/>
      <c r="IWX218" s="630"/>
      <c r="IWY218" s="630"/>
      <c r="IWZ218" s="630"/>
      <c r="IXA218" s="630"/>
      <c r="IXB218" s="630"/>
      <c r="IXC218" s="630"/>
      <c r="IXD218" s="630"/>
      <c r="IXE218" s="630"/>
      <c r="IXF218" s="630"/>
      <c r="IXG218" s="630"/>
      <c r="IXH218" s="630"/>
      <c r="IXI218" s="630"/>
      <c r="IXJ218" s="630"/>
      <c r="IXK218" s="630"/>
      <c r="IXL218" s="630"/>
      <c r="IXM218" s="630"/>
      <c r="IXN218" s="630"/>
      <c r="IXO218" s="630"/>
      <c r="IXP218" s="630"/>
      <c r="IXQ218" s="630"/>
      <c r="IXR218" s="630"/>
      <c r="IXS218" s="630"/>
      <c r="IXT218" s="630"/>
      <c r="IXU218" s="630"/>
      <c r="IXV218" s="630"/>
      <c r="IXW218" s="630"/>
      <c r="IXX218" s="630"/>
      <c r="IXY218" s="630"/>
      <c r="IXZ218" s="630"/>
      <c r="IYA218" s="630"/>
      <c r="IYB218" s="630"/>
      <c r="IYC218" s="630"/>
      <c r="IYD218" s="630"/>
      <c r="IYE218" s="630"/>
      <c r="IYF218" s="630"/>
      <c r="IYG218" s="630"/>
      <c r="IYH218" s="630"/>
      <c r="IYI218" s="630"/>
      <c r="IYJ218" s="630"/>
      <c r="IYK218" s="630"/>
      <c r="IYL218" s="630"/>
      <c r="IYM218" s="630"/>
      <c r="IYN218" s="630"/>
      <c r="IYO218" s="630"/>
      <c r="IYP218" s="630"/>
      <c r="IYQ218" s="630"/>
      <c r="IYR218" s="630"/>
      <c r="IYS218" s="630"/>
      <c r="IYT218" s="630"/>
      <c r="IYU218" s="630"/>
      <c r="IYV218" s="630"/>
      <c r="IYW218" s="630"/>
      <c r="IYX218" s="630"/>
      <c r="IYY218" s="630"/>
      <c r="IYZ218" s="630"/>
      <c r="IZA218" s="630"/>
      <c r="IZB218" s="630"/>
      <c r="IZC218" s="630"/>
      <c r="IZD218" s="630"/>
      <c r="IZE218" s="630"/>
      <c r="IZF218" s="630"/>
      <c r="IZG218" s="630"/>
      <c r="IZH218" s="630"/>
      <c r="IZI218" s="630"/>
      <c r="IZJ218" s="630"/>
      <c r="IZK218" s="630"/>
      <c r="IZL218" s="630"/>
      <c r="IZM218" s="630"/>
      <c r="IZN218" s="630"/>
      <c r="IZO218" s="630"/>
      <c r="IZP218" s="630"/>
      <c r="IZQ218" s="630"/>
      <c r="IZR218" s="630"/>
      <c r="IZS218" s="630"/>
      <c r="IZT218" s="630"/>
      <c r="IZU218" s="630"/>
      <c r="IZV218" s="630"/>
      <c r="IZW218" s="630"/>
      <c r="IZX218" s="630"/>
      <c r="IZY218" s="630"/>
      <c r="IZZ218" s="630"/>
      <c r="JAA218" s="630"/>
      <c r="JAB218" s="630"/>
      <c r="JAC218" s="630"/>
      <c r="JAD218" s="630"/>
      <c r="JAE218" s="630"/>
      <c r="JAF218" s="630"/>
      <c r="JAG218" s="630"/>
      <c r="JAH218" s="630"/>
      <c r="JAI218" s="630"/>
      <c r="JAJ218" s="630"/>
      <c r="JAK218" s="630"/>
      <c r="JAL218" s="630"/>
      <c r="JAM218" s="630"/>
      <c r="JAN218" s="630"/>
      <c r="JAO218" s="630"/>
      <c r="JAP218" s="630"/>
      <c r="JAQ218" s="630"/>
      <c r="JAR218" s="630"/>
      <c r="JAS218" s="630"/>
      <c r="JAT218" s="630"/>
      <c r="JAU218" s="630"/>
      <c r="JAV218" s="630"/>
      <c r="JAW218" s="630"/>
      <c r="JAX218" s="630"/>
      <c r="JAY218" s="630"/>
      <c r="JAZ218" s="630"/>
      <c r="JBA218" s="630"/>
      <c r="JBB218" s="630"/>
      <c r="JBC218" s="630"/>
      <c r="JBD218" s="630"/>
      <c r="JBE218" s="630"/>
      <c r="JBF218" s="630"/>
      <c r="JBG218" s="630"/>
      <c r="JBH218" s="630"/>
      <c r="JBI218" s="630"/>
      <c r="JBJ218" s="630"/>
      <c r="JBK218" s="630"/>
      <c r="JBL218" s="630"/>
      <c r="JBM218" s="630"/>
      <c r="JBN218" s="630"/>
      <c r="JBO218" s="630"/>
      <c r="JBP218" s="630"/>
      <c r="JBQ218" s="630"/>
      <c r="JBR218" s="630"/>
      <c r="JBS218" s="630"/>
      <c r="JBT218" s="630"/>
      <c r="JBU218" s="630"/>
      <c r="JBV218" s="630"/>
      <c r="JBW218" s="630"/>
      <c r="JBX218" s="630"/>
      <c r="JBY218" s="630"/>
      <c r="JBZ218" s="630"/>
      <c r="JCA218" s="630"/>
      <c r="JCB218" s="630"/>
      <c r="JCC218" s="630"/>
      <c r="JCD218" s="630"/>
      <c r="JCE218" s="630"/>
      <c r="JCF218" s="630"/>
      <c r="JCG218" s="630"/>
      <c r="JCH218" s="630"/>
      <c r="JCI218" s="630"/>
      <c r="JCJ218" s="630"/>
      <c r="JCK218" s="630"/>
      <c r="JCL218" s="630"/>
      <c r="JCM218" s="630"/>
      <c r="JCN218" s="630"/>
      <c r="JCO218" s="630"/>
      <c r="JCP218" s="630"/>
      <c r="JCQ218" s="630"/>
      <c r="JCR218" s="630"/>
      <c r="JCS218" s="630"/>
      <c r="JCT218" s="630"/>
      <c r="JCU218" s="630"/>
      <c r="JCV218" s="630"/>
      <c r="JCW218" s="630"/>
      <c r="JCX218" s="630"/>
      <c r="JCY218" s="630"/>
      <c r="JCZ218" s="630"/>
      <c r="JDA218" s="630"/>
      <c r="JDB218" s="630"/>
      <c r="JDC218" s="630"/>
      <c r="JDD218" s="630"/>
      <c r="JDE218" s="630"/>
      <c r="JDF218" s="630"/>
      <c r="JDG218" s="630"/>
      <c r="JDH218" s="630"/>
      <c r="JDI218" s="630"/>
      <c r="JDJ218" s="630"/>
      <c r="JDK218" s="630"/>
      <c r="JDL218" s="630"/>
      <c r="JDM218" s="630"/>
      <c r="JDN218" s="630"/>
      <c r="JDO218" s="630"/>
      <c r="JDP218" s="630"/>
      <c r="JDQ218" s="630"/>
      <c r="JDR218" s="630"/>
      <c r="JDS218" s="630"/>
      <c r="JDT218" s="630"/>
      <c r="JDU218" s="630"/>
      <c r="JDV218" s="630"/>
      <c r="JDW218" s="630"/>
      <c r="JDX218" s="630"/>
      <c r="JDY218" s="630"/>
      <c r="JDZ218" s="630"/>
      <c r="JEA218" s="630"/>
      <c r="JEB218" s="630"/>
      <c r="JEC218" s="630"/>
      <c r="JED218" s="630"/>
      <c r="JEE218" s="630"/>
      <c r="JEF218" s="630"/>
      <c r="JEG218" s="630"/>
      <c r="JEH218" s="630"/>
      <c r="JEI218" s="630"/>
      <c r="JEJ218" s="630"/>
      <c r="JEK218" s="630"/>
      <c r="JEL218" s="630"/>
      <c r="JEM218" s="630"/>
      <c r="JEN218" s="630"/>
      <c r="JEO218" s="630"/>
      <c r="JEP218" s="630"/>
      <c r="JEQ218" s="630"/>
      <c r="JER218" s="630"/>
      <c r="JES218" s="630"/>
      <c r="JET218" s="630"/>
      <c r="JEU218" s="630"/>
      <c r="JEV218" s="630"/>
      <c r="JEW218" s="630"/>
      <c r="JEX218" s="630"/>
      <c r="JEY218" s="630"/>
      <c r="JEZ218" s="630"/>
      <c r="JFA218" s="630"/>
      <c r="JFB218" s="630"/>
      <c r="JFC218" s="630"/>
      <c r="JFD218" s="630"/>
      <c r="JFE218" s="630"/>
      <c r="JFF218" s="630"/>
      <c r="JFG218" s="630"/>
      <c r="JFH218" s="630"/>
      <c r="JFI218" s="630"/>
      <c r="JFJ218" s="630"/>
      <c r="JFK218" s="630"/>
      <c r="JFL218" s="630"/>
      <c r="JFM218" s="630"/>
      <c r="JFN218" s="630"/>
      <c r="JFO218" s="630"/>
      <c r="JFP218" s="630"/>
      <c r="JFQ218" s="630"/>
      <c r="JFR218" s="630"/>
      <c r="JFS218" s="630"/>
      <c r="JFT218" s="630"/>
      <c r="JFU218" s="630"/>
      <c r="JFV218" s="630"/>
      <c r="JFW218" s="630"/>
      <c r="JFX218" s="630"/>
      <c r="JFY218" s="630"/>
      <c r="JFZ218" s="630"/>
      <c r="JGA218" s="630"/>
      <c r="JGB218" s="630"/>
      <c r="JGC218" s="630"/>
      <c r="JGD218" s="630"/>
      <c r="JGE218" s="630"/>
      <c r="JGF218" s="630"/>
      <c r="JGG218" s="630"/>
      <c r="JGH218" s="630"/>
      <c r="JGI218" s="630"/>
      <c r="JGJ218" s="630"/>
      <c r="JGK218" s="630"/>
      <c r="JGL218" s="630"/>
      <c r="JGM218" s="630"/>
      <c r="JGN218" s="630"/>
      <c r="JGO218" s="630"/>
      <c r="JGP218" s="630"/>
      <c r="JGQ218" s="630"/>
      <c r="JGR218" s="630"/>
      <c r="JGS218" s="630"/>
      <c r="JGT218" s="630"/>
      <c r="JGU218" s="630"/>
      <c r="JGV218" s="630"/>
      <c r="JGW218" s="630"/>
      <c r="JGX218" s="630"/>
      <c r="JGY218" s="630"/>
      <c r="JGZ218" s="630"/>
      <c r="JHA218" s="630"/>
      <c r="JHB218" s="630"/>
      <c r="JHC218" s="630"/>
      <c r="JHD218" s="630"/>
      <c r="JHE218" s="630"/>
      <c r="JHF218" s="630"/>
      <c r="JHG218" s="630"/>
      <c r="JHH218" s="630"/>
      <c r="JHI218" s="630"/>
      <c r="JHJ218" s="630"/>
      <c r="JHK218" s="630"/>
      <c r="JHL218" s="630"/>
      <c r="JHM218" s="630"/>
      <c r="JHN218" s="630"/>
      <c r="JHO218" s="630"/>
      <c r="JHP218" s="630"/>
      <c r="JHQ218" s="630"/>
      <c r="JHR218" s="630"/>
      <c r="JHS218" s="630"/>
      <c r="JHT218" s="630"/>
      <c r="JHU218" s="630"/>
      <c r="JHV218" s="630"/>
      <c r="JHW218" s="630"/>
      <c r="JHX218" s="630"/>
      <c r="JHY218" s="630"/>
      <c r="JHZ218" s="630"/>
      <c r="JIA218" s="630"/>
      <c r="JIB218" s="630"/>
      <c r="JIC218" s="630"/>
      <c r="JID218" s="630"/>
      <c r="JIE218" s="630"/>
      <c r="JIF218" s="630"/>
      <c r="JIG218" s="630"/>
      <c r="JIH218" s="630"/>
      <c r="JII218" s="630"/>
      <c r="JIJ218" s="630"/>
      <c r="JIK218" s="630"/>
      <c r="JIL218" s="630"/>
      <c r="JIM218" s="630"/>
      <c r="JIN218" s="630"/>
      <c r="JIO218" s="630"/>
      <c r="JIP218" s="630"/>
      <c r="JIQ218" s="630"/>
      <c r="JIR218" s="630"/>
      <c r="JIS218" s="630"/>
      <c r="JIT218" s="630"/>
      <c r="JIU218" s="630"/>
      <c r="JIV218" s="630"/>
      <c r="JIW218" s="630"/>
      <c r="JIX218" s="630"/>
      <c r="JIY218" s="630"/>
      <c r="JIZ218" s="630"/>
      <c r="JJA218" s="630"/>
      <c r="JJB218" s="630"/>
      <c r="JJC218" s="630"/>
      <c r="JJD218" s="630"/>
      <c r="JJE218" s="630"/>
      <c r="JJF218" s="630"/>
      <c r="JJG218" s="630"/>
      <c r="JJH218" s="630"/>
      <c r="JJI218" s="630"/>
      <c r="JJJ218" s="630"/>
      <c r="JJK218" s="630"/>
      <c r="JJL218" s="630"/>
      <c r="JJM218" s="630"/>
      <c r="JJN218" s="630"/>
      <c r="JJO218" s="630"/>
      <c r="JJP218" s="630"/>
      <c r="JJQ218" s="630"/>
      <c r="JJR218" s="630"/>
      <c r="JJS218" s="630"/>
      <c r="JJT218" s="630"/>
      <c r="JJU218" s="630"/>
      <c r="JJV218" s="630"/>
      <c r="JJW218" s="630"/>
      <c r="JJX218" s="630"/>
      <c r="JJY218" s="630"/>
      <c r="JJZ218" s="630"/>
      <c r="JKA218" s="630"/>
      <c r="JKB218" s="630"/>
      <c r="JKC218" s="630"/>
      <c r="JKD218" s="630"/>
      <c r="JKE218" s="630"/>
      <c r="JKF218" s="630"/>
      <c r="JKG218" s="630"/>
      <c r="JKH218" s="630"/>
      <c r="JKI218" s="630"/>
      <c r="JKJ218" s="630"/>
      <c r="JKK218" s="630"/>
      <c r="JKL218" s="630"/>
      <c r="JKM218" s="630"/>
      <c r="JKN218" s="630"/>
      <c r="JKO218" s="630"/>
      <c r="JKP218" s="630"/>
      <c r="JKQ218" s="630"/>
      <c r="JKR218" s="630"/>
      <c r="JKS218" s="630"/>
      <c r="JKT218" s="630"/>
      <c r="JKU218" s="630"/>
      <c r="JKV218" s="630"/>
      <c r="JKW218" s="630"/>
      <c r="JKX218" s="630"/>
      <c r="JKY218" s="630"/>
      <c r="JKZ218" s="630"/>
      <c r="JLA218" s="630"/>
      <c r="JLB218" s="630"/>
      <c r="JLC218" s="630"/>
      <c r="JLD218" s="630"/>
      <c r="JLE218" s="630"/>
      <c r="JLF218" s="630"/>
      <c r="JLG218" s="630"/>
      <c r="JLH218" s="630"/>
      <c r="JLI218" s="630"/>
      <c r="JLJ218" s="630"/>
      <c r="JLK218" s="630"/>
      <c r="JLL218" s="630"/>
      <c r="JLM218" s="630"/>
      <c r="JLN218" s="630"/>
      <c r="JLO218" s="630"/>
      <c r="JLP218" s="630"/>
      <c r="JLQ218" s="630"/>
      <c r="JLR218" s="630"/>
      <c r="JLS218" s="630"/>
      <c r="JLT218" s="630"/>
      <c r="JLU218" s="630"/>
      <c r="JLV218" s="630"/>
      <c r="JLW218" s="630"/>
      <c r="JLX218" s="630"/>
      <c r="JLY218" s="630"/>
      <c r="JLZ218" s="630"/>
      <c r="JMA218" s="630"/>
      <c r="JMB218" s="630"/>
      <c r="JMC218" s="630"/>
      <c r="JMD218" s="630"/>
      <c r="JME218" s="630"/>
      <c r="JMF218" s="630"/>
      <c r="JMG218" s="630"/>
      <c r="JMH218" s="630"/>
      <c r="JMI218" s="630"/>
      <c r="JMJ218" s="630"/>
      <c r="JMK218" s="630"/>
      <c r="JML218" s="630"/>
      <c r="JMM218" s="630"/>
      <c r="JMN218" s="630"/>
      <c r="JMO218" s="630"/>
      <c r="JMP218" s="630"/>
      <c r="JMQ218" s="630"/>
      <c r="JMR218" s="630"/>
      <c r="JMS218" s="630"/>
      <c r="JMT218" s="630"/>
      <c r="JMU218" s="630"/>
      <c r="JMV218" s="630"/>
      <c r="JMW218" s="630"/>
      <c r="JMX218" s="630"/>
      <c r="JMY218" s="630"/>
      <c r="JMZ218" s="630"/>
      <c r="JNA218" s="630"/>
      <c r="JNB218" s="630"/>
      <c r="JNC218" s="630"/>
      <c r="JND218" s="630"/>
      <c r="JNE218" s="630"/>
      <c r="JNF218" s="630"/>
      <c r="JNG218" s="630"/>
      <c r="JNH218" s="630"/>
      <c r="JNI218" s="630"/>
      <c r="JNJ218" s="630"/>
      <c r="JNK218" s="630"/>
      <c r="JNL218" s="630"/>
      <c r="JNM218" s="630"/>
      <c r="JNN218" s="630"/>
      <c r="JNO218" s="630"/>
      <c r="JNP218" s="630"/>
      <c r="JNQ218" s="630"/>
      <c r="JNR218" s="630"/>
      <c r="JNS218" s="630"/>
      <c r="JNT218" s="630"/>
      <c r="JNU218" s="630"/>
      <c r="JNV218" s="630"/>
      <c r="JNW218" s="630"/>
      <c r="JNX218" s="630"/>
      <c r="JNY218" s="630"/>
      <c r="JNZ218" s="630"/>
      <c r="JOA218" s="630"/>
      <c r="JOB218" s="630"/>
      <c r="JOC218" s="630"/>
      <c r="JOD218" s="630"/>
      <c r="JOE218" s="630"/>
      <c r="JOF218" s="630"/>
      <c r="JOG218" s="630"/>
      <c r="JOH218" s="630"/>
      <c r="JOI218" s="630"/>
      <c r="JOJ218" s="630"/>
      <c r="JOK218" s="630"/>
      <c r="JOL218" s="630"/>
      <c r="JOM218" s="630"/>
      <c r="JON218" s="630"/>
      <c r="JOO218" s="630"/>
      <c r="JOP218" s="630"/>
      <c r="JOQ218" s="630"/>
      <c r="JOR218" s="630"/>
      <c r="JOS218" s="630"/>
      <c r="JOT218" s="630"/>
      <c r="JOU218" s="630"/>
      <c r="JOV218" s="630"/>
      <c r="JOW218" s="630"/>
      <c r="JOX218" s="630"/>
      <c r="JOY218" s="630"/>
      <c r="JOZ218" s="630"/>
      <c r="JPA218" s="630"/>
      <c r="JPB218" s="630"/>
      <c r="JPC218" s="630"/>
      <c r="JPD218" s="630"/>
      <c r="JPE218" s="630"/>
      <c r="JPF218" s="630"/>
      <c r="JPG218" s="630"/>
      <c r="JPH218" s="630"/>
      <c r="JPI218" s="630"/>
      <c r="JPJ218" s="630"/>
      <c r="JPK218" s="630"/>
      <c r="JPL218" s="630"/>
      <c r="JPM218" s="630"/>
      <c r="JPN218" s="630"/>
      <c r="JPO218" s="630"/>
      <c r="JPP218" s="630"/>
      <c r="JPQ218" s="630"/>
      <c r="JPR218" s="630"/>
      <c r="JPS218" s="630"/>
      <c r="JPT218" s="630"/>
      <c r="JPU218" s="630"/>
      <c r="JPV218" s="630"/>
      <c r="JPW218" s="630"/>
      <c r="JPX218" s="630"/>
      <c r="JPY218" s="630"/>
      <c r="JPZ218" s="630"/>
      <c r="JQA218" s="630"/>
      <c r="JQB218" s="630"/>
      <c r="JQC218" s="630"/>
      <c r="JQD218" s="630"/>
      <c r="JQE218" s="630"/>
      <c r="JQF218" s="630"/>
      <c r="JQG218" s="630"/>
      <c r="JQH218" s="630"/>
      <c r="JQI218" s="630"/>
      <c r="JQJ218" s="630"/>
      <c r="JQK218" s="630"/>
      <c r="JQL218" s="630"/>
      <c r="JQM218" s="630"/>
      <c r="JQN218" s="630"/>
      <c r="JQO218" s="630"/>
      <c r="JQP218" s="630"/>
      <c r="JQQ218" s="630"/>
      <c r="JQR218" s="630"/>
      <c r="JQS218" s="630"/>
      <c r="JQT218" s="630"/>
      <c r="JQU218" s="630"/>
      <c r="JQV218" s="630"/>
      <c r="JQW218" s="630"/>
      <c r="JQX218" s="630"/>
      <c r="JQY218" s="630"/>
      <c r="JQZ218" s="630"/>
      <c r="JRA218" s="630"/>
      <c r="JRB218" s="630"/>
      <c r="JRC218" s="630"/>
      <c r="JRD218" s="630"/>
      <c r="JRE218" s="630"/>
      <c r="JRF218" s="630"/>
      <c r="JRG218" s="630"/>
      <c r="JRH218" s="630"/>
      <c r="JRI218" s="630"/>
      <c r="JRJ218" s="630"/>
      <c r="JRK218" s="630"/>
      <c r="JRL218" s="630"/>
      <c r="JRM218" s="630"/>
      <c r="JRN218" s="630"/>
      <c r="JRO218" s="630"/>
      <c r="JRP218" s="630"/>
      <c r="JRQ218" s="630"/>
      <c r="JRR218" s="630"/>
      <c r="JRS218" s="630"/>
      <c r="JRT218" s="630"/>
      <c r="JRU218" s="630"/>
      <c r="JRV218" s="630"/>
      <c r="JRW218" s="630"/>
      <c r="JRX218" s="630"/>
      <c r="JRY218" s="630"/>
      <c r="JRZ218" s="630"/>
      <c r="JSA218" s="630"/>
      <c r="JSB218" s="630"/>
      <c r="JSC218" s="630"/>
      <c r="JSD218" s="630"/>
      <c r="JSE218" s="630"/>
      <c r="JSF218" s="630"/>
      <c r="JSG218" s="630"/>
      <c r="JSH218" s="630"/>
      <c r="JSI218" s="630"/>
      <c r="JSJ218" s="630"/>
      <c r="JSK218" s="630"/>
      <c r="JSL218" s="630"/>
      <c r="JSM218" s="630"/>
      <c r="JSN218" s="630"/>
      <c r="JSO218" s="630"/>
      <c r="JSP218" s="630"/>
      <c r="JSQ218" s="630"/>
      <c r="JSR218" s="630"/>
      <c r="JSS218" s="630"/>
      <c r="JST218" s="630"/>
      <c r="JSU218" s="630"/>
      <c r="JSV218" s="630"/>
      <c r="JSW218" s="630"/>
      <c r="JSX218" s="630"/>
      <c r="JSY218" s="630"/>
      <c r="JSZ218" s="630"/>
      <c r="JTA218" s="630"/>
      <c r="JTB218" s="630"/>
      <c r="JTC218" s="630"/>
      <c r="JTD218" s="630"/>
      <c r="JTE218" s="630"/>
      <c r="JTF218" s="630"/>
      <c r="JTG218" s="630"/>
      <c r="JTH218" s="630"/>
      <c r="JTI218" s="630"/>
      <c r="JTJ218" s="630"/>
      <c r="JTK218" s="630"/>
      <c r="JTL218" s="630"/>
      <c r="JTM218" s="630"/>
      <c r="JTN218" s="630"/>
      <c r="JTO218" s="630"/>
      <c r="JTP218" s="630"/>
      <c r="JTQ218" s="630"/>
      <c r="JTR218" s="630"/>
      <c r="JTS218" s="630"/>
      <c r="JTT218" s="630"/>
      <c r="JTU218" s="630"/>
      <c r="JTV218" s="630"/>
      <c r="JTW218" s="630"/>
      <c r="JTX218" s="630"/>
      <c r="JTY218" s="630"/>
      <c r="JTZ218" s="630"/>
      <c r="JUA218" s="630"/>
      <c r="JUB218" s="630"/>
      <c r="JUC218" s="630"/>
      <c r="JUD218" s="630"/>
      <c r="JUE218" s="630"/>
      <c r="JUF218" s="630"/>
      <c r="JUG218" s="630"/>
      <c r="JUH218" s="630"/>
      <c r="JUI218" s="630"/>
      <c r="JUJ218" s="630"/>
      <c r="JUK218" s="630"/>
      <c r="JUL218" s="630"/>
      <c r="JUM218" s="630"/>
      <c r="JUN218" s="630"/>
      <c r="JUO218" s="630"/>
      <c r="JUP218" s="630"/>
      <c r="JUQ218" s="630"/>
      <c r="JUR218" s="630"/>
      <c r="JUS218" s="630"/>
      <c r="JUT218" s="630"/>
      <c r="JUU218" s="630"/>
      <c r="JUV218" s="630"/>
      <c r="JUW218" s="630"/>
      <c r="JUX218" s="630"/>
      <c r="JUY218" s="630"/>
      <c r="JUZ218" s="630"/>
      <c r="JVA218" s="630"/>
      <c r="JVB218" s="630"/>
      <c r="JVC218" s="630"/>
      <c r="JVD218" s="630"/>
      <c r="JVE218" s="630"/>
      <c r="JVF218" s="630"/>
      <c r="JVG218" s="630"/>
      <c r="JVH218" s="630"/>
      <c r="JVI218" s="630"/>
      <c r="JVJ218" s="630"/>
      <c r="JVK218" s="630"/>
      <c r="JVL218" s="630"/>
      <c r="JVM218" s="630"/>
      <c r="JVN218" s="630"/>
      <c r="JVO218" s="630"/>
      <c r="JVP218" s="630"/>
      <c r="JVQ218" s="630"/>
      <c r="JVR218" s="630"/>
      <c r="JVS218" s="630"/>
      <c r="JVT218" s="630"/>
      <c r="JVU218" s="630"/>
      <c r="JVV218" s="630"/>
      <c r="JVW218" s="630"/>
      <c r="JVX218" s="630"/>
      <c r="JVY218" s="630"/>
      <c r="JVZ218" s="630"/>
      <c r="JWA218" s="630"/>
      <c r="JWB218" s="630"/>
      <c r="JWC218" s="630"/>
      <c r="JWD218" s="630"/>
      <c r="JWE218" s="630"/>
      <c r="JWF218" s="630"/>
      <c r="JWG218" s="630"/>
      <c r="JWH218" s="630"/>
      <c r="JWI218" s="630"/>
      <c r="JWJ218" s="630"/>
      <c r="JWK218" s="630"/>
      <c r="JWL218" s="630"/>
      <c r="JWM218" s="630"/>
      <c r="JWN218" s="630"/>
      <c r="JWO218" s="630"/>
      <c r="JWP218" s="630"/>
      <c r="JWQ218" s="630"/>
      <c r="JWR218" s="630"/>
      <c r="JWS218" s="630"/>
      <c r="JWT218" s="630"/>
      <c r="JWU218" s="630"/>
      <c r="JWV218" s="630"/>
      <c r="JWW218" s="630"/>
      <c r="JWX218" s="630"/>
      <c r="JWY218" s="630"/>
      <c r="JWZ218" s="630"/>
      <c r="JXA218" s="630"/>
      <c r="JXB218" s="630"/>
      <c r="JXC218" s="630"/>
      <c r="JXD218" s="630"/>
      <c r="JXE218" s="630"/>
      <c r="JXF218" s="630"/>
      <c r="JXG218" s="630"/>
      <c r="JXH218" s="630"/>
      <c r="JXI218" s="630"/>
      <c r="JXJ218" s="630"/>
      <c r="JXK218" s="630"/>
      <c r="JXL218" s="630"/>
      <c r="JXM218" s="630"/>
      <c r="JXN218" s="630"/>
      <c r="JXO218" s="630"/>
      <c r="JXP218" s="630"/>
      <c r="JXQ218" s="630"/>
      <c r="JXR218" s="630"/>
      <c r="JXS218" s="630"/>
      <c r="JXT218" s="630"/>
      <c r="JXU218" s="630"/>
      <c r="JXV218" s="630"/>
      <c r="JXW218" s="630"/>
      <c r="JXX218" s="630"/>
      <c r="JXY218" s="630"/>
      <c r="JXZ218" s="630"/>
      <c r="JYA218" s="630"/>
      <c r="JYB218" s="630"/>
      <c r="JYC218" s="630"/>
      <c r="JYD218" s="630"/>
      <c r="JYE218" s="630"/>
      <c r="JYF218" s="630"/>
      <c r="JYG218" s="630"/>
      <c r="JYH218" s="630"/>
      <c r="JYI218" s="630"/>
      <c r="JYJ218" s="630"/>
      <c r="JYK218" s="630"/>
      <c r="JYL218" s="630"/>
      <c r="JYM218" s="630"/>
      <c r="JYN218" s="630"/>
      <c r="JYO218" s="630"/>
      <c r="JYP218" s="630"/>
      <c r="JYQ218" s="630"/>
      <c r="JYR218" s="630"/>
      <c r="JYS218" s="630"/>
      <c r="JYT218" s="630"/>
      <c r="JYU218" s="630"/>
      <c r="JYV218" s="630"/>
      <c r="JYW218" s="630"/>
      <c r="JYX218" s="630"/>
      <c r="JYY218" s="630"/>
      <c r="JYZ218" s="630"/>
      <c r="JZA218" s="630"/>
      <c r="JZB218" s="630"/>
      <c r="JZC218" s="630"/>
      <c r="JZD218" s="630"/>
      <c r="JZE218" s="630"/>
      <c r="JZF218" s="630"/>
      <c r="JZG218" s="630"/>
      <c r="JZH218" s="630"/>
      <c r="JZI218" s="630"/>
      <c r="JZJ218" s="630"/>
      <c r="JZK218" s="630"/>
      <c r="JZL218" s="630"/>
      <c r="JZM218" s="630"/>
      <c r="JZN218" s="630"/>
      <c r="JZO218" s="630"/>
      <c r="JZP218" s="630"/>
      <c r="JZQ218" s="630"/>
      <c r="JZR218" s="630"/>
      <c r="JZS218" s="630"/>
      <c r="JZT218" s="630"/>
      <c r="JZU218" s="630"/>
      <c r="JZV218" s="630"/>
      <c r="JZW218" s="630"/>
      <c r="JZX218" s="630"/>
      <c r="JZY218" s="630"/>
      <c r="JZZ218" s="630"/>
      <c r="KAA218" s="630"/>
      <c r="KAB218" s="630"/>
      <c r="KAC218" s="630"/>
      <c r="KAD218" s="630"/>
      <c r="KAE218" s="630"/>
      <c r="KAF218" s="630"/>
      <c r="KAG218" s="630"/>
      <c r="KAH218" s="630"/>
      <c r="KAI218" s="630"/>
      <c r="KAJ218" s="630"/>
      <c r="KAK218" s="630"/>
      <c r="KAL218" s="630"/>
      <c r="KAM218" s="630"/>
      <c r="KAN218" s="630"/>
      <c r="KAO218" s="630"/>
      <c r="KAP218" s="630"/>
      <c r="KAQ218" s="630"/>
      <c r="KAR218" s="630"/>
      <c r="KAS218" s="630"/>
      <c r="KAT218" s="630"/>
      <c r="KAU218" s="630"/>
      <c r="KAV218" s="630"/>
      <c r="KAW218" s="630"/>
      <c r="KAX218" s="630"/>
      <c r="KAY218" s="630"/>
      <c r="KAZ218" s="630"/>
      <c r="KBA218" s="630"/>
      <c r="KBB218" s="630"/>
      <c r="KBC218" s="630"/>
      <c r="KBD218" s="630"/>
      <c r="KBE218" s="630"/>
      <c r="KBF218" s="630"/>
      <c r="KBG218" s="630"/>
      <c r="KBH218" s="630"/>
      <c r="KBI218" s="630"/>
      <c r="KBJ218" s="630"/>
      <c r="KBK218" s="630"/>
      <c r="KBL218" s="630"/>
      <c r="KBM218" s="630"/>
      <c r="KBN218" s="630"/>
      <c r="KBO218" s="630"/>
      <c r="KBP218" s="630"/>
      <c r="KBQ218" s="630"/>
      <c r="KBR218" s="630"/>
      <c r="KBS218" s="630"/>
      <c r="KBT218" s="630"/>
      <c r="KBU218" s="630"/>
      <c r="KBV218" s="630"/>
      <c r="KBW218" s="630"/>
      <c r="KBX218" s="630"/>
      <c r="KBY218" s="630"/>
      <c r="KBZ218" s="630"/>
      <c r="KCA218" s="630"/>
      <c r="KCB218" s="630"/>
      <c r="KCC218" s="630"/>
      <c r="KCD218" s="630"/>
      <c r="KCE218" s="630"/>
      <c r="KCF218" s="630"/>
      <c r="KCG218" s="630"/>
      <c r="KCH218" s="630"/>
      <c r="KCI218" s="630"/>
      <c r="KCJ218" s="630"/>
      <c r="KCK218" s="630"/>
      <c r="KCL218" s="630"/>
      <c r="KCM218" s="630"/>
      <c r="KCN218" s="630"/>
      <c r="KCO218" s="630"/>
      <c r="KCP218" s="630"/>
      <c r="KCQ218" s="630"/>
      <c r="KCR218" s="630"/>
      <c r="KCS218" s="630"/>
      <c r="KCT218" s="630"/>
      <c r="KCU218" s="630"/>
      <c r="KCV218" s="630"/>
      <c r="KCW218" s="630"/>
      <c r="KCX218" s="630"/>
      <c r="KCY218" s="630"/>
      <c r="KCZ218" s="630"/>
      <c r="KDA218" s="630"/>
      <c r="KDB218" s="630"/>
      <c r="KDC218" s="630"/>
      <c r="KDD218" s="630"/>
      <c r="KDE218" s="630"/>
      <c r="KDF218" s="630"/>
      <c r="KDG218" s="630"/>
      <c r="KDH218" s="630"/>
      <c r="KDI218" s="630"/>
      <c r="KDJ218" s="630"/>
      <c r="KDK218" s="630"/>
      <c r="KDL218" s="630"/>
      <c r="KDM218" s="630"/>
      <c r="KDN218" s="630"/>
      <c r="KDO218" s="630"/>
      <c r="KDP218" s="630"/>
      <c r="KDQ218" s="630"/>
      <c r="KDR218" s="630"/>
      <c r="KDS218" s="630"/>
      <c r="KDT218" s="630"/>
      <c r="KDU218" s="630"/>
      <c r="KDV218" s="630"/>
      <c r="KDW218" s="630"/>
      <c r="KDX218" s="630"/>
      <c r="KDY218" s="630"/>
      <c r="KDZ218" s="630"/>
      <c r="KEA218" s="630"/>
      <c r="KEB218" s="630"/>
      <c r="KEC218" s="630"/>
      <c r="KED218" s="630"/>
      <c r="KEE218" s="630"/>
      <c r="KEF218" s="630"/>
      <c r="KEG218" s="630"/>
      <c r="KEH218" s="630"/>
      <c r="KEI218" s="630"/>
      <c r="KEJ218" s="630"/>
      <c r="KEK218" s="630"/>
      <c r="KEL218" s="630"/>
      <c r="KEM218" s="630"/>
      <c r="KEN218" s="630"/>
      <c r="KEO218" s="630"/>
      <c r="KEP218" s="630"/>
      <c r="KEQ218" s="630"/>
      <c r="KER218" s="630"/>
      <c r="KES218" s="630"/>
      <c r="KET218" s="630"/>
      <c r="KEU218" s="630"/>
      <c r="KEV218" s="630"/>
      <c r="KEW218" s="630"/>
      <c r="KEX218" s="630"/>
      <c r="KEY218" s="630"/>
      <c r="KEZ218" s="630"/>
      <c r="KFA218" s="630"/>
      <c r="KFB218" s="630"/>
      <c r="KFC218" s="630"/>
      <c r="KFD218" s="630"/>
      <c r="KFE218" s="630"/>
      <c r="KFF218" s="630"/>
      <c r="KFG218" s="630"/>
      <c r="KFH218" s="630"/>
      <c r="KFI218" s="630"/>
      <c r="KFJ218" s="630"/>
      <c r="KFK218" s="630"/>
      <c r="KFL218" s="630"/>
      <c r="KFM218" s="630"/>
      <c r="KFN218" s="630"/>
      <c r="KFO218" s="630"/>
      <c r="KFP218" s="630"/>
      <c r="KFQ218" s="630"/>
      <c r="KFR218" s="630"/>
      <c r="KFS218" s="630"/>
      <c r="KFT218" s="630"/>
      <c r="KFU218" s="630"/>
      <c r="KFV218" s="630"/>
      <c r="KFW218" s="630"/>
      <c r="KFX218" s="630"/>
      <c r="KFY218" s="630"/>
      <c r="KFZ218" s="630"/>
      <c r="KGA218" s="630"/>
      <c r="KGB218" s="630"/>
      <c r="KGC218" s="630"/>
      <c r="KGD218" s="630"/>
      <c r="KGE218" s="630"/>
      <c r="KGF218" s="630"/>
      <c r="KGG218" s="630"/>
      <c r="KGH218" s="630"/>
      <c r="KGI218" s="630"/>
      <c r="KGJ218" s="630"/>
      <c r="KGK218" s="630"/>
      <c r="KGL218" s="630"/>
      <c r="KGM218" s="630"/>
      <c r="KGN218" s="630"/>
      <c r="KGO218" s="630"/>
      <c r="KGP218" s="630"/>
      <c r="KGQ218" s="630"/>
      <c r="KGR218" s="630"/>
      <c r="KGS218" s="630"/>
      <c r="KGT218" s="630"/>
      <c r="KGU218" s="630"/>
      <c r="KGV218" s="630"/>
      <c r="KGW218" s="630"/>
      <c r="KGX218" s="630"/>
      <c r="KGY218" s="630"/>
      <c r="KGZ218" s="630"/>
      <c r="KHA218" s="630"/>
      <c r="KHB218" s="630"/>
      <c r="KHC218" s="630"/>
      <c r="KHD218" s="630"/>
      <c r="KHE218" s="630"/>
      <c r="KHF218" s="630"/>
      <c r="KHG218" s="630"/>
      <c r="KHH218" s="630"/>
      <c r="KHI218" s="630"/>
      <c r="KHJ218" s="630"/>
      <c r="KHK218" s="630"/>
      <c r="KHL218" s="630"/>
      <c r="KHM218" s="630"/>
      <c r="KHN218" s="630"/>
      <c r="KHO218" s="630"/>
      <c r="KHP218" s="630"/>
      <c r="KHQ218" s="630"/>
      <c r="KHR218" s="630"/>
      <c r="KHS218" s="630"/>
      <c r="KHT218" s="630"/>
      <c r="KHU218" s="630"/>
      <c r="KHV218" s="630"/>
      <c r="KHW218" s="630"/>
      <c r="KHX218" s="630"/>
      <c r="KHY218" s="630"/>
      <c r="KHZ218" s="630"/>
      <c r="KIA218" s="630"/>
      <c r="KIB218" s="630"/>
      <c r="KIC218" s="630"/>
      <c r="KID218" s="630"/>
      <c r="KIE218" s="630"/>
      <c r="KIF218" s="630"/>
      <c r="KIG218" s="630"/>
      <c r="KIH218" s="630"/>
      <c r="KII218" s="630"/>
      <c r="KIJ218" s="630"/>
      <c r="KIK218" s="630"/>
      <c r="KIL218" s="630"/>
      <c r="KIM218" s="630"/>
      <c r="KIN218" s="630"/>
      <c r="KIO218" s="630"/>
      <c r="KIP218" s="630"/>
      <c r="KIQ218" s="630"/>
      <c r="KIR218" s="630"/>
      <c r="KIS218" s="630"/>
      <c r="KIT218" s="630"/>
      <c r="KIU218" s="630"/>
      <c r="KIV218" s="630"/>
      <c r="KIW218" s="630"/>
      <c r="KIX218" s="630"/>
      <c r="KIY218" s="630"/>
      <c r="KIZ218" s="630"/>
      <c r="KJA218" s="630"/>
      <c r="KJB218" s="630"/>
      <c r="KJC218" s="630"/>
      <c r="KJD218" s="630"/>
      <c r="KJE218" s="630"/>
      <c r="KJF218" s="630"/>
      <c r="KJG218" s="630"/>
      <c r="KJH218" s="630"/>
      <c r="KJI218" s="630"/>
      <c r="KJJ218" s="630"/>
      <c r="KJK218" s="630"/>
      <c r="KJL218" s="630"/>
      <c r="KJM218" s="630"/>
      <c r="KJN218" s="630"/>
      <c r="KJO218" s="630"/>
      <c r="KJP218" s="630"/>
      <c r="KJQ218" s="630"/>
      <c r="KJR218" s="630"/>
      <c r="KJS218" s="630"/>
      <c r="KJT218" s="630"/>
      <c r="KJU218" s="630"/>
      <c r="KJV218" s="630"/>
      <c r="KJW218" s="630"/>
      <c r="KJX218" s="630"/>
      <c r="KJY218" s="630"/>
      <c r="KJZ218" s="630"/>
      <c r="KKA218" s="630"/>
      <c r="KKB218" s="630"/>
      <c r="KKC218" s="630"/>
      <c r="KKD218" s="630"/>
      <c r="KKE218" s="630"/>
      <c r="KKF218" s="630"/>
      <c r="KKG218" s="630"/>
      <c r="KKH218" s="630"/>
      <c r="KKI218" s="630"/>
      <c r="KKJ218" s="630"/>
      <c r="KKK218" s="630"/>
      <c r="KKL218" s="630"/>
      <c r="KKM218" s="630"/>
      <c r="KKN218" s="630"/>
      <c r="KKO218" s="630"/>
      <c r="KKP218" s="630"/>
      <c r="KKQ218" s="630"/>
      <c r="KKR218" s="630"/>
      <c r="KKS218" s="630"/>
      <c r="KKT218" s="630"/>
      <c r="KKU218" s="630"/>
      <c r="KKV218" s="630"/>
      <c r="KKW218" s="630"/>
      <c r="KKX218" s="630"/>
      <c r="KKY218" s="630"/>
      <c r="KKZ218" s="630"/>
      <c r="KLA218" s="630"/>
      <c r="KLB218" s="630"/>
      <c r="KLC218" s="630"/>
      <c r="KLD218" s="630"/>
      <c r="KLE218" s="630"/>
      <c r="KLF218" s="630"/>
      <c r="KLG218" s="630"/>
      <c r="KLH218" s="630"/>
      <c r="KLI218" s="630"/>
      <c r="KLJ218" s="630"/>
      <c r="KLK218" s="630"/>
      <c r="KLL218" s="630"/>
      <c r="KLM218" s="630"/>
      <c r="KLN218" s="630"/>
      <c r="KLO218" s="630"/>
      <c r="KLP218" s="630"/>
      <c r="KLQ218" s="630"/>
      <c r="KLR218" s="630"/>
      <c r="KLS218" s="630"/>
      <c r="KLT218" s="630"/>
      <c r="KLU218" s="630"/>
      <c r="KLV218" s="630"/>
      <c r="KLW218" s="630"/>
      <c r="KLX218" s="630"/>
      <c r="KLY218" s="630"/>
      <c r="KLZ218" s="630"/>
      <c r="KMA218" s="630"/>
      <c r="KMB218" s="630"/>
      <c r="KMC218" s="630"/>
      <c r="KMD218" s="630"/>
      <c r="KME218" s="630"/>
      <c r="KMF218" s="630"/>
      <c r="KMG218" s="630"/>
      <c r="KMH218" s="630"/>
      <c r="KMI218" s="630"/>
      <c r="KMJ218" s="630"/>
      <c r="KMK218" s="630"/>
      <c r="KML218" s="630"/>
      <c r="KMM218" s="630"/>
      <c r="KMN218" s="630"/>
      <c r="KMO218" s="630"/>
      <c r="KMP218" s="630"/>
      <c r="KMQ218" s="630"/>
      <c r="KMR218" s="630"/>
      <c r="KMS218" s="630"/>
      <c r="KMT218" s="630"/>
      <c r="KMU218" s="630"/>
      <c r="KMV218" s="630"/>
      <c r="KMW218" s="630"/>
      <c r="KMX218" s="630"/>
      <c r="KMY218" s="630"/>
      <c r="KMZ218" s="630"/>
      <c r="KNA218" s="630"/>
      <c r="KNB218" s="630"/>
      <c r="KNC218" s="630"/>
      <c r="KND218" s="630"/>
      <c r="KNE218" s="630"/>
      <c r="KNF218" s="630"/>
      <c r="KNG218" s="630"/>
      <c r="KNH218" s="630"/>
      <c r="KNI218" s="630"/>
      <c r="KNJ218" s="630"/>
      <c r="KNK218" s="630"/>
      <c r="KNL218" s="630"/>
      <c r="KNM218" s="630"/>
      <c r="KNN218" s="630"/>
      <c r="KNO218" s="630"/>
      <c r="KNP218" s="630"/>
      <c r="KNQ218" s="630"/>
      <c r="KNR218" s="630"/>
      <c r="KNS218" s="630"/>
      <c r="KNT218" s="630"/>
      <c r="KNU218" s="630"/>
      <c r="KNV218" s="630"/>
      <c r="KNW218" s="630"/>
      <c r="KNX218" s="630"/>
      <c r="KNY218" s="630"/>
      <c r="KNZ218" s="630"/>
      <c r="KOA218" s="630"/>
      <c r="KOB218" s="630"/>
      <c r="KOC218" s="630"/>
      <c r="KOD218" s="630"/>
      <c r="KOE218" s="630"/>
      <c r="KOF218" s="630"/>
      <c r="KOG218" s="630"/>
      <c r="KOH218" s="630"/>
      <c r="KOI218" s="630"/>
      <c r="KOJ218" s="630"/>
      <c r="KOK218" s="630"/>
      <c r="KOL218" s="630"/>
      <c r="KOM218" s="630"/>
      <c r="KON218" s="630"/>
      <c r="KOO218" s="630"/>
      <c r="KOP218" s="630"/>
      <c r="KOQ218" s="630"/>
      <c r="KOR218" s="630"/>
      <c r="KOS218" s="630"/>
      <c r="KOT218" s="630"/>
      <c r="KOU218" s="630"/>
      <c r="KOV218" s="630"/>
      <c r="KOW218" s="630"/>
      <c r="KOX218" s="630"/>
      <c r="KOY218" s="630"/>
      <c r="KOZ218" s="630"/>
      <c r="KPA218" s="630"/>
      <c r="KPB218" s="630"/>
      <c r="KPC218" s="630"/>
      <c r="KPD218" s="630"/>
      <c r="KPE218" s="630"/>
      <c r="KPF218" s="630"/>
      <c r="KPG218" s="630"/>
      <c r="KPH218" s="630"/>
      <c r="KPI218" s="630"/>
      <c r="KPJ218" s="630"/>
      <c r="KPK218" s="630"/>
      <c r="KPL218" s="630"/>
      <c r="KPM218" s="630"/>
      <c r="KPN218" s="630"/>
      <c r="KPO218" s="630"/>
      <c r="KPP218" s="630"/>
      <c r="KPQ218" s="630"/>
      <c r="KPR218" s="630"/>
      <c r="KPS218" s="630"/>
      <c r="KPT218" s="630"/>
      <c r="KPU218" s="630"/>
      <c r="KPV218" s="630"/>
      <c r="KPW218" s="630"/>
      <c r="KPX218" s="630"/>
      <c r="KPY218" s="630"/>
      <c r="KPZ218" s="630"/>
      <c r="KQA218" s="630"/>
      <c r="KQB218" s="630"/>
      <c r="KQC218" s="630"/>
      <c r="KQD218" s="630"/>
      <c r="KQE218" s="630"/>
      <c r="KQF218" s="630"/>
      <c r="KQG218" s="630"/>
      <c r="KQH218" s="630"/>
      <c r="KQI218" s="630"/>
      <c r="KQJ218" s="630"/>
      <c r="KQK218" s="630"/>
      <c r="KQL218" s="630"/>
      <c r="KQM218" s="630"/>
      <c r="KQN218" s="630"/>
      <c r="KQO218" s="630"/>
      <c r="KQP218" s="630"/>
      <c r="KQQ218" s="630"/>
      <c r="KQR218" s="630"/>
      <c r="KQS218" s="630"/>
      <c r="KQT218" s="630"/>
      <c r="KQU218" s="630"/>
      <c r="KQV218" s="630"/>
      <c r="KQW218" s="630"/>
      <c r="KQX218" s="630"/>
      <c r="KQY218" s="630"/>
      <c r="KQZ218" s="630"/>
      <c r="KRA218" s="630"/>
      <c r="KRB218" s="630"/>
      <c r="KRC218" s="630"/>
      <c r="KRD218" s="630"/>
      <c r="KRE218" s="630"/>
      <c r="KRF218" s="630"/>
      <c r="KRG218" s="630"/>
      <c r="KRH218" s="630"/>
      <c r="KRI218" s="630"/>
      <c r="KRJ218" s="630"/>
      <c r="KRK218" s="630"/>
      <c r="KRL218" s="630"/>
      <c r="KRM218" s="630"/>
      <c r="KRN218" s="630"/>
      <c r="KRO218" s="630"/>
      <c r="KRP218" s="630"/>
      <c r="KRQ218" s="630"/>
      <c r="KRR218" s="630"/>
      <c r="KRS218" s="630"/>
      <c r="KRT218" s="630"/>
      <c r="KRU218" s="630"/>
      <c r="KRV218" s="630"/>
      <c r="KRW218" s="630"/>
      <c r="KRX218" s="630"/>
      <c r="KRY218" s="630"/>
      <c r="KRZ218" s="630"/>
      <c r="KSA218" s="630"/>
      <c r="KSB218" s="630"/>
      <c r="KSC218" s="630"/>
      <c r="KSD218" s="630"/>
      <c r="KSE218" s="630"/>
      <c r="KSF218" s="630"/>
      <c r="KSG218" s="630"/>
      <c r="KSH218" s="630"/>
      <c r="KSI218" s="630"/>
      <c r="KSJ218" s="630"/>
      <c r="KSK218" s="630"/>
      <c r="KSL218" s="630"/>
      <c r="KSM218" s="630"/>
      <c r="KSN218" s="630"/>
      <c r="KSO218" s="630"/>
      <c r="KSP218" s="630"/>
      <c r="KSQ218" s="630"/>
      <c r="KSR218" s="630"/>
      <c r="KSS218" s="630"/>
      <c r="KST218" s="630"/>
      <c r="KSU218" s="630"/>
      <c r="KSV218" s="630"/>
      <c r="KSW218" s="630"/>
      <c r="KSX218" s="630"/>
      <c r="KSY218" s="630"/>
      <c r="KSZ218" s="630"/>
      <c r="KTA218" s="630"/>
      <c r="KTB218" s="630"/>
      <c r="KTC218" s="630"/>
      <c r="KTD218" s="630"/>
      <c r="KTE218" s="630"/>
      <c r="KTF218" s="630"/>
      <c r="KTG218" s="630"/>
      <c r="KTH218" s="630"/>
      <c r="KTI218" s="630"/>
      <c r="KTJ218" s="630"/>
      <c r="KTK218" s="630"/>
      <c r="KTL218" s="630"/>
      <c r="KTM218" s="630"/>
      <c r="KTN218" s="630"/>
      <c r="KTO218" s="630"/>
      <c r="KTP218" s="630"/>
      <c r="KTQ218" s="630"/>
      <c r="KTR218" s="630"/>
      <c r="KTS218" s="630"/>
      <c r="KTT218" s="630"/>
      <c r="KTU218" s="630"/>
      <c r="KTV218" s="630"/>
      <c r="KTW218" s="630"/>
      <c r="KTX218" s="630"/>
      <c r="KTY218" s="630"/>
      <c r="KTZ218" s="630"/>
      <c r="KUA218" s="630"/>
      <c r="KUB218" s="630"/>
      <c r="KUC218" s="630"/>
      <c r="KUD218" s="630"/>
      <c r="KUE218" s="630"/>
      <c r="KUF218" s="630"/>
      <c r="KUG218" s="630"/>
      <c r="KUH218" s="630"/>
      <c r="KUI218" s="630"/>
      <c r="KUJ218" s="630"/>
      <c r="KUK218" s="630"/>
      <c r="KUL218" s="630"/>
      <c r="KUM218" s="630"/>
      <c r="KUN218" s="630"/>
      <c r="KUO218" s="630"/>
      <c r="KUP218" s="630"/>
      <c r="KUQ218" s="630"/>
      <c r="KUR218" s="630"/>
      <c r="KUS218" s="630"/>
      <c r="KUT218" s="630"/>
      <c r="KUU218" s="630"/>
      <c r="KUV218" s="630"/>
      <c r="KUW218" s="630"/>
      <c r="KUX218" s="630"/>
      <c r="KUY218" s="630"/>
      <c r="KUZ218" s="630"/>
      <c r="KVA218" s="630"/>
      <c r="KVB218" s="630"/>
      <c r="KVC218" s="630"/>
      <c r="KVD218" s="630"/>
      <c r="KVE218" s="630"/>
      <c r="KVF218" s="630"/>
      <c r="KVG218" s="630"/>
      <c r="KVH218" s="630"/>
      <c r="KVI218" s="630"/>
      <c r="KVJ218" s="630"/>
      <c r="KVK218" s="630"/>
      <c r="KVL218" s="630"/>
      <c r="KVM218" s="630"/>
      <c r="KVN218" s="630"/>
      <c r="KVO218" s="630"/>
      <c r="KVP218" s="630"/>
      <c r="KVQ218" s="630"/>
      <c r="KVR218" s="630"/>
      <c r="KVS218" s="630"/>
      <c r="KVT218" s="630"/>
      <c r="KVU218" s="630"/>
      <c r="KVV218" s="630"/>
      <c r="KVW218" s="630"/>
      <c r="KVX218" s="630"/>
      <c r="KVY218" s="630"/>
      <c r="KVZ218" s="630"/>
      <c r="KWA218" s="630"/>
      <c r="KWB218" s="630"/>
      <c r="KWC218" s="630"/>
      <c r="KWD218" s="630"/>
      <c r="KWE218" s="630"/>
      <c r="KWF218" s="630"/>
      <c r="KWG218" s="630"/>
      <c r="KWH218" s="630"/>
      <c r="KWI218" s="630"/>
      <c r="KWJ218" s="630"/>
      <c r="KWK218" s="630"/>
      <c r="KWL218" s="630"/>
      <c r="KWM218" s="630"/>
      <c r="KWN218" s="630"/>
      <c r="KWO218" s="630"/>
      <c r="KWP218" s="630"/>
      <c r="KWQ218" s="630"/>
      <c r="KWR218" s="630"/>
      <c r="KWS218" s="630"/>
      <c r="KWT218" s="630"/>
      <c r="KWU218" s="630"/>
      <c r="KWV218" s="630"/>
      <c r="KWW218" s="630"/>
      <c r="KWX218" s="630"/>
      <c r="KWY218" s="630"/>
      <c r="KWZ218" s="630"/>
      <c r="KXA218" s="630"/>
      <c r="KXB218" s="630"/>
      <c r="KXC218" s="630"/>
      <c r="KXD218" s="630"/>
      <c r="KXE218" s="630"/>
      <c r="KXF218" s="630"/>
      <c r="KXG218" s="630"/>
      <c r="KXH218" s="630"/>
      <c r="KXI218" s="630"/>
      <c r="KXJ218" s="630"/>
      <c r="KXK218" s="630"/>
      <c r="KXL218" s="630"/>
      <c r="KXM218" s="630"/>
      <c r="KXN218" s="630"/>
      <c r="KXO218" s="630"/>
      <c r="KXP218" s="630"/>
      <c r="KXQ218" s="630"/>
      <c r="KXR218" s="630"/>
      <c r="KXS218" s="630"/>
      <c r="KXT218" s="630"/>
      <c r="KXU218" s="630"/>
      <c r="KXV218" s="630"/>
      <c r="KXW218" s="630"/>
      <c r="KXX218" s="630"/>
      <c r="KXY218" s="630"/>
      <c r="KXZ218" s="630"/>
      <c r="KYA218" s="630"/>
      <c r="KYB218" s="630"/>
      <c r="KYC218" s="630"/>
      <c r="KYD218" s="630"/>
      <c r="KYE218" s="630"/>
      <c r="KYF218" s="630"/>
      <c r="KYG218" s="630"/>
      <c r="KYH218" s="630"/>
      <c r="KYI218" s="630"/>
      <c r="KYJ218" s="630"/>
      <c r="KYK218" s="630"/>
      <c r="KYL218" s="630"/>
      <c r="KYM218" s="630"/>
      <c r="KYN218" s="630"/>
      <c r="KYO218" s="630"/>
      <c r="KYP218" s="630"/>
      <c r="KYQ218" s="630"/>
      <c r="KYR218" s="630"/>
      <c r="KYS218" s="630"/>
      <c r="KYT218" s="630"/>
      <c r="KYU218" s="630"/>
      <c r="KYV218" s="630"/>
      <c r="KYW218" s="630"/>
      <c r="KYX218" s="630"/>
      <c r="KYY218" s="630"/>
      <c r="KYZ218" s="630"/>
      <c r="KZA218" s="630"/>
      <c r="KZB218" s="630"/>
      <c r="KZC218" s="630"/>
      <c r="KZD218" s="630"/>
      <c r="KZE218" s="630"/>
      <c r="KZF218" s="630"/>
      <c r="KZG218" s="630"/>
      <c r="KZH218" s="630"/>
      <c r="KZI218" s="630"/>
      <c r="KZJ218" s="630"/>
      <c r="KZK218" s="630"/>
      <c r="KZL218" s="630"/>
      <c r="KZM218" s="630"/>
      <c r="KZN218" s="630"/>
      <c r="KZO218" s="630"/>
      <c r="KZP218" s="630"/>
      <c r="KZQ218" s="630"/>
      <c r="KZR218" s="630"/>
      <c r="KZS218" s="630"/>
      <c r="KZT218" s="630"/>
      <c r="KZU218" s="630"/>
      <c r="KZV218" s="630"/>
      <c r="KZW218" s="630"/>
      <c r="KZX218" s="630"/>
      <c r="KZY218" s="630"/>
      <c r="KZZ218" s="630"/>
      <c r="LAA218" s="630"/>
      <c r="LAB218" s="630"/>
      <c r="LAC218" s="630"/>
      <c r="LAD218" s="630"/>
      <c r="LAE218" s="630"/>
      <c r="LAF218" s="630"/>
      <c r="LAG218" s="630"/>
      <c r="LAH218" s="630"/>
      <c r="LAI218" s="630"/>
      <c r="LAJ218" s="630"/>
      <c r="LAK218" s="630"/>
      <c r="LAL218" s="630"/>
      <c r="LAM218" s="630"/>
      <c r="LAN218" s="630"/>
      <c r="LAO218" s="630"/>
      <c r="LAP218" s="630"/>
      <c r="LAQ218" s="630"/>
      <c r="LAR218" s="630"/>
      <c r="LAS218" s="630"/>
      <c r="LAT218" s="630"/>
      <c r="LAU218" s="630"/>
      <c r="LAV218" s="630"/>
      <c r="LAW218" s="630"/>
      <c r="LAX218" s="630"/>
      <c r="LAY218" s="630"/>
      <c r="LAZ218" s="630"/>
      <c r="LBA218" s="630"/>
      <c r="LBB218" s="630"/>
      <c r="LBC218" s="630"/>
      <c r="LBD218" s="630"/>
      <c r="LBE218" s="630"/>
      <c r="LBF218" s="630"/>
      <c r="LBG218" s="630"/>
      <c r="LBH218" s="630"/>
      <c r="LBI218" s="630"/>
      <c r="LBJ218" s="630"/>
      <c r="LBK218" s="630"/>
      <c r="LBL218" s="630"/>
      <c r="LBM218" s="630"/>
      <c r="LBN218" s="630"/>
      <c r="LBO218" s="630"/>
      <c r="LBP218" s="630"/>
      <c r="LBQ218" s="630"/>
      <c r="LBR218" s="630"/>
      <c r="LBS218" s="630"/>
      <c r="LBT218" s="630"/>
      <c r="LBU218" s="630"/>
      <c r="LBV218" s="630"/>
      <c r="LBW218" s="630"/>
      <c r="LBX218" s="630"/>
      <c r="LBY218" s="630"/>
      <c r="LBZ218" s="630"/>
      <c r="LCA218" s="630"/>
      <c r="LCB218" s="630"/>
      <c r="LCC218" s="630"/>
      <c r="LCD218" s="630"/>
      <c r="LCE218" s="630"/>
      <c r="LCF218" s="630"/>
      <c r="LCG218" s="630"/>
      <c r="LCH218" s="630"/>
      <c r="LCI218" s="630"/>
      <c r="LCJ218" s="630"/>
      <c r="LCK218" s="630"/>
      <c r="LCL218" s="630"/>
      <c r="LCM218" s="630"/>
      <c r="LCN218" s="630"/>
      <c r="LCO218" s="630"/>
      <c r="LCP218" s="630"/>
      <c r="LCQ218" s="630"/>
      <c r="LCR218" s="630"/>
      <c r="LCS218" s="630"/>
      <c r="LCT218" s="630"/>
      <c r="LCU218" s="630"/>
      <c r="LCV218" s="630"/>
      <c r="LCW218" s="630"/>
      <c r="LCX218" s="630"/>
      <c r="LCY218" s="630"/>
      <c r="LCZ218" s="630"/>
      <c r="LDA218" s="630"/>
      <c r="LDB218" s="630"/>
      <c r="LDC218" s="630"/>
      <c r="LDD218" s="630"/>
      <c r="LDE218" s="630"/>
      <c r="LDF218" s="630"/>
      <c r="LDG218" s="630"/>
      <c r="LDH218" s="630"/>
      <c r="LDI218" s="630"/>
      <c r="LDJ218" s="630"/>
      <c r="LDK218" s="630"/>
      <c r="LDL218" s="630"/>
      <c r="LDM218" s="630"/>
      <c r="LDN218" s="630"/>
      <c r="LDO218" s="630"/>
      <c r="LDP218" s="630"/>
      <c r="LDQ218" s="630"/>
      <c r="LDR218" s="630"/>
      <c r="LDS218" s="630"/>
      <c r="LDT218" s="630"/>
      <c r="LDU218" s="630"/>
      <c r="LDV218" s="630"/>
      <c r="LDW218" s="630"/>
      <c r="LDX218" s="630"/>
      <c r="LDY218" s="630"/>
      <c r="LDZ218" s="630"/>
      <c r="LEA218" s="630"/>
      <c r="LEB218" s="630"/>
      <c r="LEC218" s="630"/>
      <c r="LED218" s="630"/>
      <c r="LEE218" s="630"/>
      <c r="LEF218" s="630"/>
      <c r="LEG218" s="630"/>
      <c r="LEH218" s="630"/>
      <c r="LEI218" s="630"/>
      <c r="LEJ218" s="630"/>
      <c r="LEK218" s="630"/>
      <c r="LEL218" s="630"/>
      <c r="LEM218" s="630"/>
      <c r="LEN218" s="630"/>
      <c r="LEO218" s="630"/>
      <c r="LEP218" s="630"/>
      <c r="LEQ218" s="630"/>
      <c r="LER218" s="630"/>
      <c r="LES218" s="630"/>
      <c r="LET218" s="630"/>
      <c r="LEU218" s="630"/>
      <c r="LEV218" s="630"/>
      <c r="LEW218" s="630"/>
      <c r="LEX218" s="630"/>
      <c r="LEY218" s="630"/>
      <c r="LEZ218" s="630"/>
      <c r="LFA218" s="630"/>
      <c r="LFB218" s="630"/>
      <c r="LFC218" s="630"/>
      <c r="LFD218" s="630"/>
      <c r="LFE218" s="630"/>
      <c r="LFF218" s="630"/>
      <c r="LFG218" s="630"/>
      <c r="LFH218" s="630"/>
      <c r="LFI218" s="630"/>
      <c r="LFJ218" s="630"/>
      <c r="LFK218" s="630"/>
      <c r="LFL218" s="630"/>
      <c r="LFM218" s="630"/>
      <c r="LFN218" s="630"/>
      <c r="LFO218" s="630"/>
      <c r="LFP218" s="630"/>
      <c r="LFQ218" s="630"/>
      <c r="LFR218" s="630"/>
      <c r="LFS218" s="630"/>
      <c r="LFT218" s="630"/>
      <c r="LFU218" s="630"/>
      <c r="LFV218" s="630"/>
      <c r="LFW218" s="630"/>
      <c r="LFX218" s="630"/>
      <c r="LFY218" s="630"/>
      <c r="LFZ218" s="630"/>
      <c r="LGA218" s="630"/>
      <c r="LGB218" s="630"/>
      <c r="LGC218" s="630"/>
      <c r="LGD218" s="630"/>
      <c r="LGE218" s="630"/>
      <c r="LGF218" s="630"/>
      <c r="LGG218" s="630"/>
      <c r="LGH218" s="630"/>
      <c r="LGI218" s="630"/>
      <c r="LGJ218" s="630"/>
      <c r="LGK218" s="630"/>
      <c r="LGL218" s="630"/>
      <c r="LGM218" s="630"/>
      <c r="LGN218" s="630"/>
      <c r="LGO218" s="630"/>
      <c r="LGP218" s="630"/>
      <c r="LGQ218" s="630"/>
      <c r="LGR218" s="630"/>
      <c r="LGS218" s="630"/>
      <c r="LGT218" s="630"/>
      <c r="LGU218" s="630"/>
      <c r="LGV218" s="630"/>
      <c r="LGW218" s="630"/>
      <c r="LGX218" s="630"/>
      <c r="LGY218" s="630"/>
      <c r="LGZ218" s="630"/>
      <c r="LHA218" s="630"/>
      <c r="LHB218" s="630"/>
      <c r="LHC218" s="630"/>
      <c r="LHD218" s="630"/>
      <c r="LHE218" s="630"/>
      <c r="LHF218" s="630"/>
      <c r="LHG218" s="630"/>
      <c r="LHH218" s="630"/>
      <c r="LHI218" s="630"/>
      <c r="LHJ218" s="630"/>
      <c r="LHK218" s="630"/>
      <c r="LHL218" s="630"/>
      <c r="LHM218" s="630"/>
      <c r="LHN218" s="630"/>
      <c r="LHO218" s="630"/>
      <c r="LHP218" s="630"/>
      <c r="LHQ218" s="630"/>
      <c r="LHR218" s="630"/>
      <c r="LHS218" s="630"/>
      <c r="LHT218" s="630"/>
      <c r="LHU218" s="630"/>
      <c r="LHV218" s="630"/>
      <c r="LHW218" s="630"/>
      <c r="LHX218" s="630"/>
      <c r="LHY218" s="630"/>
      <c r="LHZ218" s="630"/>
      <c r="LIA218" s="630"/>
      <c r="LIB218" s="630"/>
      <c r="LIC218" s="630"/>
      <c r="LID218" s="630"/>
      <c r="LIE218" s="630"/>
      <c r="LIF218" s="630"/>
      <c r="LIG218" s="630"/>
      <c r="LIH218" s="630"/>
      <c r="LII218" s="630"/>
      <c r="LIJ218" s="630"/>
      <c r="LIK218" s="630"/>
      <c r="LIL218" s="630"/>
      <c r="LIM218" s="630"/>
      <c r="LIN218" s="630"/>
      <c r="LIO218" s="630"/>
      <c r="LIP218" s="630"/>
      <c r="LIQ218" s="630"/>
      <c r="LIR218" s="630"/>
      <c r="LIS218" s="630"/>
      <c r="LIT218" s="630"/>
      <c r="LIU218" s="630"/>
      <c r="LIV218" s="630"/>
      <c r="LIW218" s="630"/>
      <c r="LIX218" s="630"/>
      <c r="LIY218" s="630"/>
      <c r="LIZ218" s="630"/>
      <c r="LJA218" s="630"/>
      <c r="LJB218" s="630"/>
      <c r="LJC218" s="630"/>
      <c r="LJD218" s="630"/>
      <c r="LJE218" s="630"/>
      <c r="LJF218" s="630"/>
      <c r="LJG218" s="630"/>
      <c r="LJH218" s="630"/>
      <c r="LJI218" s="630"/>
      <c r="LJJ218" s="630"/>
      <c r="LJK218" s="630"/>
      <c r="LJL218" s="630"/>
      <c r="LJM218" s="630"/>
      <c r="LJN218" s="630"/>
      <c r="LJO218" s="630"/>
      <c r="LJP218" s="630"/>
      <c r="LJQ218" s="630"/>
      <c r="LJR218" s="630"/>
      <c r="LJS218" s="630"/>
      <c r="LJT218" s="630"/>
      <c r="LJU218" s="630"/>
      <c r="LJV218" s="630"/>
      <c r="LJW218" s="630"/>
      <c r="LJX218" s="630"/>
      <c r="LJY218" s="630"/>
      <c r="LJZ218" s="630"/>
      <c r="LKA218" s="630"/>
      <c r="LKB218" s="630"/>
      <c r="LKC218" s="630"/>
      <c r="LKD218" s="630"/>
      <c r="LKE218" s="630"/>
      <c r="LKF218" s="630"/>
      <c r="LKG218" s="630"/>
      <c r="LKH218" s="630"/>
      <c r="LKI218" s="630"/>
      <c r="LKJ218" s="630"/>
      <c r="LKK218" s="630"/>
      <c r="LKL218" s="630"/>
      <c r="LKM218" s="630"/>
      <c r="LKN218" s="630"/>
      <c r="LKO218" s="630"/>
      <c r="LKP218" s="630"/>
      <c r="LKQ218" s="630"/>
      <c r="LKR218" s="630"/>
      <c r="LKS218" s="630"/>
      <c r="LKT218" s="630"/>
      <c r="LKU218" s="630"/>
      <c r="LKV218" s="630"/>
      <c r="LKW218" s="630"/>
      <c r="LKX218" s="630"/>
      <c r="LKY218" s="630"/>
      <c r="LKZ218" s="630"/>
      <c r="LLA218" s="630"/>
      <c r="LLB218" s="630"/>
      <c r="LLC218" s="630"/>
      <c r="LLD218" s="630"/>
      <c r="LLE218" s="630"/>
      <c r="LLF218" s="630"/>
      <c r="LLG218" s="630"/>
      <c r="LLH218" s="630"/>
      <c r="LLI218" s="630"/>
      <c r="LLJ218" s="630"/>
      <c r="LLK218" s="630"/>
      <c r="LLL218" s="630"/>
      <c r="LLM218" s="630"/>
      <c r="LLN218" s="630"/>
      <c r="LLO218" s="630"/>
      <c r="LLP218" s="630"/>
      <c r="LLQ218" s="630"/>
      <c r="LLR218" s="630"/>
      <c r="LLS218" s="630"/>
      <c r="LLT218" s="630"/>
      <c r="LLU218" s="630"/>
      <c r="LLV218" s="630"/>
      <c r="LLW218" s="630"/>
      <c r="LLX218" s="630"/>
      <c r="LLY218" s="630"/>
      <c r="LLZ218" s="630"/>
      <c r="LMA218" s="630"/>
      <c r="LMB218" s="630"/>
      <c r="LMC218" s="630"/>
      <c r="LMD218" s="630"/>
      <c r="LME218" s="630"/>
      <c r="LMF218" s="630"/>
      <c r="LMG218" s="630"/>
      <c r="LMH218" s="630"/>
      <c r="LMI218" s="630"/>
      <c r="LMJ218" s="630"/>
      <c r="LMK218" s="630"/>
      <c r="LML218" s="630"/>
      <c r="LMM218" s="630"/>
      <c r="LMN218" s="630"/>
      <c r="LMO218" s="630"/>
      <c r="LMP218" s="630"/>
      <c r="LMQ218" s="630"/>
      <c r="LMR218" s="630"/>
      <c r="LMS218" s="630"/>
      <c r="LMT218" s="630"/>
      <c r="LMU218" s="630"/>
      <c r="LMV218" s="630"/>
      <c r="LMW218" s="630"/>
      <c r="LMX218" s="630"/>
      <c r="LMY218" s="630"/>
      <c r="LMZ218" s="630"/>
      <c r="LNA218" s="630"/>
      <c r="LNB218" s="630"/>
      <c r="LNC218" s="630"/>
      <c r="LND218" s="630"/>
      <c r="LNE218" s="630"/>
      <c r="LNF218" s="630"/>
      <c r="LNG218" s="630"/>
      <c r="LNH218" s="630"/>
      <c r="LNI218" s="630"/>
      <c r="LNJ218" s="630"/>
      <c r="LNK218" s="630"/>
      <c r="LNL218" s="630"/>
      <c r="LNM218" s="630"/>
      <c r="LNN218" s="630"/>
      <c r="LNO218" s="630"/>
      <c r="LNP218" s="630"/>
      <c r="LNQ218" s="630"/>
      <c r="LNR218" s="630"/>
      <c r="LNS218" s="630"/>
      <c r="LNT218" s="630"/>
      <c r="LNU218" s="630"/>
      <c r="LNV218" s="630"/>
      <c r="LNW218" s="630"/>
      <c r="LNX218" s="630"/>
      <c r="LNY218" s="630"/>
      <c r="LNZ218" s="630"/>
      <c r="LOA218" s="630"/>
      <c r="LOB218" s="630"/>
      <c r="LOC218" s="630"/>
      <c r="LOD218" s="630"/>
      <c r="LOE218" s="630"/>
      <c r="LOF218" s="630"/>
      <c r="LOG218" s="630"/>
      <c r="LOH218" s="630"/>
      <c r="LOI218" s="630"/>
      <c r="LOJ218" s="630"/>
      <c r="LOK218" s="630"/>
      <c r="LOL218" s="630"/>
      <c r="LOM218" s="630"/>
      <c r="LON218" s="630"/>
      <c r="LOO218" s="630"/>
      <c r="LOP218" s="630"/>
      <c r="LOQ218" s="630"/>
      <c r="LOR218" s="630"/>
      <c r="LOS218" s="630"/>
      <c r="LOT218" s="630"/>
      <c r="LOU218" s="630"/>
      <c r="LOV218" s="630"/>
      <c r="LOW218" s="630"/>
      <c r="LOX218" s="630"/>
      <c r="LOY218" s="630"/>
      <c r="LOZ218" s="630"/>
      <c r="LPA218" s="630"/>
      <c r="LPB218" s="630"/>
      <c r="LPC218" s="630"/>
      <c r="LPD218" s="630"/>
      <c r="LPE218" s="630"/>
      <c r="LPF218" s="630"/>
      <c r="LPG218" s="630"/>
      <c r="LPH218" s="630"/>
      <c r="LPI218" s="630"/>
      <c r="LPJ218" s="630"/>
      <c r="LPK218" s="630"/>
      <c r="LPL218" s="630"/>
      <c r="LPM218" s="630"/>
      <c r="LPN218" s="630"/>
      <c r="LPO218" s="630"/>
      <c r="LPP218" s="630"/>
      <c r="LPQ218" s="630"/>
      <c r="LPR218" s="630"/>
      <c r="LPS218" s="630"/>
      <c r="LPT218" s="630"/>
      <c r="LPU218" s="630"/>
      <c r="LPV218" s="630"/>
      <c r="LPW218" s="630"/>
      <c r="LPX218" s="630"/>
      <c r="LPY218" s="630"/>
      <c r="LPZ218" s="630"/>
      <c r="LQA218" s="630"/>
      <c r="LQB218" s="630"/>
      <c r="LQC218" s="630"/>
      <c r="LQD218" s="630"/>
      <c r="LQE218" s="630"/>
      <c r="LQF218" s="630"/>
      <c r="LQG218" s="630"/>
      <c r="LQH218" s="630"/>
      <c r="LQI218" s="630"/>
      <c r="LQJ218" s="630"/>
      <c r="LQK218" s="630"/>
      <c r="LQL218" s="630"/>
      <c r="LQM218" s="630"/>
      <c r="LQN218" s="630"/>
      <c r="LQO218" s="630"/>
      <c r="LQP218" s="630"/>
      <c r="LQQ218" s="630"/>
      <c r="LQR218" s="630"/>
      <c r="LQS218" s="630"/>
      <c r="LQT218" s="630"/>
      <c r="LQU218" s="630"/>
      <c r="LQV218" s="630"/>
      <c r="LQW218" s="630"/>
      <c r="LQX218" s="630"/>
      <c r="LQY218" s="630"/>
      <c r="LQZ218" s="630"/>
      <c r="LRA218" s="630"/>
      <c r="LRB218" s="630"/>
      <c r="LRC218" s="630"/>
      <c r="LRD218" s="630"/>
      <c r="LRE218" s="630"/>
      <c r="LRF218" s="630"/>
      <c r="LRG218" s="630"/>
      <c r="LRH218" s="630"/>
      <c r="LRI218" s="630"/>
      <c r="LRJ218" s="630"/>
      <c r="LRK218" s="630"/>
      <c r="LRL218" s="630"/>
      <c r="LRM218" s="630"/>
      <c r="LRN218" s="630"/>
      <c r="LRO218" s="630"/>
      <c r="LRP218" s="630"/>
      <c r="LRQ218" s="630"/>
      <c r="LRR218" s="630"/>
      <c r="LRS218" s="630"/>
      <c r="LRT218" s="630"/>
      <c r="LRU218" s="630"/>
      <c r="LRV218" s="630"/>
      <c r="LRW218" s="630"/>
      <c r="LRX218" s="630"/>
      <c r="LRY218" s="630"/>
      <c r="LRZ218" s="630"/>
      <c r="LSA218" s="630"/>
      <c r="LSB218" s="630"/>
      <c r="LSC218" s="630"/>
      <c r="LSD218" s="630"/>
      <c r="LSE218" s="630"/>
      <c r="LSF218" s="630"/>
      <c r="LSG218" s="630"/>
      <c r="LSH218" s="630"/>
      <c r="LSI218" s="630"/>
      <c r="LSJ218" s="630"/>
      <c r="LSK218" s="630"/>
      <c r="LSL218" s="630"/>
      <c r="LSM218" s="630"/>
      <c r="LSN218" s="630"/>
      <c r="LSO218" s="630"/>
      <c r="LSP218" s="630"/>
      <c r="LSQ218" s="630"/>
      <c r="LSR218" s="630"/>
      <c r="LSS218" s="630"/>
      <c r="LST218" s="630"/>
      <c r="LSU218" s="630"/>
      <c r="LSV218" s="630"/>
      <c r="LSW218" s="630"/>
      <c r="LSX218" s="630"/>
      <c r="LSY218" s="630"/>
      <c r="LSZ218" s="630"/>
      <c r="LTA218" s="630"/>
      <c r="LTB218" s="630"/>
      <c r="LTC218" s="630"/>
      <c r="LTD218" s="630"/>
      <c r="LTE218" s="630"/>
      <c r="LTF218" s="630"/>
      <c r="LTG218" s="630"/>
      <c r="LTH218" s="630"/>
      <c r="LTI218" s="630"/>
      <c r="LTJ218" s="630"/>
      <c r="LTK218" s="630"/>
      <c r="LTL218" s="630"/>
      <c r="LTM218" s="630"/>
      <c r="LTN218" s="630"/>
      <c r="LTO218" s="630"/>
      <c r="LTP218" s="630"/>
      <c r="LTQ218" s="630"/>
      <c r="LTR218" s="630"/>
      <c r="LTS218" s="630"/>
      <c r="LTT218" s="630"/>
      <c r="LTU218" s="630"/>
      <c r="LTV218" s="630"/>
      <c r="LTW218" s="630"/>
      <c r="LTX218" s="630"/>
      <c r="LTY218" s="630"/>
      <c r="LTZ218" s="630"/>
      <c r="LUA218" s="630"/>
      <c r="LUB218" s="630"/>
      <c r="LUC218" s="630"/>
      <c r="LUD218" s="630"/>
      <c r="LUE218" s="630"/>
      <c r="LUF218" s="630"/>
      <c r="LUG218" s="630"/>
      <c r="LUH218" s="630"/>
      <c r="LUI218" s="630"/>
      <c r="LUJ218" s="630"/>
      <c r="LUK218" s="630"/>
      <c r="LUL218" s="630"/>
      <c r="LUM218" s="630"/>
      <c r="LUN218" s="630"/>
      <c r="LUO218" s="630"/>
      <c r="LUP218" s="630"/>
      <c r="LUQ218" s="630"/>
      <c r="LUR218" s="630"/>
      <c r="LUS218" s="630"/>
      <c r="LUT218" s="630"/>
      <c r="LUU218" s="630"/>
      <c r="LUV218" s="630"/>
      <c r="LUW218" s="630"/>
      <c r="LUX218" s="630"/>
      <c r="LUY218" s="630"/>
      <c r="LUZ218" s="630"/>
      <c r="LVA218" s="630"/>
      <c r="LVB218" s="630"/>
      <c r="LVC218" s="630"/>
      <c r="LVD218" s="630"/>
      <c r="LVE218" s="630"/>
      <c r="LVF218" s="630"/>
      <c r="LVG218" s="630"/>
      <c r="LVH218" s="630"/>
      <c r="LVI218" s="630"/>
      <c r="LVJ218" s="630"/>
      <c r="LVK218" s="630"/>
      <c r="LVL218" s="630"/>
      <c r="LVM218" s="630"/>
      <c r="LVN218" s="630"/>
      <c r="LVO218" s="630"/>
      <c r="LVP218" s="630"/>
      <c r="LVQ218" s="630"/>
      <c r="LVR218" s="630"/>
      <c r="LVS218" s="630"/>
      <c r="LVT218" s="630"/>
      <c r="LVU218" s="630"/>
      <c r="LVV218" s="630"/>
      <c r="LVW218" s="630"/>
      <c r="LVX218" s="630"/>
      <c r="LVY218" s="630"/>
      <c r="LVZ218" s="630"/>
      <c r="LWA218" s="630"/>
      <c r="LWB218" s="630"/>
      <c r="LWC218" s="630"/>
      <c r="LWD218" s="630"/>
      <c r="LWE218" s="630"/>
      <c r="LWF218" s="630"/>
      <c r="LWG218" s="630"/>
      <c r="LWH218" s="630"/>
      <c r="LWI218" s="630"/>
      <c r="LWJ218" s="630"/>
      <c r="LWK218" s="630"/>
      <c r="LWL218" s="630"/>
      <c r="LWM218" s="630"/>
      <c r="LWN218" s="630"/>
      <c r="LWO218" s="630"/>
      <c r="LWP218" s="630"/>
      <c r="LWQ218" s="630"/>
      <c r="LWR218" s="630"/>
      <c r="LWS218" s="630"/>
      <c r="LWT218" s="630"/>
      <c r="LWU218" s="630"/>
      <c r="LWV218" s="630"/>
      <c r="LWW218" s="630"/>
      <c r="LWX218" s="630"/>
      <c r="LWY218" s="630"/>
      <c r="LWZ218" s="630"/>
      <c r="LXA218" s="630"/>
      <c r="LXB218" s="630"/>
      <c r="LXC218" s="630"/>
      <c r="LXD218" s="630"/>
      <c r="LXE218" s="630"/>
      <c r="LXF218" s="630"/>
      <c r="LXG218" s="630"/>
      <c r="LXH218" s="630"/>
      <c r="LXI218" s="630"/>
      <c r="LXJ218" s="630"/>
      <c r="LXK218" s="630"/>
      <c r="LXL218" s="630"/>
      <c r="LXM218" s="630"/>
      <c r="LXN218" s="630"/>
      <c r="LXO218" s="630"/>
      <c r="LXP218" s="630"/>
      <c r="LXQ218" s="630"/>
      <c r="LXR218" s="630"/>
      <c r="LXS218" s="630"/>
      <c r="LXT218" s="630"/>
      <c r="LXU218" s="630"/>
      <c r="LXV218" s="630"/>
      <c r="LXW218" s="630"/>
      <c r="LXX218" s="630"/>
      <c r="LXY218" s="630"/>
      <c r="LXZ218" s="630"/>
      <c r="LYA218" s="630"/>
      <c r="LYB218" s="630"/>
      <c r="LYC218" s="630"/>
      <c r="LYD218" s="630"/>
      <c r="LYE218" s="630"/>
      <c r="LYF218" s="630"/>
      <c r="LYG218" s="630"/>
      <c r="LYH218" s="630"/>
      <c r="LYI218" s="630"/>
      <c r="LYJ218" s="630"/>
      <c r="LYK218" s="630"/>
      <c r="LYL218" s="630"/>
      <c r="LYM218" s="630"/>
      <c r="LYN218" s="630"/>
      <c r="LYO218" s="630"/>
      <c r="LYP218" s="630"/>
      <c r="LYQ218" s="630"/>
      <c r="LYR218" s="630"/>
      <c r="LYS218" s="630"/>
      <c r="LYT218" s="630"/>
      <c r="LYU218" s="630"/>
      <c r="LYV218" s="630"/>
      <c r="LYW218" s="630"/>
      <c r="LYX218" s="630"/>
      <c r="LYY218" s="630"/>
      <c r="LYZ218" s="630"/>
      <c r="LZA218" s="630"/>
      <c r="LZB218" s="630"/>
      <c r="LZC218" s="630"/>
      <c r="LZD218" s="630"/>
      <c r="LZE218" s="630"/>
      <c r="LZF218" s="630"/>
      <c r="LZG218" s="630"/>
      <c r="LZH218" s="630"/>
      <c r="LZI218" s="630"/>
      <c r="LZJ218" s="630"/>
      <c r="LZK218" s="630"/>
      <c r="LZL218" s="630"/>
      <c r="LZM218" s="630"/>
      <c r="LZN218" s="630"/>
      <c r="LZO218" s="630"/>
      <c r="LZP218" s="630"/>
      <c r="LZQ218" s="630"/>
      <c r="LZR218" s="630"/>
      <c r="LZS218" s="630"/>
      <c r="LZT218" s="630"/>
      <c r="LZU218" s="630"/>
      <c r="LZV218" s="630"/>
      <c r="LZW218" s="630"/>
      <c r="LZX218" s="630"/>
      <c r="LZY218" s="630"/>
      <c r="LZZ218" s="630"/>
      <c r="MAA218" s="630"/>
      <c r="MAB218" s="630"/>
      <c r="MAC218" s="630"/>
      <c r="MAD218" s="630"/>
      <c r="MAE218" s="630"/>
      <c r="MAF218" s="630"/>
      <c r="MAG218" s="630"/>
      <c r="MAH218" s="630"/>
      <c r="MAI218" s="630"/>
      <c r="MAJ218" s="630"/>
      <c r="MAK218" s="630"/>
      <c r="MAL218" s="630"/>
      <c r="MAM218" s="630"/>
      <c r="MAN218" s="630"/>
      <c r="MAO218" s="630"/>
      <c r="MAP218" s="630"/>
      <c r="MAQ218" s="630"/>
      <c r="MAR218" s="630"/>
      <c r="MAS218" s="630"/>
      <c r="MAT218" s="630"/>
      <c r="MAU218" s="630"/>
      <c r="MAV218" s="630"/>
      <c r="MAW218" s="630"/>
      <c r="MAX218" s="630"/>
      <c r="MAY218" s="630"/>
      <c r="MAZ218" s="630"/>
      <c r="MBA218" s="630"/>
      <c r="MBB218" s="630"/>
      <c r="MBC218" s="630"/>
      <c r="MBD218" s="630"/>
      <c r="MBE218" s="630"/>
      <c r="MBF218" s="630"/>
      <c r="MBG218" s="630"/>
      <c r="MBH218" s="630"/>
      <c r="MBI218" s="630"/>
      <c r="MBJ218" s="630"/>
      <c r="MBK218" s="630"/>
      <c r="MBL218" s="630"/>
      <c r="MBM218" s="630"/>
      <c r="MBN218" s="630"/>
      <c r="MBO218" s="630"/>
      <c r="MBP218" s="630"/>
      <c r="MBQ218" s="630"/>
      <c r="MBR218" s="630"/>
      <c r="MBS218" s="630"/>
      <c r="MBT218" s="630"/>
      <c r="MBU218" s="630"/>
      <c r="MBV218" s="630"/>
      <c r="MBW218" s="630"/>
      <c r="MBX218" s="630"/>
      <c r="MBY218" s="630"/>
      <c r="MBZ218" s="630"/>
      <c r="MCA218" s="630"/>
      <c r="MCB218" s="630"/>
      <c r="MCC218" s="630"/>
      <c r="MCD218" s="630"/>
      <c r="MCE218" s="630"/>
      <c r="MCF218" s="630"/>
      <c r="MCG218" s="630"/>
      <c r="MCH218" s="630"/>
      <c r="MCI218" s="630"/>
      <c r="MCJ218" s="630"/>
      <c r="MCK218" s="630"/>
      <c r="MCL218" s="630"/>
      <c r="MCM218" s="630"/>
      <c r="MCN218" s="630"/>
      <c r="MCO218" s="630"/>
      <c r="MCP218" s="630"/>
      <c r="MCQ218" s="630"/>
      <c r="MCR218" s="630"/>
      <c r="MCS218" s="630"/>
      <c r="MCT218" s="630"/>
      <c r="MCU218" s="630"/>
      <c r="MCV218" s="630"/>
      <c r="MCW218" s="630"/>
      <c r="MCX218" s="630"/>
      <c r="MCY218" s="630"/>
      <c r="MCZ218" s="630"/>
      <c r="MDA218" s="630"/>
      <c r="MDB218" s="630"/>
      <c r="MDC218" s="630"/>
      <c r="MDD218" s="630"/>
      <c r="MDE218" s="630"/>
      <c r="MDF218" s="630"/>
      <c r="MDG218" s="630"/>
      <c r="MDH218" s="630"/>
      <c r="MDI218" s="630"/>
      <c r="MDJ218" s="630"/>
      <c r="MDK218" s="630"/>
      <c r="MDL218" s="630"/>
      <c r="MDM218" s="630"/>
      <c r="MDN218" s="630"/>
      <c r="MDO218" s="630"/>
      <c r="MDP218" s="630"/>
      <c r="MDQ218" s="630"/>
      <c r="MDR218" s="630"/>
      <c r="MDS218" s="630"/>
      <c r="MDT218" s="630"/>
      <c r="MDU218" s="630"/>
      <c r="MDV218" s="630"/>
      <c r="MDW218" s="630"/>
      <c r="MDX218" s="630"/>
      <c r="MDY218" s="630"/>
      <c r="MDZ218" s="630"/>
      <c r="MEA218" s="630"/>
      <c r="MEB218" s="630"/>
      <c r="MEC218" s="630"/>
      <c r="MED218" s="630"/>
      <c r="MEE218" s="630"/>
      <c r="MEF218" s="630"/>
      <c r="MEG218" s="630"/>
      <c r="MEH218" s="630"/>
      <c r="MEI218" s="630"/>
      <c r="MEJ218" s="630"/>
      <c r="MEK218" s="630"/>
      <c r="MEL218" s="630"/>
      <c r="MEM218" s="630"/>
      <c r="MEN218" s="630"/>
      <c r="MEO218" s="630"/>
      <c r="MEP218" s="630"/>
      <c r="MEQ218" s="630"/>
      <c r="MER218" s="630"/>
      <c r="MES218" s="630"/>
      <c r="MET218" s="630"/>
      <c r="MEU218" s="630"/>
      <c r="MEV218" s="630"/>
      <c r="MEW218" s="630"/>
      <c r="MEX218" s="630"/>
      <c r="MEY218" s="630"/>
      <c r="MEZ218" s="630"/>
      <c r="MFA218" s="630"/>
      <c r="MFB218" s="630"/>
      <c r="MFC218" s="630"/>
      <c r="MFD218" s="630"/>
      <c r="MFE218" s="630"/>
      <c r="MFF218" s="630"/>
      <c r="MFG218" s="630"/>
      <c r="MFH218" s="630"/>
      <c r="MFI218" s="630"/>
      <c r="MFJ218" s="630"/>
      <c r="MFK218" s="630"/>
      <c r="MFL218" s="630"/>
      <c r="MFM218" s="630"/>
      <c r="MFN218" s="630"/>
      <c r="MFO218" s="630"/>
      <c r="MFP218" s="630"/>
      <c r="MFQ218" s="630"/>
      <c r="MFR218" s="630"/>
      <c r="MFS218" s="630"/>
      <c r="MFT218" s="630"/>
      <c r="MFU218" s="630"/>
      <c r="MFV218" s="630"/>
      <c r="MFW218" s="630"/>
      <c r="MFX218" s="630"/>
      <c r="MFY218" s="630"/>
      <c r="MFZ218" s="630"/>
      <c r="MGA218" s="630"/>
      <c r="MGB218" s="630"/>
      <c r="MGC218" s="630"/>
      <c r="MGD218" s="630"/>
      <c r="MGE218" s="630"/>
      <c r="MGF218" s="630"/>
      <c r="MGG218" s="630"/>
      <c r="MGH218" s="630"/>
      <c r="MGI218" s="630"/>
      <c r="MGJ218" s="630"/>
      <c r="MGK218" s="630"/>
      <c r="MGL218" s="630"/>
      <c r="MGM218" s="630"/>
      <c r="MGN218" s="630"/>
      <c r="MGO218" s="630"/>
      <c r="MGP218" s="630"/>
      <c r="MGQ218" s="630"/>
      <c r="MGR218" s="630"/>
      <c r="MGS218" s="630"/>
      <c r="MGT218" s="630"/>
      <c r="MGU218" s="630"/>
      <c r="MGV218" s="630"/>
      <c r="MGW218" s="630"/>
      <c r="MGX218" s="630"/>
      <c r="MGY218" s="630"/>
      <c r="MGZ218" s="630"/>
      <c r="MHA218" s="630"/>
      <c r="MHB218" s="630"/>
      <c r="MHC218" s="630"/>
      <c r="MHD218" s="630"/>
      <c r="MHE218" s="630"/>
      <c r="MHF218" s="630"/>
      <c r="MHG218" s="630"/>
      <c r="MHH218" s="630"/>
      <c r="MHI218" s="630"/>
      <c r="MHJ218" s="630"/>
      <c r="MHK218" s="630"/>
      <c r="MHL218" s="630"/>
      <c r="MHM218" s="630"/>
      <c r="MHN218" s="630"/>
      <c r="MHO218" s="630"/>
      <c r="MHP218" s="630"/>
      <c r="MHQ218" s="630"/>
      <c r="MHR218" s="630"/>
      <c r="MHS218" s="630"/>
      <c r="MHT218" s="630"/>
      <c r="MHU218" s="630"/>
      <c r="MHV218" s="630"/>
      <c r="MHW218" s="630"/>
      <c r="MHX218" s="630"/>
      <c r="MHY218" s="630"/>
      <c r="MHZ218" s="630"/>
      <c r="MIA218" s="630"/>
      <c r="MIB218" s="630"/>
      <c r="MIC218" s="630"/>
      <c r="MID218" s="630"/>
      <c r="MIE218" s="630"/>
      <c r="MIF218" s="630"/>
      <c r="MIG218" s="630"/>
      <c r="MIH218" s="630"/>
      <c r="MII218" s="630"/>
      <c r="MIJ218" s="630"/>
      <c r="MIK218" s="630"/>
      <c r="MIL218" s="630"/>
      <c r="MIM218" s="630"/>
      <c r="MIN218" s="630"/>
      <c r="MIO218" s="630"/>
      <c r="MIP218" s="630"/>
      <c r="MIQ218" s="630"/>
      <c r="MIR218" s="630"/>
      <c r="MIS218" s="630"/>
      <c r="MIT218" s="630"/>
      <c r="MIU218" s="630"/>
      <c r="MIV218" s="630"/>
      <c r="MIW218" s="630"/>
      <c r="MIX218" s="630"/>
      <c r="MIY218" s="630"/>
      <c r="MIZ218" s="630"/>
      <c r="MJA218" s="630"/>
      <c r="MJB218" s="630"/>
      <c r="MJC218" s="630"/>
      <c r="MJD218" s="630"/>
      <c r="MJE218" s="630"/>
      <c r="MJF218" s="630"/>
      <c r="MJG218" s="630"/>
      <c r="MJH218" s="630"/>
      <c r="MJI218" s="630"/>
      <c r="MJJ218" s="630"/>
      <c r="MJK218" s="630"/>
      <c r="MJL218" s="630"/>
      <c r="MJM218" s="630"/>
      <c r="MJN218" s="630"/>
      <c r="MJO218" s="630"/>
      <c r="MJP218" s="630"/>
      <c r="MJQ218" s="630"/>
      <c r="MJR218" s="630"/>
      <c r="MJS218" s="630"/>
      <c r="MJT218" s="630"/>
      <c r="MJU218" s="630"/>
      <c r="MJV218" s="630"/>
      <c r="MJW218" s="630"/>
      <c r="MJX218" s="630"/>
      <c r="MJY218" s="630"/>
      <c r="MJZ218" s="630"/>
      <c r="MKA218" s="630"/>
      <c r="MKB218" s="630"/>
      <c r="MKC218" s="630"/>
      <c r="MKD218" s="630"/>
      <c r="MKE218" s="630"/>
      <c r="MKF218" s="630"/>
      <c r="MKG218" s="630"/>
      <c r="MKH218" s="630"/>
      <c r="MKI218" s="630"/>
      <c r="MKJ218" s="630"/>
      <c r="MKK218" s="630"/>
      <c r="MKL218" s="630"/>
      <c r="MKM218" s="630"/>
      <c r="MKN218" s="630"/>
      <c r="MKO218" s="630"/>
      <c r="MKP218" s="630"/>
      <c r="MKQ218" s="630"/>
      <c r="MKR218" s="630"/>
      <c r="MKS218" s="630"/>
      <c r="MKT218" s="630"/>
      <c r="MKU218" s="630"/>
      <c r="MKV218" s="630"/>
      <c r="MKW218" s="630"/>
      <c r="MKX218" s="630"/>
      <c r="MKY218" s="630"/>
      <c r="MKZ218" s="630"/>
      <c r="MLA218" s="630"/>
      <c r="MLB218" s="630"/>
      <c r="MLC218" s="630"/>
      <c r="MLD218" s="630"/>
      <c r="MLE218" s="630"/>
      <c r="MLF218" s="630"/>
      <c r="MLG218" s="630"/>
      <c r="MLH218" s="630"/>
      <c r="MLI218" s="630"/>
      <c r="MLJ218" s="630"/>
      <c r="MLK218" s="630"/>
      <c r="MLL218" s="630"/>
      <c r="MLM218" s="630"/>
      <c r="MLN218" s="630"/>
      <c r="MLO218" s="630"/>
      <c r="MLP218" s="630"/>
      <c r="MLQ218" s="630"/>
      <c r="MLR218" s="630"/>
      <c r="MLS218" s="630"/>
      <c r="MLT218" s="630"/>
      <c r="MLU218" s="630"/>
      <c r="MLV218" s="630"/>
      <c r="MLW218" s="630"/>
      <c r="MLX218" s="630"/>
      <c r="MLY218" s="630"/>
      <c r="MLZ218" s="630"/>
      <c r="MMA218" s="630"/>
      <c r="MMB218" s="630"/>
      <c r="MMC218" s="630"/>
      <c r="MMD218" s="630"/>
      <c r="MME218" s="630"/>
      <c r="MMF218" s="630"/>
      <c r="MMG218" s="630"/>
      <c r="MMH218" s="630"/>
      <c r="MMI218" s="630"/>
      <c r="MMJ218" s="630"/>
      <c r="MMK218" s="630"/>
      <c r="MML218" s="630"/>
      <c r="MMM218" s="630"/>
      <c r="MMN218" s="630"/>
      <c r="MMO218" s="630"/>
      <c r="MMP218" s="630"/>
      <c r="MMQ218" s="630"/>
      <c r="MMR218" s="630"/>
      <c r="MMS218" s="630"/>
      <c r="MMT218" s="630"/>
      <c r="MMU218" s="630"/>
      <c r="MMV218" s="630"/>
      <c r="MMW218" s="630"/>
      <c r="MMX218" s="630"/>
      <c r="MMY218" s="630"/>
      <c r="MMZ218" s="630"/>
      <c r="MNA218" s="630"/>
      <c r="MNB218" s="630"/>
      <c r="MNC218" s="630"/>
      <c r="MND218" s="630"/>
      <c r="MNE218" s="630"/>
      <c r="MNF218" s="630"/>
      <c r="MNG218" s="630"/>
      <c r="MNH218" s="630"/>
      <c r="MNI218" s="630"/>
      <c r="MNJ218" s="630"/>
      <c r="MNK218" s="630"/>
      <c r="MNL218" s="630"/>
      <c r="MNM218" s="630"/>
      <c r="MNN218" s="630"/>
      <c r="MNO218" s="630"/>
      <c r="MNP218" s="630"/>
      <c r="MNQ218" s="630"/>
      <c r="MNR218" s="630"/>
      <c r="MNS218" s="630"/>
      <c r="MNT218" s="630"/>
      <c r="MNU218" s="630"/>
      <c r="MNV218" s="630"/>
      <c r="MNW218" s="630"/>
      <c r="MNX218" s="630"/>
      <c r="MNY218" s="630"/>
      <c r="MNZ218" s="630"/>
      <c r="MOA218" s="630"/>
      <c r="MOB218" s="630"/>
      <c r="MOC218" s="630"/>
      <c r="MOD218" s="630"/>
      <c r="MOE218" s="630"/>
      <c r="MOF218" s="630"/>
      <c r="MOG218" s="630"/>
      <c r="MOH218" s="630"/>
      <c r="MOI218" s="630"/>
      <c r="MOJ218" s="630"/>
      <c r="MOK218" s="630"/>
      <c r="MOL218" s="630"/>
      <c r="MOM218" s="630"/>
      <c r="MON218" s="630"/>
      <c r="MOO218" s="630"/>
      <c r="MOP218" s="630"/>
      <c r="MOQ218" s="630"/>
      <c r="MOR218" s="630"/>
      <c r="MOS218" s="630"/>
      <c r="MOT218" s="630"/>
      <c r="MOU218" s="630"/>
      <c r="MOV218" s="630"/>
      <c r="MOW218" s="630"/>
      <c r="MOX218" s="630"/>
      <c r="MOY218" s="630"/>
      <c r="MOZ218" s="630"/>
      <c r="MPA218" s="630"/>
      <c r="MPB218" s="630"/>
      <c r="MPC218" s="630"/>
      <c r="MPD218" s="630"/>
      <c r="MPE218" s="630"/>
      <c r="MPF218" s="630"/>
      <c r="MPG218" s="630"/>
      <c r="MPH218" s="630"/>
      <c r="MPI218" s="630"/>
      <c r="MPJ218" s="630"/>
      <c r="MPK218" s="630"/>
      <c r="MPL218" s="630"/>
      <c r="MPM218" s="630"/>
      <c r="MPN218" s="630"/>
      <c r="MPO218" s="630"/>
      <c r="MPP218" s="630"/>
      <c r="MPQ218" s="630"/>
      <c r="MPR218" s="630"/>
      <c r="MPS218" s="630"/>
      <c r="MPT218" s="630"/>
      <c r="MPU218" s="630"/>
      <c r="MPV218" s="630"/>
      <c r="MPW218" s="630"/>
      <c r="MPX218" s="630"/>
      <c r="MPY218" s="630"/>
      <c r="MPZ218" s="630"/>
      <c r="MQA218" s="630"/>
      <c r="MQB218" s="630"/>
      <c r="MQC218" s="630"/>
      <c r="MQD218" s="630"/>
      <c r="MQE218" s="630"/>
      <c r="MQF218" s="630"/>
      <c r="MQG218" s="630"/>
      <c r="MQH218" s="630"/>
      <c r="MQI218" s="630"/>
      <c r="MQJ218" s="630"/>
      <c r="MQK218" s="630"/>
      <c r="MQL218" s="630"/>
      <c r="MQM218" s="630"/>
      <c r="MQN218" s="630"/>
      <c r="MQO218" s="630"/>
      <c r="MQP218" s="630"/>
      <c r="MQQ218" s="630"/>
      <c r="MQR218" s="630"/>
      <c r="MQS218" s="630"/>
      <c r="MQT218" s="630"/>
      <c r="MQU218" s="630"/>
      <c r="MQV218" s="630"/>
      <c r="MQW218" s="630"/>
      <c r="MQX218" s="630"/>
      <c r="MQY218" s="630"/>
      <c r="MQZ218" s="630"/>
      <c r="MRA218" s="630"/>
      <c r="MRB218" s="630"/>
      <c r="MRC218" s="630"/>
      <c r="MRD218" s="630"/>
      <c r="MRE218" s="630"/>
      <c r="MRF218" s="630"/>
      <c r="MRG218" s="630"/>
      <c r="MRH218" s="630"/>
      <c r="MRI218" s="630"/>
      <c r="MRJ218" s="630"/>
      <c r="MRK218" s="630"/>
      <c r="MRL218" s="630"/>
      <c r="MRM218" s="630"/>
      <c r="MRN218" s="630"/>
      <c r="MRO218" s="630"/>
      <c r="MRP218" s="630"/>
      <c r="MRQ218" s="630"/>
      <c r="MRR218" s="630"/>
      <c r="MRS218" s="630"/>
      <c r="MRT218" s="630"/>
      <c r="MRU218" s="630"/>
      <c r="MRV218" s="630"/>
      <c r="MRW218" s="630"/>
      <c r="MRX218" s="630"/>
      <c r="MRY218" s="630"/>
      <c r="MRZ218" s="630"/>
      <c r="MSA218" s="630"/>
      <c r="MSB218" s="630"/>
      <c r="MSC218" s="630"/>
      <c r="MSD218" s="630"/>
      <c r="MSE218" s="630"/>
      <c r="MSF218" s="630"/>
      <c r="MSG218" s="630"/>
      <c r="MSH218" s="630"/>
      <c r="MSI218" s="630"/>
      <c r="MSJ218" s="630"/>
      <c r="MSK218" s="630"/>
      <c r="MSL218" s="630"/>
      <c r="MSM218" s="630"/>
      <c r="MSN218" s="630"/>
      <c r="MSO218" s="630"/>
      <c r="MSP218" s="630"/>
      <c r="MSQ218" s="630"/>
      <c r="MSR218" s="630"/>
      <c r="MSS218" s="630"/>
      <c r="MST218" s="630"/>
      <c r="MSU218" s="630"/>
      <c r="MSV218" s="630"/>
      <c r="MSW218" s="630"/>
      <c r="MSX218" s="630"/>
      <c r="MSY218" s="630"/>
      <c r="MSZ218" s="630"/>
      <c r="MTA218" s="630"/>
      <c r="MTB218" s="630"/>
      <c r="MTC218" s="630"/>
      <c r="MTD218" s="630"/>
      <c r="MTE218" s="630"/>
      <c r="MTF218" s="630"/>
      <c r="MTG218" s="630"/>
      <c r="MTH218" s="630"/>
      <c r="MTI218" s="630"/>
      <c r="MTJ218" s="630"/>
      <c r="MTK218" s="630"/>
      <c r="MTL218" s="630"/>
      <c r="MTM218" s="630"/>
      <c r="MTN218" s="630"/>
      <c r="MTO218" s="630"/>
      <c r="MTP218" s="630"/>
      <c r="MTQ218" s="630"/>
      <c r="MTR218" s="630"/>
      <c r="MTS218" s="630"/>
      <c r="MTT218" s="630"/>
      <c r="MTU218" s="630"/>
      <c r="MTV218" s="630"/>
      <c r="MTW218" s="630"/>
      <c r="MTX218" s="630"/>
      <c r="MTY218" s="630"/>
      <c r="MTZ218" s="630"/>
      <c r="MUA218" s="630"/>
      <c r="MUB218" s="630"/>
      <c r="MUC218" s="630"/>
      <c r="MUD218" s="630"/>
      <c r="MUE218" s="630"/>
      <c r="MUF218" s="630"/>
      <c r="MUG218" s="630"/>
      <c r="MUH218" s="630"/>
      <c r="MUI218" s="630"/>
      <c r="MUJ218" s="630"/>
      <c r="MUK218" s="630"/>
      <c r="MUL218" s="630"/>
      <c r="MUM218" s="630"/>
      <c r="MUN218" s="630"/>
      <c r="MUO218" s="630"/>
      <c r="MUP218" s="630"/>
      <c r="MUQ218" s="630"/>
      <c r="MUR218" s="630"/>
      <c r="MUS218" s="630"/>
      <c r="MUT218" s="630"/>
      <c r="MUU218" s="630"/>
      <c r="MUV218" s="630"/>
      <c r="MUW218" s="630"/>
      <c r="MUX218" s="630"/>
      <c r="MUY218" s="630"/>
      <c r="MUZ218" s="630"/>
      <c r="MVA218" s="630"/>
      <c r="MVB218" s="630"/>
      <c r="MVC218" s="630"/>
      <c r="MVD218" s="630"/>
      <c r="MVE218" s="630"/>
      <c r="MVF218" s="630"/>
      <c r="MVG218" s="630"/>
      <c r="MVH218" s="630"/>
      <c r="MVI218" s="630"/>
      <c r="MVJ218" s="630"/>
      <c r="MVK218" s="630"/>
      <c r="MVL218" s="630"/>
      <c r="MVM218" s="630"/>
      <c r="MVN218" s="630"/>
      <c r="MVO218" s="630"/>
      <c r="MVP218" s="630"/>
      <c r="MVQ218" s="630"/>
      <c r="MVR218" s="630"/>
      <c r="MVS218" s="630"/>
      <c r="MVT218" s="630"/>
      <c r="MVU218" s="630"/>
      <c r="MVV218" s="630"/>
      <c r="MVW218" s="630"/>
      <c r="MVX218" s="630"/>
      <c r="MVY218" s="630"/>
      <c r="MVZ218" s="630"/>
      <c r="MWA218" s="630"/>
      <c r="MWB218" s="630"/>
      <c r="MWC218" s="630"/>
      <c r="MWD218" s="630"/>
      <c r="MWE218" s="630"/>
      <c r="MWF218" s="630"/>
      <c r="MWG218" s="630"/>
      <c r="MWH218" s="630"/>
      <c r="MWI218" s="630"/>
      <c r="MWJ218" s="630"/>
      <c r="MWK218" s="630"/>
      <c r="MWL218" s="630"/>
      <c r="MWM218" s="630"/>
      <c r="MWN218" s="630"/>
      <c r="MWO218" s="630"/>
      <c r="MWP218" s="630"/>
      <c r="MWQ218" s="630"/>
      <c r="MWR218" s="630"/>
      <c r="MWS218" s="630"/>
      <c r="MWT218" s="630"/>
      <c r="MWU218" s="630"/>
      <c r="MWV218" s="630"/>
      <c r="MWW218" s="630"/>
      <c r="MWX218" s="630"/>
      <c r="MWY218" s="630"/>
      <c r="MWZ218" s="630"/>
      <c r="MXA218" s="630"/>
      <c r="MXB218" s="630"/>
      <c r="MXC218" s="630"/>
      <c r="MXD218" s="630"/>
      <c r="MXE218" s="630"/>
      <c r="MXF218" s="630"/>
      <c r="MXG218" s="630"/>
      <c r="MXH218" s="630"/>
      <c r="MXI218" s="630"/>
      <c r="MXJ218" s="630"/>
      <c r="MXK218" s="630"/>
      <c r="MXL218" s="630"/>
      <c r="MXM218" s="630"/>
      <c r="MXN218" s="630"/>
      <c r="MXO218" s="630"/>
      <c r="MXP218" s="630"/>
      <c r="MXQ218" s="630"/>
      <c r="MXR218" s="630"/>
      <c r="MXS218" s="630"/>
      <c r="MXT218" s="630"/>
      <c r="MXU218" s="630"/>
      <c r="MXV218" s="630"/>
      <c r="MXW218" s="630"/>
      <c r="MXX218" s="630"/>
      <c r="MXY218" s="630"/>
      <c r="MXZ218" s="630"/>
      <c r="MYA218" s="630"/>
      <c r="MYB218" s="630"/>
      <c r="MYC218" s="630"/>
      <c r="MYD218" s="630"/>
      <c r="MYE218" s="630"/>
      <c r="MYF218" s="630"/>
      <c r="MYG218" s="630"/>
      <c r="MYH218" s="630"/>
      <c r="MYI218" s="630"/>
      <c r="MYJ218" s="630"/>
      <c r="MYK218" s="630"/>
      <c r="MYL218" s="630"/>
      <c r="MYM218" s="630"/>
      <c r="MYN218" s="630"/>
      <c r="MYO218" s="630"/>
      <c r="MYP218" s="630"/>
      <c r="MYQ218" s="630"/>
      <c r="MYR218" s="630"/>
      <c r="MYS218" s="630"/>
      <c r="MYT218" s="630"/>
      <c r="MYU218" s="630"/>
      <c r="MYV218" s="630"/>
      <c r="MYW218" s="630"/>
      <c r="MYX218" s="630"/>
      <c r="MYY218" s="630"/>
      <c r="MYZ218" s="630"/>
      <c r="MZA218" s="630"/>
      <c r="MZB218" s="630"/>
      <c r="MZC218" s="630"/>
      <c r="MZD218" s="630"/>
      <c r="MZE218" s="630"/>
      <c r="MZF218" s="630"/>
      <c r="MZG218" s="630"/>
      <c r="MZH218" s="630"/>
      <c r="MZI218" s="630"/>
      <c r="MZJ218" s="630"/>
      <c r="MZK218" s="630"/>
      <c r="MZL218" s="630"/>
      <c r="MZM218" s="630"/>
      <c r="MZN218" s="630"/>
      <c r="MZO218" s="630"/>
      <c r="MZP218" s="630"/>
      <c r="MZQ218" s="630"/>
      <c r="MZR218" s="630"/>
      <c r="MZS218" s="630"/>
      <c r="MZT218" s="630"/>
      <c r="MZU218" s="630"/>
      <c r="MZV218" s="630"/>
      <c r="MZW218" s="630"/>
      <c r="MZX218" s="630"/>
      <c r="MZY218" s="630"/>
      <c r="MZZ218" s="630"/>
      <c r="NAA218" s="630"/>
      <c r="NAB218" s="630"/>
      <c r="NAC218" s="630"/>
      <c r="NAD218" s="630"/>
      <c r="NAE218" s="630"/>
      <c r="NAF218" s="630"/>
      <c r="NAG218" s="630"/>
      <c r="NAH218" s="630"/>
      <c r="NAI218" s="630"/>
      <c r="NAJ218" s="630"/>
      <c r="NAK218" s="630"/>
      <c r="NAL218" s="630"/>
      <c r="NAM218" s="630"/>
      <c r="NAN218" s="630"/>
      <c r="NAO218" s="630"/>
      <c r="NAP218" s="630"/>
      <c r="NAQ218" s="630"/>
      <c r="NAR218" s="630"/>
      <c r="NAS218" s="630"/>
      <c r="NAT218" s="630"/>
      <c r="NAU218" s="630"/>
      <c r="NAV218" s="630"/>
      <c r="NAW218" s="630"/>
      <c r="NAX218" s="630"/>
      <c r="NAY218" s="630"/>
      <c r="NAZ218" s="630"/>
      <c r="NBA218" s="630"/>
      <c r="NBB218" s="630"/>
      <c r="NBC218" s="630"/>
      <c r="NBD218" s="630"/>
      <c r="NBE218" s="630"/>
      <c r="NBF218" s="630"/>
      <c r="NBG218" s="630"/>
      <c r="NBH218" s="630"/>
      <c r="NBI218" s="630"/>
      <c r="NBJ218" s="630"/>
      <c r="NBK218" s="630"/>
      <c r="NBL218" s="630"/>
      <c r="NBM218" s="630"/>
      <c r="NBN218" s="630"/>
      <c r="NBO218" s="630"/>
      <c r="NBP218" s="630"/>
      <c r="NBQ218" s="630"/>
      <c r="NBR218" s="630"/>
      <c r="NBS218" s="630"/>
      <c r="NBT218" s="630"/>
      <c r="NBU218" s="630"/>
      <c r="NBV218" s="630"/>
      <c r="NBW218" s="630"/>
      <c r="NBX218" s="630"/>
      <c r="NBY218" s="630"/>
      <c r="NBZ218" s="630"/>
      <c r="NCA218" s="630"/>
      <c r="NCB218" s="630"/>
      <c r="NCC218" s="630"/>
      <c r="NCD218" s="630"/>
      <c r="NCE218" s="630"/>
      <c r="NCF218" s="630"/>
      <c r="NCG218" s="630"/>
      <c r="NCH218" s="630"/>
      <c r="NCI218" s="630"/>
      <c r="NCJ218" s="630"/>
      <c r="NCK218" s="630"/>
      <c r="NCL218" s="630"/>
      <c r="NCM218" s="630"/>
      <c r="NCN218" s="630"/>
      <c r="NCO218" s="630"/>
      <c r="NCP218" s="630"/>
      <c r="NCQ218" s="630"/>
      <c r="NCR218" s="630"/>
      <c r="NCS218" s="630"/>
      <c r="NCT218" s="630"/>
      <c r="NCU218" s="630"/>
      <c r="NCV218" s="630"/>
      <c r="NCW218" s="630"/>
      <c r="NCX218" s="630"/>
      <c r="NCY218" s="630"/>
      <c r="NCZ218" s="630"/>
      <c r="NDA218" s="630"/>
      <c r="NDB218" s="630"/>
      <c r="NDC218" s="630"/>
      <c r="NDD218" s="630"/>
      <c r="NDE218" s="630"/>
      <c r="NDF218" s="630"/>
      <c r="NDG218" s="630"/>
      <c r="NDH218" s="630"/>
      <c r="NDI218" s="630"/>
      <c r="NDJ218" s="630"/>
      <c r="NDK218" s="630"/>
      <c r="NDL218" s="630"/>
      <c r="NDM218" s="630"/>
      <c r="NDN218" s="630"/>
      <c r="NDO218" s="630"/>
      <c r="NDP218" s="630"/>
      <c r="NDQ218" s="630"/>
      <c r="NDR218" s="630"/>
      <c r="NDS218" s="630"/>
      <c r="NDT218" s="630"/>
      <c r="NDU218" s="630"/>
      <c r="NDV218" s="630"/>
      <c r="NDW218" s="630"/>
      <c r="NDX218" s="630"/>
      <c r="NDY218" s="630"/>
      <c r="NDZ218" s="630"/>
      <c r="NEA218" s="630"/>
      <c r="NEB218" s="630"/>
      <c r="NEC218" s="630"/>
      <c r="NED218" s="630"/>
      <c r="NEE218" s="630"/>
      <c r="NEF218" s="630"/>
      <c r="NEG218" s="630"/>
      <c r="NEH218" s="630"/>
      <c r="NEI218" s="630"/>
      <c r="NEJ218" s="630"/>
      <c r="NEK218" s="630"/>
      <c r="NEL218" s="630"/>
      <c r="NEM218" s="630"/>
      <c r="NEN218" s="630"/>
      <c r="NEO218" s="630"/>
      <c r="NEP218" s="630"/>
      <c r="NEQ218" s="630"/>
      <c r="NER218" s="630"/>
      <c r="NES218" s="630"/>
      <c r="NET218" s="630"/>
      <c r="NEU218" s="630"/>
      <c r="NEV218" s="630"/>
      <c r="NEW218" s="630"/>
      <c r="NEX218" s="630"/>
      <c r="NEY218" s="630"/>
      <c r="NEZ218" s="630"/>
      <c r="NFA218" s="630"/>
      <c r="NFB218" s="630"/>
      <c r="NFC218" s="630"/>
      <c r="NFD218" s="630"/>
      <c r="NFE218" s="630"/>
      <c r="NFF218" s="630"/>
      <c r="NFG218" s="630"/>
      <c r="NFH218" s="630"/>
      <c r="NFI218" s="630"/>
      <c r="NFJ218" s="630"/>
      <c r="NFK218" s="630"/>
      <c r="NFL218" s="630"/>
      <c r="NFM218" s="630"/>
      <c r="NFN218" s="630"/>
      <c r="NFO218" s="630"/>
      <c r="NFP218" s="630"/>
      <c r="NFQ218" s="630"/>
      <c r="NFR218" s="630"/>
      <c r="NFS218" s="630"/>
      <c r="NFT218" s="630"/>
      <c r="NFU218" s="630"/>
      <c r="NFV218" s="630"/>
      <c r="NFW218" s="630"/>
      <c r="NFX218" s="630"/>
      <c r="NFY218" s="630"/>
      <c r="NFZ218" s="630"/>
      <c r="NGA218" s="630"/>
      <c r="NGB218" s="630"/>
      <c r="NGC218" s="630"/>
      <c r="NGD218" s="630"/>
      <c r="NGE218" s="630"/>
      <c r="NGF218" s="630"/>
      <c r="NGG218" s="630"/>
      <c r="NGH218" s="630"/>
      <c r="NGI218" s="630"/>
      <c r="NGJ218" s="630"/>
      <c r="NGK218" s="630"/>
      <c r="NGL218" s="630"/>
      <c r="NGM218" s="630"/>
      <c r="NGN218" s="630"/>
      <c r="NGO218" s="630"/>
      <c r="NGP218" s="630"/>
      <c r="NGQ218" s="630"/>
      <c r="NGR218" s="630"/>
      <c r="NGS218" s="630"/>
      <c r="NGT218" s="630"/>
      <c r="NGU218" s="630"/>
      <c r="NGV218" s="630"/>
      <c r="NGW218" s="630"/>
      <c r="NGX218" s="630"/>
      <c r="NGY218" s="630"/>
      <c r="NGZ218" s="630"/>
      <c r="NHA218" s="630"/>
      <c r="NHB218" s="630"/>
      <c r="NHC218" s="630"/>
      <c r="NHD218" s="630"/>
      <c r="NHE218" s="630"/>
      <c r="NHF218" s="630"/>
      <c r="NHG218" s="630"/>
      <c r="NHH218" s="630"/>
      <c r="NHI218" s="630"/>
      <c r="NHJ218" s="630"/>
      <c r="NHK218" s="630"/>
      <c r="NHL218" s="630"/>
      <c r="NHM218" s="630"/>
      <c r="NHN218" s="630"/>
      <c r="NHO218" s="630"/>
      <c r="NHP218" s="630"/>
      <c r="NHQ218" s="630"/>
      <c r="NHR218" s="630"/>
      <c r="NHS218" s="630"/>
      <c r="NHT218" s="630"/>
      <c r="NHU218" s="630"/>
      <c r="NHV218" s="630"/>
      <c r="NHW218" s="630"/>
      <c r="NHX218" s="630"/>
      <c r="NHY218" s="630"/>
      <c r="NHZ218" s="630"/>
      <c r="NIA218" s="630"/>
      <c r="NIB218" s="630"/>
      <c r="NIC218" s="630"/>
      <c r="NID218" s="630"/>
      <c r="NIE218" s="630"/>
      <c r="NIF218" s="630"/>
      <c r="NIG218" s="630"/>
      <c r="NIH218" s="630"/>
      <c r="NII218" s="630"/>
      <c r="NIJ218" s="630"/>
      <c r="NIK218" s="630"/>
      <c r="NIL218" s="630"/>
      <c r="NIM218" s="630"/>
      <c r="NIN218" s="630"/>
      <c r="NIO218" s="630"/>
      <c r="NIP218" s="630"/>
      <c r="NIQ218" s="630"/>
      <c r="NIR218" s="630"/>
      <c r="NIS218" s="630"/>
      <c r="NIT218" s="630"/>
      <c r="NIU218" s="630"/>
      <c r="NIV218" s="630"/>
      <c r="NIW218" s="630"/>
      <c r="NIX218" s="630"/>
      <c r="NIY218" s="630"/>
      <c r="NIZ218" s="630"/>
      <c r="NJA218" s="630"/>
      <c r="NJB218" s="630"/>
      <c r="NJC218" s="630"/>
      <c r="NJD218" s="630"/>
      <c r="NJE218" s="630"/>
      <c r="NJF218" s="630"/>
      <c r="NJG218" s="630"/>
      <c r="NJH218" s="630"/>
      <c r="NJI218" s="630"/>
      <c r="NJJ218" s="630"/>
      <c r="NJK218" s="630"/>
      <c r="NJL218" s="630"/>
      <c r="NJM218" s="630"/>
      <c r="NJN218" s="630"/>
      <c r="NJO218" s="630"/>
      <c r="NJP218" s="630"/>
      <c r="NJQ218" s="630"/>
      <c r="NJR218" s="630"/>
      <c r="NJS218" s="630"/>
      <c r="NJT218" s="630"/>
      <c r="NJU218" s="630"/>
      <c r="NJV218" s="630"/>
      <c r="NJW218" s="630"/>
      <c r="NJX218" s="630"/>
      <c r="NJY218" s="630"/>
      <c r="NJZ218" s="630"/>
      <c r="NKA218" s="630"/>
      <c r="NKB218" s="630"/>
      <c r="NKC218" s="630"/>
      <c r="NKD218" s="630"/>
      <c r="NKE218" s="630"/>
      <c r="NKF218" s="630"/>
      <c r="NKG218" s="630"/>
      <c r="NKH218" s="630"/>
      <c r="NKI218" s="630"/>
      <c r="NKJ218" s="630"/>
      <c r="NKK218" s="630"/>
      <c r="NKL218" s="630"/>
      <c r="NKM218" s="630"/>
      <c r="NKN218" s="630"/>
      <c r="NKO218" s="630"/>
      <c r="NKP218" s="630"/>
      <c r="NKQ218" s="630"/>
      <c r="NKR218" s="630"/>
      <c r="NKS218" s="630"/>
      <c r="NKT218" s="630"/>
      <c r="NKU218" s="630"/>
      <c r="NKV218" s="630"/>
      <c r="NKW218" s="630"/>
      <c r="NKX218" s="630"/>
      <c r="NKY218" s="630"/>
      <c r="NKZ218" s="630"/>
      <c r="NLA218" s="630"/>
      <c r="NLB218" s="630"/>
      <c r="NLC218" s="630"/>
      <c r="NLD218" s="630"/>
      <c r="NLE218" s="630"/>
      <c r="NLF218" s="630"/>
      <c r="NLG218" s="630"/>
      <c r="NLH218" s="630"/>
      <c r="NLI218" s="630"/>
      <c r="NLJ218" s="630"/>
      <c r="NLK218" s="630"/>
      <c r="NLL218" s="630"/>
      <c r="NLM218" s="630"/>
      <c r="NLN218" s="630"/>
      <c r="NLO218" s="630"/>
      <c r="NLP218" s="630"/>
      <c r="NLQ218" s="630"/>
      <c r="NLR218" s="630"/>
      <c r="NLS218" s="630"/>
      <c r="NLT218" s="630"/>
      <c r="NLU218" s="630"/>
      <c r="NLV218" s="630"/>
      <c r="NLW218" s="630"/>
      <c r="NLX218" s="630"/>
      <c r="NLY218" s="630"/>
      <c r="NLZ218" s="630"/>
      <c r="NMA218" s="630"/>
      <c r="NMB218" s="630"/>
      <c r="NMC218" s="630"/>
      <c r="NMD218" s="630"/>
      <c r="NME218" s="630"/>
      <c r="NMF218" s="630"/>
      <c r="NMG218" s="630"/>
      <c r="NMH218" s="630"/>
      <c r="NMI218" s="630"/>
      <c r="NMJ218" s="630"/>
      <c r="NMK218" s="630"/>
      <c r="NML218" s="630"/>
      <c r="NMM218" s="630"/>
      <c r="NMN218" s="630"/>
      <c r="NMO218" s="630"/>
      <c r="NMP218" s="630"/>
      <c r="NMQ218" s="630"/>
      <c r="NMR218" s="630"/>
      <c r="NMS218" s="630"/>
      <c r="NMT218" s="630"/>
      <c r="NMU218" s="630"/>
      <c r="NMV218" s="630"/>
      <c r="NMW218" s="630"/>
      <c r="NMX218" s="630"/>
      <c r="NMY218" s="630"/>
      <c r="NMZ218" s="630"/>
      <c r="NNA218" s="630"/>
      <c r="NNB218" s="630"/>
      <c r="NNC218" s="630"/>
      <c r="NND218" s="630"/>
      <c r="NNE218" s="630"/>
      <c r="NNF218" s="630"/>
      <c r="NNG218" s="630"/>
      <c r="NNH218" s="630"/>
      <c r="NNI218" s="630"/>
      <c r="NNJ218" s="630"/>
      <c r="NNK218" s="630"/>
      <c r="NNL218" s="630"/>
      <c r="NNM218" s="630"/>
      <c r="NNN218" s="630"/>
      <c r="NNO218" s="630"/>
      <c r="NNP218" s="630"/>
      <c r="NNQ218" s="630"/>
      <c r="NNR218" s="630"/>
      <c r="NNS218" s="630"/>
      <c r="NNT218" s="630"/>
      <c r="NNU218" s="630"/>
      <c r="NNV218" s="630"/>
      <c r="NNW218" s="630"/>
      <c r="NNX218" s="630"/>
      <c r="NNY218" s="630"/>
      <c r="NNZ218" s="630"/>
      <c r="NOA218" s="630"/>
      <c r="NOB218" s="630"/>
      <c r="NOC218" s="630"/>
      <c r="NOD218" s="630"/>
      <c r="NOE218" s="630"/>
      <c r="NOF218" s="630"/>
      <c r="NOG218" s="630"/>
      <c r="NOH218" s="630"/>
      <c r="NOI218" s="630"/>
      <c r="NOJ218" s="630"/>
      <c r="NOK218" s="630"/>
      <c r="NOL218" s="630"/>
      <c r="NOM218" s="630"/>
      <c r="NON218" s="630"/>
      <c r="NOO218" s="630"/>
      <c r="NOP218" s="630"/>
      <c r="NOQ218" s="630"/>
      <c r="NOR218" s="630"/>
      <c r="NOS218" s="630"/>
      <c r="NOT218" s="630"/>
      <c r="NOU218" s="630"/>
      <c r="NOV218" s="630"/>
      <c r="NOW218" s="630"/>
      <c r="NOX218" s="630"/>
      <c r="NOY218" s="630"/>
      <c r="NOZ218" s="630"/>
      <c r="NPA218" s="630"/>
      <c r="NPB218" s="630"/>
      <c r="NPC218" s="630"/>
      <c r="NPD218" s="630"/>
      <c r="NPE218" s="630"/>
      <c r="NPF218" s="630"/>
      <c r="NPG218" s="630"/>
      <c r="NPH218" s="630"/>
      <c r="NPI218" s="630"/>
      <c r="NPJ218" s="630"/>
      <c r="NPK218" s="630"/>
      <c r="NPL218" s="630"/>
      <c r="NPM218" s="630"/>
      <c r="NPN218" s="630"/>
      <c r="NPO218" s="630"/>
      <c r="NPP218" s="630"/>
      <c r="NPQ218" s="630"/>
      <c r="NPR218" s="630"/>
      <c r="NPS218" s="630"/>
      <c r="NPT218" s="630"/>
      <c r="NPU218" s="630"/>
      <c r="NPV218" s="630"/>
      <c r="NPW218" s="630"/>
      <c r="NPX218" s="630"/>
      <c r="NPY218" s="630"/>
      <c r="NPZ218" s="630"/>
      <c r="NQA218" s="630"/>
      <c r="NQB218" s="630"/>
      <c r="NQC218" s="630"/>
      <c r="NQD218" s="630"/>
      <c r="NQE218" s="630"/>
      <c r="NQF218" s="630"/>
      <c r="NQG218" s="630"/>
      <c r="NQH218" s="630"/>
      <c r="NQI218" s="630"/>
      <c r="NQJ218" s="630"/>
      <c r="NQK218" s="630"/>
      <c r="NQL218" s="630"/>
      <c r="NQM218" s="630"/>
      <c r="NQN218" s="630"/>
      <c r="NQO218" s="630"/>
      <c r="NQP218" s="630"/>
      <c r="NQQ218" s="630"/>
      <c r="NQR218" s="630"/>
      <c r="NQS218" s="630"/>
      <c r="NQT218" s="630"/>
      <c r="NQU218" s="630"/>
      <c r="NQV218" s="630"/>
      <c r="NQW218" s="630"/>
      <c r="NQX218" s="630"/>
      <c r="NQY218" s="630"/>
      <c r="NQZ218" s="630"/>
      <c r="NRA218" s="630"/>
      <c r="NRB218" s="630"/>
      <c r="NRC218" s="630"/>
      <c r="NRD218" s="630"/>
      <c r="NRE218" s="630"/>
      <c r="NRF218" s="630"/>
      <c r="NRG218" s="630"/>
      <c r="NRH218" s="630"/>
      <c r="NRI218" s="630"/>
      <c r="NRJ218" s="630"/>
      <c r="NRK218" s="630"/>
      <c r="NRL218" s="630"/>
      <c r="NRM218" s="630"/>
      <c r="NRN218" s="630"/>
      <c r="NRO218" s="630"/>
      <c r="NRP218" s="630"/>
      <c r="NRQ218" s="630"/>
      <c r="NRR218" s="630"/>
      <c r="NRS218" s="630"/>
      <c r="NRT218" s="630"/>
      <c r="NRU218" s="630"/>
      <c r="NRV218" s="630"/>
      <c r="NRW218" s="630"/>
      <c r="NRX218" s="630"/>
      <c r="NRY218" s="630"/>
      <c r="NRZ218" s="630"/>
      <c r="NSA218" s="630"/>
      <c r="NSB218" s="630"/>
      <c r="NSC218" s="630"/>
      <c r="NSD218" s="630"/>
      <c r="NSE218" s="630"/>
      <c r="NSF218" s="630"/>
      <c r="NSG218" s="630"/>
      <c r="NSH218" s="630"/>
      <c r="NSI218" s="630"/>
      <c r="NSJ218" s="630"/>
      <c r="NSK218" s="630"/>
      <c r="NSL218" s="630"/>
      <c r="NSM218" s="630"/>
      <c r="NSN218" s="630"/>
      <c r="NSO218" s="630"/>
      <c r="NSP218" s="630"/>
      <c r="NSQ218" s="630"/>
      <c r="NSR218" s="630"/>
      <c r="NSS218" s="630"/>
      <c r="NST218" s="630"/>
      <c r="NSU218" s="630"/>
      <c r="NSV218" s="630"/>
      <c r="NSW218" s="630"/>
      <c r="NSX218" s="630"/>
      <c r="NSY218" s="630"/>
      <c r="NSZ218" s="630"/>
      <c r="NTA218" s="630"/>
      <c r="NTB218" s="630"/>
      <c r="NTC218" s="630"/>
      <c r="NTD218" s="630"/>
      <c r="NTE218" s="630"/>
      <c r="NTF218" s="630"/>
      <c r="NTG218" s="630"/>
      <c r="NTH218" s="630"/>
      <c r="NTI218" s="630"/>
      <c r="NTJ218" s="630"/>
      <c r="NTK218" s="630"/>
      <c r="NTL218" s="630"/>
      <c r="NTM218" s="630"/>
      <c r="NTN218" s="630"/>
      <c r="NTO218" s="630"/>
      <c r="NTP218" s="630"/>
      <c r="NTQ218" s="630"/>
      <c r="NTR218" s="630"/>
      <c r="NTS218" s="630"/>
      <c r="NTT218" s="630"/>
      <c r="NTU218" s="630"/>
      <c r="NTV218" s="630"/>
      <c r="NTW218" s="630"/>
      <c r="NTX218" s="630"/>
      <c r="NTY218" s="630"/>
      <c r="NTZ218" s="630"/>
      <c r="NUA218" s="630"/>
      <c r="NUB218" s="630"/>
      <c r="NUC218" s="630"/>
      <c r="NUD218" s="630"/>
      <c r="NUE218" s="630"/>
      <c r="NUF218" s="630"/>
      <c r="NUG218" s="630"/>
      <c r="NUH218" s="630"/>
      <c r="NUI218" s="630"/>
      <c r="NUJ218" s="630"/>
      <c r="NUK218" s="630"/>
      <c r="NUL218" s="630"/>
      <c r="NUM218" s="630"/>
      <c r="NUN218" s="630"/>
      <c r="NUO218" s="630"/>
      <c r="NUP218" s="630"/>
      <c r="NUQ218" s="630"/>
      <c r="NUR218" s="630"/>
      <c r="NUS218" s="630"/>
      <c r="NUT218" s="630"/>
      <c r="NUU218" s="630"/>
      <c r="NUV218" s="630"/>
      <c r="NUW218" s="630"/>
      <c r="NUX218" s="630"/>
      <c r="NUY218" s="630"/>
      <c r="NUZ218" s="630"/>
      <c r="NVA218" s="630"/>
      <c r="NVB218" s="630"/>
      <c r="NVC218" s="630"/>
      <c r="NVD218" s="630"/>
      <c r="NVE218" s="630"/>
      <c r="NVF218" s="630"/>
      <c r="NVG218" s="630"/>
      <c r="NVH218" s="630"/>
      <c r="NVI218" s="630"/>
      <c r="NVJ218" s="630"/>
      <c r="NVK218" s="630"/>
      <c r="NVL218" s="630"/>
      <c r="NVM218" s="630"/>
      <c r="NVN218" s="630"/>
      <c r="NVO218" s="630"/>
      <c r="NVP218" s="630"/>
      <c r="NVQ218" s="630"/>
      <c r="NVR218" s="630"/>
      <c r="NVS218" s="630"/>
      <c r="NVT218" s="630"/>
      <c r="NVU218" s="630"/>
      <c r="NVV218" s="630"/>
      <c r="NVW218" s="630"/>
      <c r="NVX218" s="630"/>
      <c r="NVY218" s="630"/>
      <c r="NVZ218" s="630"/>
      <c r="NWA218" s="630"/>
      <c r="NWB218" s="630"/>
      <c r="NWC218" s="630"/>
      <c r="NWD218" s="630"/>
      <c r="NWE218" s="630"/>
      <c r="NWF218" s="630"/>
      <c r="NWG218" s="630"/>
      <c r="NWH218" s="630"/>
      <c r="NWI218" s="630"/>
      <c r="NWJ218" s="630"/>
      <c r="NWK218" s="630"/>
      <c r="NWL218" s="630"/>
      <c r="NWM218" s="630"/>
      <c r="NWN218" s="630"/>
      <c r="NWO218" s="630"/>
      <c r="NWP218" s="630"/>
      <c r="NWQ218" s="630"/>
      <c r="NWR218" s="630"/>
      <c r="NWS218" s="630"/>
      <c r="NWT218" s="630"/>
      <c r="NWU218" s="630"/>
      <c r="NWV218" s="630"/>
      <c r="NWW218" s="630"/>
      <c r="NWX218" s="630"/>
      <c r="NWY218" s="630"/>
      <c r="NWZ218" s="630"/>
      <c r="NXA218" s="630"/>
      <c r="NXB218" s="630"/>
      <c r="NXC218" s="630"/>
      <c r="NXD218" s="630"/>
      <c r="NXE218" s="630"/>
      <c r="NXF218" s="630"/>
      <c r="NXG218" s="630"/>
      <c r="NXH218" s="630"/>
      <c r="NXI218" s="630"/>
      <c r="NXJ218" s="630"/>
      <c r="NXK218" s="630"/>
      <c r="NXL218" s="630"/>
      <c r="NXM218" s="630"/>
      <c r="NXN218" s="630"/>
      <c r="NXO218" s="630"/>
      <c r="NXP218" s="630"/>
      <c r="NXQ218" s="630"/>
      <c r="NXR218" s="630"/>
      <c r="NXS218" s="630"/>
      <c r="NXT218" s="630"/>
      <c r="NXU218" s="630"/>
      <c r="NXV218" s="630"/>
      <c r="NXW218" s="630"/>
      <c r="NXX218" s="630"/>
      <c r="NXY218" s="630"/>
      <c r="NXZ218" s="630"/>
      <c r="NYA218" s="630"/>
      <c r="NYB218" s="630"/>
      <c r="NYC218" s="630"/>
      <c r="NYD218" s="630"/>
      <c r="NYE218" s="630"/>
      <c r="NYF218" s="630"/>
      <c r="NYG218" s="630"/>
      <c r="NYH218" s="630"/>
      <c r="NYI218" s="630"/>
      <c r="NYJ218" s="630"/>
      <c r="NYK218" s="630"/>
      <c r="NYL218" s="630"/>
      <c r="NYM218" s="630"/>
      <c r="NYN218" s="630"/>
      <c r="NYO218" s="630"/>
      <c r="NYP218" s="630"/>
      <c r="NYQ218" s="630"/>
      <c r="NYR218" s="630"/>
      <c r="NYS218" s="630"/>
      <c r="NYT218" s="630"/>
      <c r="NYU218" s="630"/>
      <c r="NYV218" s="630"/>
      <c r="NYW218" s="630"/>
      <c r="NYX218" s="630"/>
      <c r="NYY218" s="630"/>
      <c r="NYZ218" s="630"/>
      <c r="NZA218" s="630"/>
      <c r="NZB218" s="630"/>
      <c r="NZC218" s="630"/>
      <c r="NZD218" s="630"/>
      <c r="NZE218" s="630"/>
      <c r="NZF218" s="630"/>
      <c r="NZG218" s="630"/>
      <c r="NZH218" s="630"/>
      <c r="NZI218" s="630"/>
      <c r="NZJ218" s="630"/>
      <c r="NZK218" s="630"/>
      <c r="NZL218" s="630"/>
      <c r="NZM218" s="630"/>
      <c r="NZN218" s="630"/>
      <c r="NZO218" s="630"/>
      <c r="NZP218" s="630"/>
      <c r="NZQ218" s="630"/>
      <c r="NZR218" s="630"/>
      <c r="NZS218" s="630"/>
      <c r="NZT218" s="630"/>
      <c r="NZU218" s="630"/>
      <c r="NZV218" s="630"/>
      <c r="NZW218" s="630"/>
      <c r="NZX218" s="630"/>
      <c r="NZY218" s="630"/>
      <c r="NZZ218" s="630"/>
      <c r="OAA218" s="630"/>
      <c r="OAB218" s="630"/>
      <c r="OAC218" s="630"/>
      <c r="OAD218" s="630"/>
      <c r="OAE218" s="630"/>
      <c r="OAF218" s="630"/>
      <c r="OAG218" s="630"/>
      <c r="OAH218" s="630"/>
      <c r="OAI218" s="630"/>
      <c r="OAJ218" s="630"/>
      <c r="OAK218" s="630"/>
      <c r="OAL218" s="630"/>
      <c r="OAM218" s="630"/>
      <c r="OAN218" s="630"/>
      <c r="OAO218" s="630"/>
      <c r="OAP218" s="630"/>
      <c r="OAQ218" s="630"/>
      <c r="OAR218" s="630"/>
      <c r="OAS218" s="630"/>
      <c r="OAT218" s="630"/>
      <c r="OAU218" s="630"/>
      <c r="OAV218" s="630"/>
      <c r="OAW218" s="630"/>
      <c r="OAX218" s="630"/>
      <c r="OAY218" s="630"/>
      <c r="OAZ218" s="630"/>
      <c r="OBA218" s="630"/>
      <c r="OBB218" s="630"/>
      <c r="OBC218" s="630"/>
      <c r="OBD218" s="630"/>
      <c r="OBE218" s="630"/>
      <c r="OBF218" s="630"/>
      <c r="OBG218" s="630"/>
      <c r="OBH218" s="630"/>
      <c r="OBI218" s="630"/>
      <c r="OBJ218" s="630"/>
      <c r="OBK218" s="630"/>
      <c r="OBL218" s="630"/>
      <c r="OBM218" s="630"/>
      <c r="OBN218" s="630"/>
      <c r="OBO218" s="630"/>
      <c r="OBP218" s="630"/>
      <c r="OBQ218" s="630"/>
      <c r="OBR218" s="630"/>
      <c r="OBS218" s="630"/>
      <c r="OBT218" s="630"/>
      <c r="OBU218" s="630"/>
      <c r="OBV218" s="630"/>
      <c r="OBW218" s="630"/>
      <c r="OBX218" s="630"/>
      <c r="OBY218" s="630"/>
      <c r="OBZ218" s="630"/>
      <c r="OCA218" s="630"/>
      <c r="OCB218" s="630"/>
      <c r="OCC218" s="630"/>
      <c r="OCD218" s="630"/>
      <c r="OCE218" s="630"/>
      <c r="OCF218" s="630"/>
      <c r="OCG218" s="630"/>
      <c r="OCH218" s="630"/>
      <c r="OCI218" s="630"/>
      <c r="OCJ218" s="630"/>
      <c r="OCK218" s="630"/>
      <c r="OCL218" s="630"/>
      <c r="OCM218" s="630"/>
      <c r="OCN218" s="630"/>
      <c r="OCO218" s="630"/>
      <c r="OCP218" s="630"/>
      <c r="OCQ218" s="630"/>
      <c r="OCR218" s="630"/>
      <c r="OCS218" s="630"/>
      <c r="OCT218" s="630"/>
      <c r="OCU218" s="630"/>
      <c r="OCV218" s="630"/>
      <c r="OCW218" s="630"/>
      <c r="OCX218" s="630"/>
      <c r="OCY218" s="630"/>
      <c r="OCZ218" s="630"/>
      <c r="ODA218" s="630"/>
      <c r="ODB218" s="630"/>
      <c r="ODC218" s="630"/>
      <c r="ODD218" s="630"/>
      <c r="ODE218" s="630"/>
      <c r="ODF218" s="630"/>
      <c r="ODG218" s="630"/>
      <c r="ODH218" s="630"/>
      <c r="ODI218" s="630"/>
      <c r="ODJ218" s="630"/>
      <c r="ODK218" s="630"/>
      <c r="ODL218" s="630"/>
      <c r="ODM218" s="630"/>
      <c r="ODN218" s="630"/>
      <c r="ODO218" s="630"/>
      <c r="ODP218" s="630"/>
      <c r="ODQ218" s="630"/>
      <c r="ODR218" s="630"/>
      <c r="ODS218" s="630"/>
      <c r="ODT218" s="630"/>
      <c r="ODU218" s="630"/>
      <c r="ODV218" s="630"/>
      <c r="ODW218" s="630"/>
      <c r="ODX218" s="630"/>
      <c r="ODY218" s="630"/>
      <c r="ODZ218" s="630"/>
      <c r="OEA218" s="630"/>
      <c r="OEB218" s="630"/>
      <c r="OEC218" s="630"/>
      <c r="OED218" s="630"/>
      <c r="OEE218" s="630"/>
      <c r="OEF218" s="630"/>
      <c r="OEG218" s="630"/>
      <c r="OEH218" s="630"/>
      <c r="OEI218" s="630"/>
      <c r="OEJ218" s="630"/>
      <c r="OEK218" s="630"/>
      <c r="OEL218" s="630"/>
      <c r="OEM218" s="630"/>
      <c r="OEN218" s="630"/>
      <c r="OEO218" s="630"/>
      <c r="OEP218" s="630"/>
      <c r="OEQ218" s="630"/>
      <c r="OER218" s="630"/>
      <c r="OES218" s="630"/>
      <c r="OET218" s="630"/>
      <c r="OEU218" s="630"/>
      <c r="OEV218" s="630"/>
      <c r="OEW218" s="630"/>
      <c r="OEX218" s="630"/>
      <c r="OEY218" s="630"/>
      <c r="OEZ218" s="630"/>
      <c r="OFA218" s="630"/>
      <c r="OFB218" s="630"/>
      <c r="OFC218" s="630"/>
      <c r="OFD218" s="630"/>
      <c r="OFE218" s="630"/>
      <c r="OFF218" s="630"/>
      <c r="OFG218" s="630"/>
      <c r="OFH218" s="630"/>
      <c r="OFI218" s="630"/>
      <c r="OFJ218" s="630"/>
      <c r="OFK218" s="630"/>
      <c r="OFL218" s="630"/>
      <c r="OFM218" s="630"/>
      <c r="OFN218" s="630"/>
      <c r="OFO218" s="630"/>
      <c r="OFP218" s="630"/>
      <c r="OFQ218" s="630"/>
      <c r="OFR218" s="630"/>
      <c r="OFS218" s="630"/>
      <c r="OFT218" s="630"/>
      <c r="OFU218" s="630"/>
      <c r="OFV218" s="630"/>
      <c r="OFW218" s="630"/>
      <c r="OFX218" s="630"/>
      <c r="OFY218" s="630"/>
      <c r="OFZ218" s="630"/>
      <c r="OGA218" s="630"/>
      <c r="OGB218" s="630"/>
      <c r="OGC218" s="630"/>
      <c r="OGD218" s="630"/>
      <c r="OGE218" s="630"/>
      <c r="OGF218" s="630"/>
      <c r="OGG218" s="630"/>
      <c r="OGH218" s="630"/>
      <c r="OGI218" s="630"/>
      <c r="OGJ218" s="630"/>
      <c r="OGK218" s="630"/>
      <c r="OGL218" s="630"/>
      <c r="OGM218" s="630"/>
      <c r="OGN218" s="630"/>
      <c r="OGO218" s="630"/>
      <c r="OGP218" s="630"/>
      <c r="OGQ218" s="630"/>
      <c r="OGR218" s="630"/>
      <c r="OGS218" s="630"/>
      <c r="OGT218" s="630"/>
      <c r="OGU218" s="630"/>
      <c r="OGV218" s="630"/>
      <c r="OGW218" s="630"/>
      <c r="OGX218" s="630"/>
      <c r="OGY218" s="630"/>
      <c r="OGZ218" s="630"/>
      <c r="OHA218" s="630"/>
      <c r="OHB218" s="630"/>
      <c r="OHC218" s="630"/>
      <c r="OHD218" s="630"/>
      <c r="OHE218" s="630"/>
      <c r="OHF218" s="630"/>
      <c r="OHG218" s="630"/>
      <c r="OHH218" s="630"/>
      <c r="OHI218" s="630"/>
      <c r="OHJ218" s="630"/>
      <c r="OHK218" s="630"/>
      <c r="OHL218" s="630"/>
      <c r="OHM218" s="630"/>
      <c r="OHN218" s="630"/>
      <c r="OHO218" s="630"/>
      <c r="OHP218" s="630"/>
      <c r="OHQ218" s="630"/>
      <c r="OHR218" s="630"/>
      <c r="OHS218" s="630"/>
      <c r="OHT218" s="630"/>
      <c r="OHU218" s="630"/>
      <c r="OHV218" s="630"/>
      <c r="OHW218" s="630"/>
      <c r="OHX218" s="630"/>
      <c r="OHY218" s="630"/>
      <c r="OHZ218" s="630"/>
      <c r="OIA218" s="630"/>
      <c r="OIB218" s="630"/>
      <c r="OIC218" s="630"/>
      <c r="OID218" s="630"/>
      <c r="OIE218" s="630"/>
      <c r="OIF218" s="630"/>
      <c r="OIG218" s="630"/>
      <c r="OIH218" s="630"/>
      <c r="OII218" s="630"/>
      <c r="OIJ218" s="630"/>
      <c r="OIK218" s="630"/>
      <c r="OIL218" s="630"/>
      <c r="OIM218" s="630"/>
      <c r="OIN218" s="630"/>
      <c r="OIO218" s="630"/>
      <c r="OIP218" s="630"/>
      <c r="OIQ218" s="630"/>
      <c r="OIR218" s="630"/>
      <c r="OIS218" s="630"/>
      <c r="OIT218" s="630"/>
      <c r="OIU218" s="630"/>
      <c r="OIV218" s="630"/>
      <c r="OIW218" s="630"/>
      <c r="OIX218" s="630"/>
      <c r="OIY218" s="630"/>
      <c r="OIZ218" s="630"/>
      <c r="OJA218" s="630"/>
      <c r="OJB218" s="630"/>
      <c r="OJC218" s="630"/>
      <c r="OJD218" s="630"/>
      <c r="OJE218" s="630"/>
      <c r="OJF218" s="630"/>
      <c r="OJG218" s="630"/>
      <c r="OJH218" s="630"/>
      <c r="OJI218" s="630"/>
      <c r="OJJ218" s="630"/>
      <c r="OJK218" s="630"/>
      <c r="OJL218" s="630"/>
      <c r="OJM218" s="630"/>
      <c r="OJN218" s="630"/>
      <c r="OJO218" s="630"/>
      <c r="OJP218" s="630"/>
      <c r="OJQ218" s="630"/>
      <c r="OJR218" s="630"/>
      <c r="OJS218" s="630"/>
      <c r="OJT218" s="630"/>
      <c r="OJU218" s="630"/>
      <c r="OJV218" s="630"/>
      <c r="OJW218" s="630"/>
      <c r="OJX218" s="630"/>
      <c r="OJY218" s="630"/>
      <c r="OJZ218" s="630"/>
      <c r="OKA218" s="630"/>
      <c r="OKB218" s="630"/>
      <c r="OKC218" s="630"/>
      <c r="OKD218" s="630"/>
      <c r="OKE218" s="630"/>
      <c r="OKF218" s="630"/>
      <c r="OKG218" s="630"/>
      <c r="OKH218" s="630"/>
      <c r="OKI218" s="630"/>
      <c r="OKJ218" s="630"/>
      <c r="OKK218" s="630"/>
      <c r="OKL218" s="630"/>
      <c r="OKM218" s="630"/>
      <c r="OKN218" s="630"/>
      <c r="OKO218" s="630"/>
      <c r="OKP218" s="630"/>
      <c r="OKQ218" s="630"/>
      <c r="OKR218" s="630"/>
      <c r="OKS218" s="630"/>
      <c r="OKT218" s="630"/>
      <c r="OKU218" s="630"/>
      <c r="OKV218" s="630"/>
      <c r="OKW218" s="630"/>
      <c r="OKX218" s="630"/>
      <c r="OKY218" s="630"/>
      <c r="OKZ218" s="630"/>
      <c r="OLA218" s="630"/>
      <c r="OLB218" s="630"/>
      <c r="OLC218" s="630"/>
      <c r="OLD218" s="630"/>
      <c r="OLE218" s="630"/>
      <c r="OLF218" s="630"/>
      <c r="OLG218" s="630"/>
      <c r="OLH218" s="630"/>
      <c r="OLI218" s="630"/>
      <c r="OLJ218" s="630"/>
      <c r="OLK218" s="630"/>
      <c r="OLL218" s="630"/>
      <c r="OLM218" s="630"/>
      <c r="OLN218" s="630"/>
      <c r="OLO218" s="630"/>
      <c r="OLP218" s="630"/>
      <c r="OLQ218" s="630"/>
      <c r="OLR218" s="630"/>
      <c r="OLS218" s="630"/>
      <c r="OLT218" s="630"/>
      <c r="OLU218" s="630"/>
      <c r="OLV218" s="630"/>
      <c r="OLW218" s="630"/>
      <c r="OLX218" s="630"/>
      <c r="OLY218" s="630"/>
      <c r="OLZ218" s="630"/>
      <c r="OMA218" s="630"/>
      <c r="OMB218" s="630"/>
      <c r="OMC218" s="630"/>
      <c r="OMD218" s="630"/>
      <c r="OME218" s="630"/>
      <c r="OMF218" s="630"/>
      <c r="OMG218" s="630"/>
      <c r="OMH218" s="630"/>
      <c r="OMI218" s="630"/>
      <c r="OMJ218" s="630"/>
      <c r="OMK218" s="630"/>
      <c r="OML218" s="630"/>
      <c r="OMM218" s="630"/>
      <c r="OMN218" s="630"/>
      <c r="OMO218" s="630"/>
      <c r="OMP218" s="630"/>
      <c r="OMQ218" s="630"/>
      <c r="OMR218" s="630"/>
      <c r="OMS218" s="630"/>
      <c r="OMT218" s="630"/>
      <c r="OMU218" s="630"/>
      <c r="OMV218" s="630"/>
      <c r="OMW218" s="630"/>
      <c r="OMX218" s="630"/>
      <c r="OMY218" s="630"/>
      <c r="OMZ218" s="630"/>
      <c r="ONA218" s="630"/>
      <c r="ONB218" s="630"/>
      <c r="ONC218" s="630"/>
      <c r="OND218" s="630"/>
      <c r="ONE218" s="630"/>
      <c r="ONF218" s="630"/>
      <c r="ONG218" s="630"/>
      <c r="ONH218" s="630"/>
      <c r="ONI218" s="630"/>
      <c r="ONJ218" s="630"/>
      <c r="ONK218" s="630"/>
      <c r="ONL218" s="630"/>
      <c r="ONM218" s="630"/>
      <c r="ONN218" s="630"/>
      <c r="ONO218" s="630"/>
      <c r="ONP218" s="630"/>
      <c r="ONQ218" s="630"/>
      <c r="ONR218" s="630"/>
      <c r="ONS218" s="630"/>
      <c r="ONT218" s="630"/>
      <c r="ONU218" s="630"/>
      <c r="ONV218" s="630"/>
      <c r="ONW218" s="630"/>
      <c r="ONX218" s="630"/>
      <c r="ONY218" s="630"/>
      <c r="ONZ218" s="630"/>
      <c r="OOA218" s="630"/>
      <c r="OOB218" s="630"/>
      <c r="OOC218" s="630"/>
      <c r="OOD218" s="630"/>
      <c r="OOE218" s="630"/>
      <c r="OOF218" s="630"/>
      <c r="OOG218" s="630"/>
      <c r="OOH218" s="630"/>
      <c r="OOI218" s="630"/>
      <c r="OOJ218" s="630"/>
      <c r="OOK218" s="630"/>
      <c r="OOL218" s="630"/>
      <c r="OOM218" s="630"/>
      <c r="OON218" s="630"/>
      <c r="OOO218" s="630"/>
      <c r="OOP218" s="630"/>
      <c r="OOQ218" s="630"/>
      <c r="OOR218" s="630"/>
      <c r="OOS218" s="630"/>
      <c r="OOT218" s="630"/>
      <c r="OOU218" s="630"/>
      <c r="OOV218" s="630"/>
      <c r="OOW218" s="630"/>
      <c r="OOX218" s="630"/>
      <c r="OOY218" s="630"/>
      <c r="OOZ218" s="630"/>
      <c r="OPA218" s="630"/>
      <c r="OPB218" s="630"/>
      <c r="OPC218" s="630"/>
      <c r="OPD218" s="630"/>
      <c r="OPE218" s="630"/>
      <c r="OPF218" s="630"/>
      <c r="OPG218" s="630"/>
      <c r="OPH218" s="630"/>
      <c r="OPI218" s="630"/>
      <c r="OPJ218" s="630"/>
      <c r="OPK218" s="630"/>
      <c r="OPL218" s="630"/>
      <c r="OPM218" s="630"/>
      <c r="OPN218" s="630"/>
      <c r="OPO218" s="630"/>
      <c r="OPP218" s="630"/>
      <c r="OPQ218" s="630"/>
      <c r="OPR218" s="630"/>
      <c r="OPS218" s="630"/>
      <c r="OPT218" s="630"/>
      <c r="OPU218" s="630"/>
      <c r="OPV218" s="630"/>
      <c r="OPW218" s="630"/>
      <c r="OPX218" s="630"/>
      <c r="OPY218" s="630"/>
      <c r="OPZ218" s="630"/>
      <c r="OQA218" s="630"/>
      <c r="OQB218" s="630"/>
      <c r="OQC218" s="630"/>
      <c r="OQD218" s="630"/>
      <c r="OQE218" s="630"/>
      <c r="OQF218" s="630"/>
      <c r="OQG218" s="630"/>
      <c r="OQH218" s="630"/>
      <c r="OQI218" s="630"/>
      <c r="OQJ218" s="630"/>
      <c r="OQK218" s="630"/>
      <c r="OQL218" s="630"/>
      <c r="OQM218" s="630"/>
      <c r="OQN218" s="630"/>
      <c r="OQO218" s="630"/>
      <c r="OQP218" s="630"/>
      <c r="OQQ218" s="630"/>
      <c r="OQR218" s="630"/>
      <c r="OQS218" s="630"/>
      <c r="OQT218" s="630"/>
      <c r="OQU218" s="630"/>
      <c r="OQV218" s="630"/>
      <c r="OQW218" s="630"/>
      <c r="OQX218" s="630"/>
      <c r="OQY218" s="630"/>
      <c r="OQZ218" s="630"/>
      <c r="ORA218" s="630"/>
      <c r="ORB218" s="630"/>
      <c r="ORC218" s="630"/>
      <c r="ORD218" s="630"/>
      <c r="ORE218" s="630"/>
      <c r="ORF218" s="630"/>
      <c r="ORG218" s="630"/>
      <c r="ORH218" s="630"/>
      <c r="ORI218" s="630"/>
      <c r="ORJ218" s="630"/>
      <c r="ORK218" s="630"/>
      <c r="ORL218" s="630"/>
      <c r="ORM218" s="630"/>
      <c r="ORN218" s="630"/>
      <c r="ORO218" s="630"/>
      <c r="ORP218" s="630"/>
      <c r="ORQ218" s="630"/>
      <c r="ORR218" s="630"/>
      <c r="ORS218" s="630"/>
      <c r="ORT218" s="630"/>
      <c r="ORU218" s="630"/>
      <c r="ORV218" s="630"/>
      <c r="ORW218" s="630"/>
      <c r="ORX218" s="630"/>
      <c r="ORY218" s="630"/>
      <c r="ORZ218" s="630"/>
      <c r="OSA218" s="630"/>
      <c r="OSB218" s="630"/>
      <c r="OSC218" s="630"/>
      <c r="OSD218" s="630"/>
      <c r="OSE218" s="630"/>
      <c r="OSF218" s="630"/>
      <c r="OSG218" s="630"/>
      <c r="OSH218" s="630"/>
      <c r="OSI218" s="630"/>
      <c r="OSJ218" s="630"/>
      <c r="OSK218" s="630"/>
      <c r="OSL218" s="630"/>
      <c r="OSM218" s="630"/>
      <c r="OSN218" s="630"/>
      <c r="OSO218" s="630"/>
      <c r="OSP218" s="630"/>
      <c r="OSQ218" s="630"/>
      <c r="OSR218" s="630"/>
      <c r="OSS218" s="630"/>
      <c r="OST218" s="630"/>
      <c r="OSU218" s="630"/>
      <c r="OSV218" s="630"/>
      <c r="OSW218" s="630"/>
      <c r="OSX218" s="630"/>
      <c r="OSY218" s="630"/>
      <c r="OSZ218" s="630"/>
      <c r="OTA218" s="630"/>
      <c r="OTB218" s="630"/>
      <c r="OTC218" s="630"/>
      <c r="OTD218" s="630"/>
      <c r="OTE218" s="630"/>
      <c r="OTF218" s="630"/>
      <c r="OTG218" s="630"/>
      <c r="OTH218" s="630"/>
      <c r="OTI218" s="630"/>
      <c r="OTJ218" s="630"/>
      <c r="OTK218" s="630"/>
      <c r="OTL218" s="630"/>
      <c r="OTM218" s="630"/>
      <c r="OTN218" s="630"/>
      <c r="OTO218" s="630"/>
      <c r="OTP218" s="630"/>
      <c r="OTQ218" s="630"/>
      <c r="OTR218" s="630"/>
      <c r="OTS218" s="630"/>
      <c r="OTT218" s="630"/>
      <c r="OTU218" s="630"/>
      <c r="OTV218" s="630"/>
      <c r="OTW218" s="630"/>
      <c r="OTX218" s="630"/>
      <c r="OTY218" s="630"/>
      <c r="OTZ218" s="630"/>
      <c r="OUA218" s="630"/>
      <c r="OUB218" s="630"/>
      <c r="OUC218" s="630"/>
      <c r="OUD218" s="630"/>
      <c r="OUE218" s="630"/>
      <c r="OUF218" s="630"/>
      <c r="OUG218" s="630"/>
      <c r="OUH218" s="630"/>
      <c r="OUI218" s="630"/>
      <c r="OUJ218" s="630"/>
      <c r="OUK218" s="630"/>
      <c r="OUL218" s="630"/>
      <c r="OUM218" s="630"/>
      <c r="OUN218" s="630"/>
      <c r="OUO218" s="630"/>
      <c r="OUP218" s="630"/>
      <c r="OUQ218" s="630"/>
      <c r="OUR218" s="630"/>
      <c r="OUS218" s="630"/>
      <c r="OUT218" s="630"/>
      <c r="OUU218" s="630"/>
      <c r="OUV218" s="630"/>
      <c r="OUW218" s="630"/>
      <c r="OUX218" s="630"/>
      <c r="OUY218" s="630"/>
      <c r="OUZ218" s="630"/>
      <c r="OVA218" s="630"/>
      <c r="OVB218" s="630"/>
      <c r="OVC218" s="630"/>
      <c r="OVD218" s="630"/>
      <c r="OVE218" s="630"/>
      <c r="OVF218" s="630"/>
      <c r="OVG218" s="630"/>
      <c r="OVH218" s="630"/>
      <c r="OVI218" s="630"/>
      <c r="OVJ218" s="630"/>
      <c r="OVK218" s="630"/>
      <c r="OVL218" s="630"/>
      <c r="OVM218" s="630"/>
      <c r="OVN218" s="630"/>
      <c r="OVO218" s="630"/>
      <c r="OVP218" s="630"/>
      <c r="OVQ218" s="630"/>
      <c r="OVR218" s="630"/>
      <c r="OVS218" s="630"/>
      <c r="OVT218" s="630"/>
      <c r="OVU218" s="630"/>
      <c r="OVV218" s="630"/>
      <c r="OVW218" s="630"/>
      <c r="OVX218" s="630"/>
      <c r="OVY218" s="630"/>
      <c r="OVZ218" s="630"/>
      <c r="OWA218" s="630"/>
      <c r="OWB218" s="630"/>
      <c r="OWC218" s="630"/>
      <c r="OWD218" s="630"/>
      <c r="OWE218" s="630"/>
      <c r="OWF218" s="630"/>
      <c r="OWG218" s="630"/>
      <c r="OWH218" s="630"/>
      <c r="OWI218" s="630"/>
      <c r="OWJ218" s="630"/>
      <c r="OWK218" s="630"/>
      <c r="OWL218" s="630"/>
      <c r="OWM218" s="630"/>
      <c r="OWN218" s="630"/>
      <c r="OWO218" s="630"/>
      <c r="OWP218" s="630"/>
      <c r="OWQ218" s="630"/>
      <c r="OWR218" s="630"/>
      <c r="OWS218" s="630"/>
      <c r="OWT218" s="630"/>
      <c r="OWU218" s="630"/>
      <c r="OWV218" s="630"/>
      <c r="OWW218" s="630"/>
      <c r="OWX218" s="630"/>
      <c r="OWY218" s="630"/>
      <c r="OWZ218" s="630"/>
      <c r="OXA218" s="630"/>
      <c r="OXB218" s="630"/>
      <c r="OXC218" s="630"/>
      <c r="OXD218" s="630"/>
      <c r="OXE218" s="630"/>
      <c r="OXF218" s="630"/>
      <c r="OXG218" s="630"/>
      <c r="OXH218" s="630"/>
      <c r="OXI218" s="630"/>
      <c r="OXJ218" s="630"/>
      <c r="OXK218" s="630"/>
      <c r="OXL218" s="630"/>
      <c r="OXM218" s="630"/>
      <c r="OXN218" s="630"/>
      <c r="OXO218" s="630"/>
      <c r="OXP218" s="630"/>
      <c r="OXQ218" s="630"/>
      <c r="OXR218" s="630"/>
      <c r="OXS218" s="630"/>
      <c r="OXT218" s="630"/>
      <c r="OXU218" s="630"/>
      <c r="OXV218" s="630"/>
      <c r="OXW218" s="630"/>
      <c r="OXX218" s="630"/>
      <c r="OXY218" s="630"/>
      <c r="OXZ218" s="630"/>
      <c r="OYA218" s="630"/>
      <c r="OYB218" s="630"/>
      <c r="OYC218" s="630"/>
      <c r="OYD218" s="630"/>
      <c r="OYE218" s="630"/>
      <c r="OYF218" s="630"/>
      <c r="OYG218" s="630"/>
      <c r="OYH218" s="630"/>
      <c r="OYI218" s="630"/>
      <c r="OYJ218" s="630"/>
      <c r="OYK218" s="630"/>
      <c r="OYL218" s="630"/>
      <c r="OYM218" s="630"/>
      <c r="OYN218" s="630"/>
      <c r="OYO218" s="630"/>
      <c r="OYP218" s="630"/>
      <c r="OYQ218" s="630"/>
      <c r="OYR218" s="630"/>
      <c r="OYS218" s="630"/>
      <c r="OYT218" s="630"/>
      <c r="OYU218" s="630"/>
      <c r="OYV218" s="630"/>
      <c r="OYW218" s="630"/>
      <c r="OYX218" s="630"/>
      <c r="OYY218" s="630"/>
      <c r="OYZ218" s="630"/>
      <c r="OZA218" s="630"/>
      <c r="OZB218" s="630"/>
      <c r="OZC218" s="630"/>
      <c r="OZD218" s="630"/>
      <c r="OZE218" s="630"/>
      <c r="OZF218" s="630"/>
      <c r="OZG218" s="630"/>
      <c r="OZH218" s="630"/>
      <c r="OZI218" s="630"/>
      <c r="OZJ218" s="630"/>
      <c r="OZK218" s="630"/>
      <c r="OZL218" s="630"/>
      <c r="OZM218" s="630"/>
      <c r="OZN218" s="630"/>
      <c r="OZO218" s="630"/>
      <c r="OZP218" s="630"/>
      <c r="OZQ218" s="630"/>
      <c r="OZR218" s="630"/>
      <c r="OZS218" s="630"/>
      <c r="OZT218" s="630"/>
      <c r="OZU218" s="630"/>
      <c r="OZV218" s="630"/>
      <c r="OZW218" s="630"/>
      <c r="OZX218" s="630"/>
      <c r="OZY218" s="630"/>
      <c r="OZZ218" s="630"/>
      <c r="PAA218" s="630"/>
      <c r="PAB218" s="630"/>
      <c r="PAC218" s="630"/>
      <c r="PAD218" s="630"/>
      <c r="PAE218" s="630"/>
      <c r="PAF218" s="630"/>
      <c r="PAG218" s="630"/>
      <c r="PAH218" s="630"/>
      <c r="PAI218" s="630"/>
      <c r="PAJ218" s="630"/>
      <c r="PAK218" s="630"/>
      <c r="PAL218" s="630"/>
      <c r="PAM218" s="630"/>
      <c r="PAN218" s="630"/>
      <c r="PAO218" s="630"/>
      <c r="PAP218" s="630"/>
      <c r="PAQ218" s="630"/>
      <c r="PAR218" s="630"/>
      <c r="PAS218" s="630"/>
      <c r="PAT218" s="630"/>
      <c r="PAU218" s="630"/>
      <c r="PAV218" s="630"/>
      <c r="PAW218" s="630"/>
      <c r="PAX218" s="630"/>
      <c r="PAY218" s="630"/>
      <c r="PAZ218" s="630"/>
      <c r="PBA218" s="630"/>
      <c r="PBB218" s="630"/>
      <c r="PBC218" s="630"/>
      <c r="PBD218" s="630"/>
      <c r="PBE218" s="630"/>
      <c r="PBF218" s="630"/>
      <c r="PBG218" s="630"/>
      <c r="PBH218" s="630"/>
      <c r="PBI218" s="630"/>
      <c r="PBJ218" s="630"/>
      <c r="PBK218" s="630"/>
      <c r="PBL218" s="630"/>
      <c r="PBM218" s="630"/>
      <c r="PBN218" s="630"/>
      <c r="PBO218" s="630"/>
      <c r="PBP218" s="630"/>
      <c r="PBQ218" s="630"/>
      <c r="PBR218" s="630"/>
      <c r="PBS218" s="630"/>
      <c r="PBT218" s="630"/>
      <c r="PBU218" s="630"/>
      <c r="PBV218" s="630"/>
      <c r="PBW218" s="630"/>
      <c r="PBX218" s="630"/>
      <c r="PBY218" s="630"/>
      <c r="PBZ218" s="630"/>
      <c r="PCA218" s="630"/>
      <c r="PCB218" s="630"/>
      <c r="PCC218" s="630"/>
      <c r="PCD218" s="630"/>
      <c r="PCE218" s="630"/>
      <c r="PCF218" s="630"/>
      <c r="PCG218" s="630"/>
      <c r="PCH218" s="630"/>
      <c r="PCI218" s="630"/>
      <c r="PCJ218" s="630"/>
      <c r="PCK218" s="630"/>
      <c r="PCL218" s="630"/>
      <c r="PCM218" s="630"/>
      <c r="PCN218" s="630"/>
      <c r="PCO218" s="630"/>
      <c r="PCP218" s="630"/>
      <c r="PCQ218" s="630"/>
      <c r="PCR218" s="630"/>
      <c r="PCS218" s="630"/>
      <c r="PCT218" s="630"/>
      <c r="PCU218" s="630"/>
      <c r="PCV218" s="630"/>
      <c r="PCW218" s="630"/>
      <c r="PCX218" s="630"/>
      <c r="PCY218" s="630"/>
      <c r="PCZ218" s="630"/>
      <c r="PDA218" s="630"/>
      <c r="PDB218" s="630"/>
      <c r="PDC218" s="630"/>
      <c r="PDD218" s="630"/>
      <c r="PDE218" s="630"/>
      <c r="PDF218" s="630"/>
      <c r="PDG218" s="630"/>
      <c r="PDH218" s="630"/>
      <c r="PDI218" s="630"/>
      <c r="PDJ218" s="630"/>
      <c r="PDK218" s="630"/>
      <c r="PDL218" s="630"/>
      <c r="PDM218" s="630"/>
      <c r="PDN218" s="630"/>
      <c r="PDO218" s="630"/>
      <c r="PDP218" s="630"/>
      <c r="PDQ218" s="630"/>
      <c r="PDR218" s="630"/>
      <c r="PDS218" s="630"/>
      <c r="PDT218" s="630"/>
      <c r="PDU218" s="630"/>
      <c r="PDV218" s="630"/>
      <c r="PDW218" s="630"/>
      <c r="PDX218" s="630"/>
      <c r="PDY218" s="630"/>
      <c r="PDZ218" s="630"/>
      <c r="PEA218" s="630"/>
      <c r="PEB218" s="630"/>
      <c r="PEC218" s="630"/>
      <c r="PED218" s="630"/>
      <c r="PEE218" s="630"/>
      <c r="PEF218" s="630"/>
      <c r="PEG218" s="630"/>
      <c r="PEH218" s="630"/>
      <c r="PEI218" s="630"/>
      <c r="PEJ218" s="630"/>
      <c r="PEK218" s="630"/>
      <c r="PEL218" s="630"/>
      <c r="PEM218" s="630"/>
      <c r="PEN218" s="630"/>
      <c r="PEO218" s="630"/>
      <c r="PEP218" s="630"/>
      <c r="PEQ218" s="630"/>
      <c r="PER218" s="630"/>
      <c r="PES218" s="630"/>
      <c r="PET218" s="630"/>
      <c r="PEU218" s="630"/>
      <c r="PEV218" s="630"/>
      <c r="PEW218" s="630"/>
      <c r="PEX218" s="630"/>
      <c r="PEY218" s="630"/>
      <c r="PEZ218" s="630"/>
      <c r="PFA218" s="630"/>
      <c r="PFB218" s="630"/>
      <c r="PFC218" s="630"/>
      <c r="PFD218" s="630"/>
      <c r="PFE218" s="630"/>
      <c r="PFF218" s="630"/>
      <c r="PFG218" s="630"/>
      <c r="PFH218" s="630"/>
      <c r="PFI218" s="630"/>
      <c r="PFJ218" s="630"/>
      <c r="PFK218" s="630"/>
      <c r="PFL218" s="630"/>
      <c r="PFM218" s="630"/>
      <c r="PFN218" s="630"/>
      <c r="PFO218" s="630"/>
      <c r="PFP218" s="630"/>
      <c r="PFQ218" s="630"/>
      <c r="PFR218" s="630"/>
      <c r="PFS218" s="630"/>
      <c r="PFT218" s="630"/>
      <c r="PFU218" s="630"/>
      <c r="PFV218" s="630"/>
      <c r="PFW218" s="630"/>
      <c r="PFX218" s="630"/>
      <c r="PFY218" s="630"/>
      <c r="PFZ218" s="630"/>
      <c r="PGA218" s="630"/>
      <c r="PGB218" s="630"/>
      <c r="PGC218" s="630"/>
      <c r="PGD218" s="630"/>
      <c r="PGE218" s="630"/>
      <c r="PGF218" s="630"/>
      <c r="PGG218" s="630"/>
      <c r="PGH218" s="630"/>
      <c r="PGI218" s="630"/>
      <c r="PGJ218" s="630"/>
      <c r="PGK218" s="630"/>
      <c r="PGL218" s="630"/>
      <c r="PGM218" s="630"/>
      <c r="PGN218" s="630"/>
      <c r="PGO218" s="630"/>
      <c r="PGP218" s="630"/>
      <c r="PGQ218" s="630"/>
      <c r="PGR218" s="630"/>
      <c r="PGS218" s="630"/>
      <c r="PGT218" s="630"/>
      <c r="PGU218" s="630"/>
      <c r="PGV218" s="630"/>
      <c r="PGW218" s="630"/>
      <c r="PGX218" s="630"/>
      <c r="PGY218" s="630"/>
      <c r="PGZ218" s="630"/>
      <c r="PHA218" s="630"/>
      <c r="PHB218" s="630"/>
      <c r="PHC218" s="630"/>
      <c r="PHD218" s="630"/>
      <c r="PHE218" s="630"/>
      <c r="PHF218" s="630"/>
      <c r="PHG218" s="630"/>
      <c r="PHH218" s="630"/>
      <c r="PHI218" s="630"/>
      <c r="PHJ218" s="630"/>
      <c r="PHK218" s="630"/>
      <c r="PHL218" s="630"/>
      <c r="PHM218" s="630"/>
      <c r="PHN218" s="630"/>
      <c r="PHO218" s="630"/>
      <c r="PHP218" s="630"/>
      <c r="PHQ218" s="630"/>
      <c r="PHR218" s="630"/>
      <c r="PHS218" s="630"/>
      <c r="PHT218" s="630"/>
      <c r="PHU218" s="630"/>
      <c r="PHV218" s="630"/>
      <c r="PHW218" s="630"/>
      <c r="PHX218" s="630"/>
      <c r="PHY218" s="630"/>
      <c r="PHZ218" s="630"/>
      <c r="PIA218" s="630"/>
      <c r="PIB218" s="630"/>
      <c r="PIC218" s="630"/>
      <c r="PID218" s="630"/>
      <c r="PIE218" s="630"/>
      <c r="PIF218" s="630"/>
      <c r="PIG218" s="630"/>
      <c r="PIH218" s="630"/>
      <c r="PII218" s="630"/>
      <c r="PIJ218" s="630"/>
      <c r="PIK218" s="630"/>
      <c r="PIL218" s="630"/>
      <c r="PIM218" s="630"/>
      <c r="PIN218" s="630"/>
      <c r="PIO218" s="630"/>
      <c r="PIP218" s="630"/>
      <c r="PIQ218" s="630"/>
      <c r="PIR218" s="630"/>
      <c r="PIS218" s="630"/>
      <c r="PIT218" s="630"/>
      <c r="PIU218" s="630"/>
      <c r="PIV218" s="630"/>
      <c r="PIW218" s="630"/>
      <c r="PIX218" s="630"/>
      <c r="PIY218" s="630"/>
      <c r="PIZ218" s="630"/>
      <c r="PJA218" s="630"/>
      <c r="PJB218" s="630"/>
      <c r="PJC218" s="630"/>
      <c r="PJD218" s="630"/>
      <c r="PJE218" s="630"/>
      <c r="PJF218" s="630"/>
      <c r="PJG218" s="630"/>
      <c r="PJH218" s="630"/>
      <c r="PJI218" s="630"/>
      <c r="PJJ218" s="630"/>
      <c r="PJK218" s="630"/>
      <c r="PJL218" s="630"/>
      <c r="PJM218" s="630"/>
      <c r="PJN218" s="630"/>
      <c r="PJO218" s="630"/>
      <c r="PJP218" s="630"/>
      <c r="PJQ218" s="630"/>
      <c r="PJR218" s="630"/>
      <c r="PJS218" s="630"/>
      <c r="PJT218" s="630"/>
      <c r="PJU218" s="630"/>
      <c r="PJV218" s="630"/>
      <c r="PJW218" s="630"/>
      <c r="PJX218" s="630"/>
      <c r="PJY218" s="630"/>
      <c r="PJZ218" s="630"/>
      <c r="PKA218" s="630"/>
      <c r="PKB218" s="630"/>
      <c r="PKC218" s="630"/>
      <c r="PKD218" s="630"/>
      <c r="PKE218" s="630"/>
      <c r="PKF218" s="630"/>
      <c r="PKG218" s="630"/>
      <c r="PKH218" s="630"/>
      <c r="PKI218" s="630"/>
      <c r="PKJ218" s="630"/>
      <c r="PKK218" s="630"/>
      <c r="PKL218" s="630"/>
      <c r="PKM218" s="630"/>
      <c r="PKN218" s="630"/>
      <c r="PKO218" s="630"/>
      <c r="PKP218" s="630"/>
      <c r="PKQ218" s="630"/>
      <c r="PKR218" s="630"/>
      <c r="PKS218" s="630"/>
      <c r="PKT218" s="630"/>
      <c r="PKU218" s="630"/>
      <c r="PKV218" s="630"/>
      <c r="PKW218" s="630"/>
      <c r="PKX218" s="630"/>
      <c r="PKY218" s="630"/>
      <c r="PKZ218" s="630"/>
      <c r="PLA218" s="630"/>
      <c r="PLB218" s="630"/>
      <c r="PLC218" s="630"/>
      <c r="PLD218" s="630"/>
      <c r="PLE218" s="630"/>
      <c r="PLF218" s="630"/>
      <c r="PLG218" s="630"/>
      <c r="PLH218" s="630"/>
      <c r="PLI218" s="630"/>
      <c r="PLJ218" s="630"/>
      <c r="PLK218" s="630"/>
      <c r="PLL218" s="630"/>
      <c r="PLM218" s="630"/>
      <c r="PLN218" s="630"/>
      <c r="PLO218" s="630"/>
      <c r="PLP218" s="630"/>
      <c r="PLQ218" s="630"/>
      <c r="PLR218" s="630"/>
      <c r="PLS218" s="630"/>
      <c r="PLT218" s="630"/>
      <c r="PLU218" s="630"/>
      <c r="PLV218" s="630"/>
      <c r="PLW218" s="630"/>
      <c r="PLX218" s="630"/>
      <c r="PLY218" s="630"/>
      <c r="PLZ218" s="630"/>
      <c r="PMA218" s="630"/>
      <c r="PMB218" s="630"/>
      <c r="PMC218" s="630"/>
      <c r="PMD218" s="630"/>
      <c r="PME218" s="630"/>
      <c r="PMF218" s="630"/>
      <c r="PMG218" s="630"/>
      <c r="PMH218" s="630"/>
      <c r="PMI218" s="630"/>
      <c r="PMJ218" s="630"/>
      <c r="PMK218" s="630"/>
      <c r="PML218" s="630"/>
      <c r="PMM218" s="630"/>
      <c r="PMN218" s="630"/>
      <c r="PMO218" s="630"/>
      <c r="PMP218" s="630"/>
      <c r="PMQ218" s="630"/>
      <c r="PMR218" s="630"/>
      <c r="PMS218" s="630"/>
      <c r="PMT218" s="630"/>
      <c r="PMU218" s="630"/>
      <c r="PMV218" s="630"/>
      <c r="PMW218" s="630"/>
      <c r="PMX218" s="630"/>
      <c r="PMY218" s="630"/>
      <c r="PMZ218" s="630"/>
      <c r="PNA218" s="630"/>
      <c r="PNB218" s="630"/>
      <c r="PNC218" s="630"/>
      <c r="PND218" s="630"/>
      <c r="PNE218" s="630"/>
      <c r="PNF218" s="630"/>
      <c r="PNG218" s="630"/>
      <c r="PNH218" s="630"/>
      <c r="PNI218" s="630"/>
      <c r="PNJ218" s="630"/>
      <c r="PNK218" s="630"/>
      <c r="PNL218" s="630"/>
      <c r="PNM218" s="630"/>
      <c r="PNN218" s="630"/>
      <c r="PNO218" s="630"/>
      <c r="PNP218" s="630"/>
      <c r="PNQ218" s="630"/>
      <c r="PNR218" s="630"/>
      <c r="PNS218" s="630"/>
      <c r="PNT218" s="630"/>
      <c r="PNU218" s="630"/>
      <c r="PNV218" s="630"/>
      <c r="PNW218" s="630"/>
      <c r="PNX218" s="630"/>
      <c r="PNY218" s="630"/>
      <c r="PNZ218" s="630"/>
      <c r="POA218" s="630"/>
      <c r="POB218" s="630"/>
      <c r="POC218" s="630"/>
      <c r="POD218" s="630"/>
      <c r="POE218" s="630"/>
      <c r="POF218" s="630"/>
      <c r="POG218" s="630"/>
      <c r="POH218" s="630"/>
      <c r="POI218" s="630"/>
      <c r="POJ218" s="630"/>
      <c r="POK218" s="630"/>
      <c r="POL218" s="630"/>
      <c r="POM218" s="630"/>
      <c r="PON218" s="630"/>
      <c r="POO218" s="630"/>
      <c r="POP218" s="630"/>
      <c r="POQ218" s="630"/>
      <c r="POR218" s="630"/>
      <c r="POS218" s="630"/>
      <c r="POT218" s="630"/>
      <c r="POU218" s="630"/>
      <c r="POV218" s="630"/>
      <c r="POW218" s="630"/>
      <c r="POX218" s="630"/>
      <c r="POY218" s="630"/>
      <c r="POZ218" s="630"/>
      <c r="PPA218" s="630"/>
      <c r="PPB218" s="630"/>
      <c r="PPC218" s="630"/>
      <c r="PPD218" s="630"/>
      <c r="PPE218" s="630"/>
      <c r="PPF218" s="630"/>
      <c r="PPG218" s="630"/>
      <c r="PPH218" s="630"/>
      <c r="PPI218" s="630"/>
      <c r="PPJ218" s="630"/>
      <c r="PPK218" s="630"/>
      <c r="PPL218" s="630"/>
      <c r="PPM218" s="630"/>
      <c r="PPN218" s="630"/>
      <c r="PPO218" s="630"/>
      <c r="PPP218" s="630"/>
      <c r="PPQ218" s="630"/>
      <c r="PPR218" s="630"/>
      <c r="PPS218" s="630"/>
      <c r="PPT218" s="630"/>
      <c r="PPU218" s="630"/>
      <c r="PPV218" s="630"/>
      <c r="PPW218" s="630"/>
      <c r="PPX218" s="630"/>
      <c r="PPY218" s="630"/>
      <c r="PPZ218" s="630"/>
      <c r="PQA218" s="630"/>
      <c r="PQB218" s="630"/>
      <c r="PQC218" s="630"/>
      <c r="PQD218" s="630"/>
      <c r="PQE218" s="630"/>
      <c r="PQF218" s="630"/>
      <c r="PQG218" s="630"/>
      <c r="PQH218" s="630"/>
      <c r="PQI218" s="630"/>
      <c r="PQJ218" s="630"/>
      <c r="PQK218" s="630"/>
      <c r="PQL218" s="630"/>
      <c r="PQM218" s="630"/>
      <c r="PQN218" s="630"/>
      <c r="PQO218" s="630"/>
      <c r="PQP218" s="630"/>
      <c r="PQQ218" s="630"/>
      <c r="PQR218" s="630"/>
      <c r="PQS218" s="630"/>
      <c r="PQT218" s="630"/>
      <c r="PQU218" s="630"/>
      <c r="PQV218" s="630"/>
      <c r="PQW218" s="630"/>
      <c r="PQX218" s="630"/>
      <c r="PQY218" s="630"/>
      <c r="PQZ218" s="630"/>
      <c r="PRA218" s="630"/>
      <c r="PRB218" s="630"/>
      <c r="PRC218" s="630"/>
      <c r="PRD218" s="630"/>
      <c r="PRE218" s="630"/>
      <c r="PRF218" s="630"/>
      <c r="PRG218" s="630"/>
      <c r="PRH218" s="630"/>
      <c r="PRI218" s="630"/>
      <c r="PRJ218" s="630"/>
      <c r="PRK218" s="630"/>
      <c r="PRL218" s="630"/>
      <c r="PRM218" s="630"/>
      <c r="PRN218" s="630"/>
      <c r="PRO218" s="630"/>
      <c r="PRP218" s="630"/>
      <c r="PRQ218" s="630"/>
      <c r="PRR218" s="630"/>
      <c r="PRS218" s="630"/>
      <c r="PRT218" s="630"/>
      <c r="PRU218" s="630"/>
      <c r="PRV218" s="630"/>
      <c r="PRW218" s="630"/>
      <c r="PRX218" s="630"/>
      <c r="PRY218" s="630"/>
      <c r="PRZ218" s="630"/>
      <c r="PSA218" s="630"/>
      <c r="PSB218" s="630"/>
      <c r="PSC218" s="630"/>
      <c r="PSD218" s="630"/>
      <c r="PSE218" s="630"/>
      <c r="PSF218" s="630"/>
      <c r="PSG218" s="630"/>
      <c r="PSH218" s="630"/>
      <c r="PSI218" s="630"/>
      <c r="PSJ218" s="630"/>
      <c r="PSK218" s="630"/>
      <c r="PSL218" s="630"/>
      <c r="PSM218" s="630"/>
      <c r="PSN218" s="630"/>
      <c r="PSO218" s="630"/>
      <c r="PSP218" s="630"/>
      <c r="PSQ218" s="630"/>
      <c r="PSR218" s="630"/>
      <c r="PSS218" s="630"/>
      <c r="PST218" s="630"/>
      <c r="PSU218" s="630"/>
      <c r="PSV218" s="630"/>
      <c r="PSW218" s="630"/>
      <c r="PSX218" s="630"/>
      <c r="PSY218" s="630"/>
      <c r="PSZ218" s="630"/>
      <c r="PTA218" s="630"/>
      <c r="PTB218" s="630"/>
      <c r="PTC218" s="630"/>
      <c r="PTD218" s="630"/>
      <c r="PTE218" s="630"/>
      <c r="PTF218" s="630"/>
      <c r="PTG218" s="630"/>
      <c r="PTH218" s="630"/>
      <c r="PTI218" s="630"/>
      <c r="PTJ218" s="630"/>
      <c r="PTK218" s="630"/>
      <c r="PTL218" s="630"/>
      <c r="PTM218" s="630"/>
      <c r="PTN218" s="630"/>
      <c r="PTO218" s="630"/>
      <c r="PTP218" s="630"/>
      <c r="PTQ218" s="630"/>
      <c r="PTR218" s="630"/>
      <c r="PTS218" s="630"/>
      <c r="PTT218" s="630"/>
      <c r="PTU218" s="630"/>
      <c r="PTV218" s="630"/>
      <c r="PTW218" s="630"/>
      <c r="PTX218" s="630"/>
      <c r="PTY218" s="630"/>
      <c r="PTZ218" s="630"/>
      <c r="PUA218" s="630"/>
      <c r="PUB218" s="630"/>
      <c r="PUC218" s="630"/>
      <c r="PUD218" s="630"/>
      <c r="PUE218" s="630"/>
      <c r="PUF218" s="630"/>
      <c r="PUG218" s="630"/>
      <c r="PUH218" s="630"/>
      <c r="PUI218" s="630"/>
      <c r="PUJ218" s="630"/>
      <c r="PUK218" s="630"/>
      <c r="PUL218" s="630"/>
      <c r="PUM218" s="630"/>
      <c r="PUN218" s="630"/>
      <c r="PUO218" s="630"/>
      <c r="PUP218" s="630"/>
      <c r="PUQ218" s="630"/>
      <c r="PUR218" s="630"/>
      <c r="PUS218" s="630"/>
      <c r="PUT218" s="630"/>
      <c r="PUU218" s="630"/>
      <c r="PUV218" s="630"/>
      <c r="PUW218" s="630"/>
      <c r="PUX218" s="630"/>
      <c r="PUY218" s="630"/>
      <c r="PUZ218" s="630"/>
      <c r="PVA218" s="630"/>
      <c r="PVB218" s="630"/>
      <c r="PVC218" s="630"/>
      <c r="PVD218" s="630"/>
      <c r="PVE218" s="630"/>
      <c r="PVF218" s="630"/>
      <c r="PVG218" s="630"/>
      <c r="PVH218" s="630"/>
      <c r="PVI218" s="630"/>
      <c r="PVJ218" s="630"/>
      <c r="PVK218" s="630"/>
      <c r="PVL218" s="630"/>
      <c r="PVM218" s="630"/>
      <c r="PVN218" s="630"/>
      <c r="PVO218" s="630"/>
      <c r="PVP218" s="630"/>
      <c r="PVQ218" s="630"/>
      <c r="PVR218" s="630"/>
      <c r="PVS218" s="630"/>
      <c r="PVT218" s="630"/>
      <c r="PVU218" s="630"/>
      <c r="PVV218" s="630"/>
      <c r="PVW218" s="630"/>
      <c r="PVX218" s="630"/>
      <c r="PVY218" s="630"/>
      <c r="PVZ218" s="630"/>
      <c r="PWA218" s="630"/>
      <c r="PWB218" s="630"/>
      <c r="PWC218" s="630"/>
      <c r="PWD218" s="630"/>
      <c r="PWE218" s="630"/>
      <c r="PWF218" s="630"/>
      <c r="PWG218" s="630"/>
      <c r="PWH218" s="630"/>
      <c r="PWI218" s="630"/>
      <c r="PWJ218" s="630"/>
      <c r="PWK218" s="630"/>
      <c r="PWL218" s="630"/>
      <c r="PWM218" s="630"/>
      <c r="PWN218" s="630"/>
      <c r="PWO218" s="630"/>
      <c r="PWP218" s="630"/>
      <c r="PWQ218" s="630"/>
      <c r="PWR218" s="630"/>
      <c r="PWS218" s="630"/>
      <c r="PWT218" s="630"/>
      <c r="PWU218" s="630"/>
      <c r="PWV218" s="630"/>
      <c r="PWW218" s="630"/>
      <c r="PWX218" s="630"/>
      <c r="PWY218" s="630"/>
      <c r="PWZ218" s="630"/>
      <c r="PXA218" s="630"/>
      <c r="PXB218" s="630"/>
      <c r="PXC218" s="630"/>
      <c r="PXD218" s="630"/>
      <c r="PXE218" s="630"/>
      <c r="PXF218" s="630"/>
      <c r="PXG218" s="630"/>
      <c r="PXH218" s="630"/>
      <c r="PXI218" s="630"/>
      <c r="PXJ218" s="630"/>
      <c r="PXK218" s="630"/>
      <c r="PXL218" s="630"/>
      <c r="PXM218" s="630"/>
      <c r="PXN218" s="630"/>
      <c r="PXO218" s="630"/>
      <c r="PXP218" s="630"/>
      <c r="PXQ218" s="630"/>
      <c r="PXR218" s="630"/>
      <c r="PXS218" s="630"/>
      <c r="PXT218" s="630"/>
      <c r="PXU218" s="630"/>
      <c r="PXV218" s="630"/>
      <c r="PXW218" s="630"/>
      <c r="PXX218" s="630"/>
      <c r="PXY218" s="630"/>
      <c r="PXZ218" s="630"/>
      <c r="PYA218" s="630"/>
      <c r="PYB218" s="630"/>
      <c r="PYC218" s="630"/>
      <c r="PYD218" s="630"/>
      <c r="PYE218" s="630"/>
      <c r="PYF218" s="630"/>
      <c r="PYG218" s="630"/>
      <c r="PYH218" s="630"/>
      <c r="PYI218" s="630"/>
      <c r="PYJ218" s="630"/>
      <c r="PYK218" s="630"/>
      <c r="PYL218" s="630"/>
      <c r="PYM218" s="630"/>
      <c r="PYN218" s="630"/>
      <c r="PYO218" s="630"/>
      <c r="PYP218" s="630"/>
      <c r="PYQ218" s="630"/>
      <c r="PYR218" s="630"/>
      <c r="PYS218" s="630"/>
      <c r="PYT218" s="630"/>
      <c r="PYU218" s="630"/>
      <c r="PYV218" s="630"/>
      <c r="PYW218" s="630"/>
      <c r="PYX218" s="630"/>
      <c r="PYY218" s="630"/>
      <c r="PYZ218" s="630"/>
      <c r="PZA218" s="630"/>
      <c r="PZB218" s="630"/>
      <c r="PZC218" s="630"/>
      <c r="PZD218" s="630"/>
      <c r="PZE218" s="630"/>
      <c r="PZF218" s="630"/>
      <c r="PZG218" s="630"/>
      <c r="PZH218" s="630"/>
      <c r="PZI218" s="630"/>
      <c r="PZJ218" s="630"/>
      <c r="PZK218" s="630"/>
      <c r="PZL218" s="630"/>
      <c r="PZM218" s="630"/>
      <c r="PZN218" s="630"/>
      <c r="PZO218" s="630"/>
      <c r="PZP218" s="630"/>
      <c r="PZQ218" s="630"/>
      <c r="PZR218" s="630"/>
      <c r="PZS218" s="630"/>
      <c r="PZT218" s="630"/>
      <c r="PZU218" s="630"/>
      <c r="PZV218" s="630"/>
      <c r="PZW218" s="630"/>
      <c r="PZX218" s="630"/>
      <c r="PZY218" s="630"/>
      <c r="PZZ218" s="630"/>
      <c r="QAA218" s="630"/>
      <c r="QAB218" s="630"/>
      <c r="QAC218" s="630"/>
      <c r="QAD218" s="630"/>
      <c r="QAE218" s="630"/>
      <c r="QAF218" s="630"/>
      <c r="QAG218" s="630"/>
      <c r="QAH218" s="630"/>
      <c r="QAI218" s="630"/>
      <c r="QAJ218" s="630"/>
      <c r="QAK218" s="630"/>
      <c r="QAL218" s="630"/>
      <c r="QAM218" s="630"/>
      <c r="QAN218" s="630"/>
      <c r="QAO218" s="630"/>
      <c r="QAP218" s="630"/>
      <c r="QAQ218" s="630"/>
      <c r="QAR218" s="630"/>
      <c r="QAS218" s="630"/>
      <c r="QAT218" s="630"/>
      <c r="QAU218" s="630"/>
      <c r="QAV218" s="630"/>
      <c r="QAW218" s="630"/>
      <c r="QAX218" s="630"/>
      <c r="QAY218" s="630"/>
      <c r="QAZ218" s="630"/>
      <c r="QBA218" s="630"/>
      <c r="QBB218" s="630"/>
      <c r="QBC218" s="630"/>
      <c r="QBD218" s="630"/>
      <c r="QBE218" s="630"/>
      <c r="QBF218" s="630"/>
      <c r="QBG218" s="630"/>
      <c r="QBH218" s="630"/>
      <c r="QBI218" s="630"/>
      <c r="QBJ218" s="630"/>
      <c r="QBK218" s="630"/>
      <c r="QBL218" s="630"/>
      <c r="QBM218" s="630"/>
      <c r="QBN218" s="630"/>
      <c r="QBO218" s="630"/>
      <c r="QBP218" s="630"/>
      <c r="QBQ218" s="630"/>
      <c r="QBR218" s="630"/>
      <c r="QBS218" s="630"/>
      <c r="QBT218" s="630"/>
      <c r="QBU218" s="630"/>
      <c r="QBV218" s="630"/>
      <c r="QBW218" s="630"/>
      <c r="QBX218" s="630"/>
      <c r="QBY218" s="630"/>
      <c r="QBZ218" s="630"/>
      <c r="QCA218" s="630"/>
      <c r="QCB218" s="630"/>
      <c r="QCC218" s="630"/>
      <c r="QCD218" s="630"/>
      <c r="QCE218" s="630"/>
      <c r="QCF218" s="630"/>
      <c r="QCG218" s="630"/>
      <c r="QCH218" s="630"/>
      <c r="QCI218" s="630"/>
      <c r="QCJ218" s="630"/>
      <c r="QCK218" s="630"/>
      <c r="QCL218" s="630"/>
      <c r="QCM218" s="630"/>
      <c r="QCN218" s="630"/>
      <c r="QCO218" s="630"/>
      <c r="QCP218" s="630"/>
      <c r="QCQ218" s="630"/>
      <c r="QCR218" s="630"/>
      <c r="QCS218" s="630"/>
      <c r="QCT218" s="630"/>
      <c r="QCU218" s="630"/>
      <c r="QCV218" s="630"/>
      <c r="QCW218" s="630"/>
      <c r="QCX218" s="630"/>
      <c r="QCY218" s="630"/>
      <c r="QCZ218" s="630"/>
      <c r="QDA218" s="630"/>
      <c r="QDB218" s="630"/>
      <c r="QDC218" s="630"/>
      <c r="QDD218" s="630"/>
      <c r="QDE218" s="630"/>
      <c r="QDF218" s="630"/>
      <c r="QDG218" s="630"/>
      <c r="QDH218" s="630"/>
      <c r="QDI218" s="630"/>
      <c r="QDJ218" s="630"/>
      <c r="QDK218" s="630"/>
      <c r="QDL218" s="630"/>
      <c r="QDM218" s="630"/>
      <c r="QDN218" s="630"/>
      <c r="QDO218" s="630"/>
      <c r="QDP218" s="630"/>
      <c r="QDQ218" s="630"/>
      <c r="QDR218" s="630"/>
      <c r="QDS218" s="630"/>
      <c r="QDT218" s="630"/>
      <c r="QDU218" s="630"/>
      <c r="QDV218" s="630"/>
      <c r="QDW218" s="630"/>
      <c r="QDX218" s="630"/>
      <c r="QDY218" s="630"/>
      <c r="QDZ218" s="630"/>
      <c r="QEA218" s="630"/>
      <c r="QEB218" s="630"/>
      <c r="QEC218" s="630"/>
      <c r="QED218" s="630"/>
      <c r="QEE218" s="630"/>
      <c r="QEF218" s="630"/>
      <c r="QEG218" s="630"/>
      <c r="QEH218" s="630"/>
      <c r="QEI218" s="630"/>
      <c r="QEJ218" s="630"/>
      <c r="QEK218" s="630"/>
      <c r="QEL218" s="630"/>
      <c r="QEM218" s="630"/>
      <c r="QEN218" s="630"/>
      <c r="QEO218" s="630"/>
      <c r="QEP218" s="630"/>
      <c r="QEQ218" s="630"/>
      <c r="QER218" s="630"/>
      <c r="QES218" s="630"/>
      <c r="QET218" s="630"/>
      <c r="QEU218" s="630"/>
      <c r="QEV218" s="630"/>
      <c r="QEW218" s="630"/>
      <c r="QEX218" s="630"/>
      <c r="QEY218" s="630"/>
      <c r="QEZ218" s="630"/>
      <c r="QFA218" s="630"/>
      <c r="QFB218" s="630"/>
      <c r="QFC218" s="630"/>
      <c r="QFD218" s="630"/>
      <c r="QFE218" s="630"/>
      <c r="QFF218" s="630"/>
      <c r="QFG218" s="630"/>
      <c r="QFH218" s="630"/>
      <c r="QFI218" s="630"/>
      <c r="QFJ218" s="630"/>
      <c r="QFK218" s="630"/>
      <c r="QFL218" s="630"/>
      <c r="QFM218" s="630"/>
      <c r="QFN218" s="630"/>
      <c r="QFO218" s="630"/>
      <c r="QFP218" s="630"/>
      <c r="QFQ218" s="630"/>
      <c r="QFR218" s="630"/>
      <c r="QFS218" s="630"/>
      <c r="QFT218" s="630"/>
      <c r="QFU218" s="630"/>
      <c r="QFV218" s="630"/>
      <c r="QFW218" s="630"/>
      <c r="QFX218" s="630"/>
      <c r="QFY218" s="630"/>
      <c r="QFZ218" s="630"/>
      <c r="QGA218" s="630"/>
      <c r="QGB218" s="630"/>
      <c r="QGC218" s="630"/>
      <c r="QGD218" s="630"/>
      <c r="QGE218" s="630"/>
      <c r="QGF218" s="630"/>
      <c r="QGG218" s="630"/>
      <c r="QGH218" s="630"/>
      <c r="QGI218" s="630"/>
      <c r="QGJ218" s="630"/>
      <c r="QGK218" s="630"/>
      <c r="QGL218" s="630"/>
      <c r="QGM218" s="630"/>
      <c r="QGN218" s="630"/>
      <c r="QGO218" s="630"/>
      <c r="QGP218" s="630"/>
      <c r="QGQ218" s="630"/>
      <c r="QGR218" s="630"/>
      <c r="QGS218" s="630"/>
      <c r="QGT218" s="630"/>
      <c r="QGU218" s="630"/>
      <c r="QGV218" s="630"/>
      <c r="QGW218" s="630"/>
      <c r="QGX218" s="630"/>
      <c r="QGY218" s="630"/>
      <c r="QGZ218" s="630"/>
      <c r="QHA218" s="630"/>
      <c r="QHB218" s="630"/>
      <c r="QHC218" s="630"/>
      <c r="QHD218" s="630"/>
      <c r="QHE218" s="630"/>
      <c r="QHF218" s="630"/>
      <c r="QHG218" s="630"/>
      <c r="QHH218" s="630"/>
      <c r="QHI218" s="630"/>
      <c r="QHJ218" s="630"/>
      <c r="QHK218" s="630"/>
      <c r="QHL218" s="630"/>
      <c r="QHM218" s="630"/>
      <c r="QHN218" s="630"/>
      <c r="QHO218" s="630"/>
      <c r="QHP218" s="630"/>
      <c r="QHQ218" s="630"/>
      <c r="QHR218" s="630"/>
      <c r="QHS218" s="630"/>
      <c r="QHT218" s="630"/>
      <c r="QHU218" s="630"/>
      <c r="QHV218" s="630"/>
      <c r="QHW218" s="630"/>
      <c r="QHX218" s="630"/>
      <c r="QHY218" s="630"/>
      <c r="QHZ218" s="630"/>
      <c r="QIA218" s="630"/>
      <c r="QIB218" s="630"/>
      <c r="QIC218" s="630"/>
      <c r="QID218" s="630"/>
      <c r="QIE218" s="630"/>
      <c r="QIF218" s="630"/>
      <c r="QIG218" s="630"/>
      <c r="QIH218" s="630"/>
      <c r="QII218" s="630"/>
      <c r="QIJ218" s="630"/>
      <c r="QIK218" s="630"/>
      <c r="QIL218" s="630"/>
      <c r="QIM218" s="630"/>
      <c r="QIN218" s="630"/>
      <c r="QIO218" s="630"/>
      <c r="QIP218" s="630"/>
      <c r="QIQ218" s="630"/>
      <c r="QIR218" s="630"/>
      <c r="QIS218" s="630"/>
      <c r="QIT218" s="630"/>
      <c r="QIU218" s="630"/>
      <c r="QIV218" s="630"/>
      <c r="QIW218" s="630"/>
      <c r="QIX218" s="630"/>
      <c r="QIY218" s="630"/>
      <c r="QIZ218" s="630"/>
      <c r="QJA218" s="630"/>
      <c r="QJB218" s="630"/>
      <c r="QJC218" s="630"/>
      <c r="QJD218" s="630"/>
      <c r="QJE218" s="630"/>
      <c r="QJF218" s="630"/>
      <c r="QJG218" s="630"/>
      <c r="QJH218" s="630"/>
      <c r="QJI218" s="630"/>
      <c r="QJJ218" s="630"/>
      <c r="QJK218" s="630"/>
      <c r="QJL218" s="630"/>
      <c r="QJM218" s="630"/>
      <c r="QJN218" s="630"/>
      <c r="QJO218" s="630"/>
      <c r="QJP218" s="630"/>
      <c r="QJQ218" s="630"/>
      <c r="QJR218" s="630"/>
      <c r="QJS218" s="630"/>
      <c r="QJT218" s="630"/>
      <c r="QJU218" s="630"/>
      <c r="QJV218" s="630"/>
      <c r="QJW218" s="630"/>
      <c r="QJX218" s="630"/>
      <c r="QJY218" s="630"/>
      <c r="QJZ218" s="630"/>
      <c r="QKA218" s="630"/>
      <c r="QKB218" s="630"/>
      <c r="QKC218" s="630"/>
      <c r="QKD218" s="630"/>
      <c r="QKE218" s="630"/>
      <c r="QKF218" s="630"/>
      <c r="QKG218" s="630"/>
      <c r="QKH218" s="630"/>
      <c r="QKI218" s="630"/>
      <c r="QKJ218" s="630"/>
      <c r="QKK218" s="630"/>
      <c r="QKL218" s="630"/>
      <c r="QKM218" s="630"/>
      <c r="QKN218" s="630"/>
      <c r="QKO218" s="630"/>
      <c r="QKP218" s="630"/>
      <c r="QKQ218" s="630"/>
      <c r="QKR218" s="630"/>
      <c r="QKS218" s="630"/>
      <c r="QKT218" s="630"/>
      <c r="QKU218" s="630"/>
      <c r="QKV218" s="630"/>
      <c r="QKW218" s="630"/>
      <c r="QKX218" s="630"/>
      <c r="QKY218" s="630"/>
      <c r="QKZ218" s="630"/>
      <c r="QLA218" s="630"/>
      <c r="QLB218" s="630"/>
      <c r="QLC218" s="630"/>
      <c r="QLD218" s="630"/>
      <c r="QLE218" s="630"/>
      <c r="QLF218" s="630"/>
      <c r="QLG218" s="630"/>
      <c r="QLH218" s="630"/>
      <c r="QLI218" s="630"/>
      <c r="QLJ218" s="630"/>
      <c r="QLK218" s="630"/>
      <c r="QLL218" s="630"/>
      <c r="QLM218" s="630"/>
      <c r="QLN218" s="630"/>
      <c r="QLO218" s="630"/>
      <c r="QLP218" s="630"/>
      <c r="QLQ218" s="630"/>
      <c r="QLR218" s="630"/>
      <c r="QLS218" s="630"/>
      <c r="QLT218" s="630"/>
      <c r="QLU218" s="630"/>
      <c r="QLV218" s="630"/>
      <c r="QLW218" s="630"/>
      <c r="QLX218" s="630"/>
      <c r="QLY218" s="630"/>
      <c r="QLZ218" s="630"/>
      <c r="QMA218" s="630"/>
      <c r="QMB218" s="630"/>
      <c r="QMC218" s="630"/>
      <c r="QMD218" s="630"/>
      <c r="QME218" s="630"/>
      <c r="QMF218" s="630"/>
      <c r="QMG218" s="630"/>
      <c r="QMH218" s="630"/>
      <c r="QMI218" s="630"/>
      <c r="QMJ218" s="630"/>
      <c r="QMK218" s="630"/>
      <c r="QML218" s="630"/>
      <c r="QMM218" s="630"/>
      <c r="QMN218" s="630"/>
      <c r="QMO218" s="630"/>
      <c r="QMP218" s="630"/>
      <c r="QMQ218" s="630"/>
      <c r="QMR218" s="630"/>
      <c r="QMS218" s="630"/>
      <c r="QMT218" s="630"/>
      <c r="QMU218" s="630"/>
      <c r="QMV218" s="630"/>
      <c r="QMW218" s="630"/>
      <c r="QMX218" s="630"/>
      <c r="QMY218" s="630"/>
      <c r="QMZ218" s="630"/>
      <c r="QNA218" s="630"/>
      <c r="QNB218" s="630"/>
      <c r="QNC218" s="630"/>
      <c r="QND218" s="630"/>
      <c r="QNE218" s="630"/>
      <c r="QNF218" s="630"/>
      <c r="QNG218" s="630"/>
      <c r="QNH218" s="630"/>
      <c r="QNI218" s="630"/>
      <c r="QNJ218" s="630"/>
      <c r="QNK218" s="630"/>
      <c r="QNL218" s="630"/>
      <c r="QNM218" s="630"/>
      <c r="QNN218" s="630"/>
      <c r="QNO218" s="630"/>
      <c r="QNP218" s="630"/>
      <c r="QNQ218" s="630"/>
      <c r="QNR218" s="630"/>
      <c r="QNS218" s="630"/>
      <c r="QNT218" s="630"/>
      <c r="QNU218" s="630"/>
      <c r="QNV218" s="630"/>
      <c r="QNW218" s="630"/>
      <c r="QNX218" s="630"/>
      <c r="QNY218" s="630"/>
      <c r="QNZ218" s="630"/>
      <c r="QOA218" s="630"/>
      <c r="QOB218" s="630"/>
      <c r="QOC218" s="630"/>
      <c r="QOD218" s="630"/>
      <c r="QOE218" s="630"/>
      <c r="QOF218" s="630"/>
      <c r="QOG218" s="630"/>
      <c r="QOH218" s="630"/>
      <c r="QOI218" s="630"/>
      <c r="QOJ218" s="630"/>
      <c r="QOK218" s="630"/>
      <c r="QOL218" s="630"/>
      <c r="QOM218" s="630"/>
      <c r="QON218" s="630"/>
      <c r="QOO218" s="630"/>
      <c r="QOP218" s="630"/>
      <c r="QOQ218" s="630"/>
      <c r="QOR218" s="630"/>
      <c r="QOS218" s="630"/>
      <c r="QOT218" s="630"/>
      <c r="QOU218" s="630"/>
      <c r="QOV218" s="630"/>
      <c r="QOW218" s="630"/>
      <c r="QOX218" s="630"/>
      <c r="QOY218" s="630"/>
      <c r="QOZ218" s="630"/>
      <c r="QPA218" s="630"/>
      <c r="QPB218" s="630"/>
      <c r="QPC218" s="630"/>
      <c r="QPD218" s="630"/>
      <c r="QPE218" s="630"/>
      <c r="QPF218" s="630"/>
      <c r="QPG218" s="630"/>
      <c r="QPH218" s="630"/>
      <c r="QPI218" s="630"/>
      <c r="QPJ218" s="630"/>
      <c r="QPK218" s="630"/>
      <c r="QPL218" s="630"/>
      <c r="QPM218" s="630"/>
      <c r="QPN218" s="630"/>
      <c r="QPO218" s="630"/>
      <c r="QPP218" s="630"/>
      <c r="QPQ218" s="630"/>
      <c r="QPR218" s="630"/>
      <c r="QPS218" s="630"/>
      <c r="QPT218" s="630"/>
      <c r="QPU218" s="630"/>
      <c r="QPV218" s="630"/>
      <c r="QPW218" s="630"/>
      <c r="QPX218" s="630"/>
      <c r="QPY218" s="630"/>
      <c r="QPZ218" s="630"/>
      <c r="QQA218" s="630"/>
      <c r="QQB218" s="630"/>
      <c r="QQC218" s="630"/>
      <c r="QQD218" s="630"/>
      <c r="QQE218" s="630"/>
      <c r="QQF218" s="630"/>
      <c r="QQG218" s="630"/>
      <c r="QQH218" s="630"/>
      <c r="QQI218" s="630"/>
      <c r="QQJ218" s="630"/>
      <c r="QQK218" s="630"/>
      <c r="QQL218" s="630"/>
      <c r="QQM218" s="630"/>
      <c r="QQN218" s="630"/>
      <c r="QQO218" s="630"/>
      <c r="QQP218" s="630"/>
      <c r="QQQ218" s="630"/>
      <c r="QQR218" s="630"/>
      <c r="QQS218" s="630"/>
      <c r="QQT218" s="630"/>
      <c r="QQU218" s="630"/>
      <c r="QQV218" s="630"/>
      <c r="QQW218" s="630"/>
      <c r="QQX218" s="630"/>
      <c r="QQY218" s="630"/>
      <c r="QQZ218" s="630"/>
      <c r="QRA218" s="630"/>
      <c r="QRB218" s="630"/>
      <c r="QRC218" s="630"/>
      <c r="QRD218" s="630"/>
      <c r="QRE218" s="630"/>
      <c r="QRF218" s="630"/>
      <c r="QRG218" s="630"/>
      <c r="QRH218" s="630"/>
      <c r="QRI218" s="630"/>
      <c r="QRJ218" s="630"/>
      <c r="QRK218" s="630"/>
      <c r="QRL218" s="630"/>
      <c r="QRM218" s="630"/>
      <c r="QRN218" s="630"/>
      <c r="QRO218" s="630"/>
      <c r="QRP218" s="630"/>
      <c r="QRQ218" s="630"/>
      <c r="QRR218" s="630"/>
      <c r="QRS218" s="630"/>
      <c r="QRT218" s="630"/>
      <c r="QRU218" s="630"/>
      <c r="QRV218" s="630"/>
      <c r="QRW218" s="630"/>
      <c r="QRX218" s="630"/>
      <c r="QRY218" s="630"/>
      <c r="QRZ218" s="630"/>
      <c r="QSA218" s="630"/>
      <c r="QSB218" s="630"/>
      <c r="QSC218" s="630"/>
      <c r="QSD218" s="630"/>
      <c r="QSE218" s="630"/>
      <c r="QSF218" s="630"/>
      <c r="QSG218" s="630"/>
      <c r="QSH218" s="630"/>
      <c r="QSI218" s="630"/>
      <c r="QSJ218" s="630"/>
      <c r="QSK218" s="630"/>
      <c r="QSL218" s="630"/>
      <c r="QSM218" s="630"/>
      <c r="QSN218" s="630"/>
      <c r="QSO218" s="630"/>
      <c r="QSP218" s="630"/>
      <c r="QSQ218" s="630"/>
      <c r="QSR218" s="630"/>
      <c r="QSS218" s="630"/>
      <c r="QST218" s="630"/>
      <c r="QSU218" s="630"/>
      <c r="QSV218" s="630"/>
      <c r="QSW218" s="630"/>
      <c r="QSX218" s="630"/>
      <c r="QSY218" s="630"/>
      <c r="QSZ218" s="630"/>
      <c r="QTA218" s="630"/>
      <c r="QTB218" s="630"/>
      <c r="QTC218" s="630"/>
      <c r="QTD218" s="630"/>
      <c r="QTE218" s="630"/>
      <c r="QTF218" s="630"/>
      <c r="QTG218" s="630"/>
      <c r="QTH218" s="630"/>
      <c r="QTI218" s="630"/>
      <c r="QTJ218" s="630"/>
      <c r="QTK218" s="630"/>
      <c r="QTL218" s="630"/>
      <c r="QTM218" s="630"/>
      <c r="QTN218" s="630"/>
      <c r="QTO218" s="630"/>
      <c r="QTP218" s="630"/>
      <c r="QTQ218" s="630"/>
      <c r="QTR218" s="630"/>
      <c r="QTS218" s="630"/>
      <c r="QTT218" s="630"/>
      <c r="QTU218" s="630"/>
      <c r="QTV218" s="630"/>
      <c r="QTW218" s="630"/>
      <c r="QTX218" s="630"/>
      <c r="QTY218" s="630"/>
      <c r="QTZ218" s="630"/>
      <c r="QUA218" s="630"/>
      <c r="QUB218" s="630"/>
      <c r="QUC218" s="630"/>
      <c r="QUD218" s="630"/>
      <c r="QUE218" s="630"/>
      <c r="QUF218" s="630"/>
      <c r="QUG218" s="630"/>
      <c r="QUH218" s="630"/>
      <c r="QUI218" s="630"/>
      <c r="QUJ218" s="630"/>
      <c r="QUK218" s="630"/>
      <c r="QUL218" s="630"/>
      <c r="QUM218" s="630"/>
      <c r="QUN218" s="630"/>
      <c r="QUO218" s="630"/>
      <c r="QUP218" s="630"/>
      <c r="QUQ218" s="630"/>
      <c r="QUR218" s="630"/>
      <c r="QUS218" s="630"/>
      <c r="QUT218" s="630"/>
      <c r="QUU218" s="630"/>
      <c r="QUV218" s="630"/>
      <c r="QUW218" s="630"/>
      <c r="QUX218" s="630"/>
      <c r="QUY218" s="630"/>
      <c r="QUZ218" s="630"/>
      <c r="QVA218" s="630"/>
      <c r="QVB218" s="630"/>
      <c r="QVC218" s="630"/>
      <c r="QVD218" s="630"/>
      <c r="QVE218" s="630"/>
      <c r="QVF218" s="630"/>
      <c r="QVG218" s="630"/>
      <c r="QVH218" s="630"/>
      <c r="QVI218" s="630"/>
      <c r="QVJ218" s="630"/>
      <c r="QVK218" s="630"/>
      <c r="QVL218" s="630"/>
      <c r="QVM218" s="630"/>
      <c r="QVN218" s="630"/>
      <c r="QVO218" s="630"/>
      <c r="QVP218" s="630"/>
      <c r="QVQ218" s="630"/>
      <c r="QVR218" s="630"/>
      <c r="QVS218" s="630"/>
      <c r="QVT218" s="630"/>
      <c r="QVU218" s="630"/>
      <c r="QVV218" s="630"/>
      <c r="QVW218" s="630"/>
      <c r="QVX218" s="630"/>
      <c r="QVY218" s="630"/>
      <c r="QVZ218" s="630"/>
      <c r="QWA218" s="630"/>
      <c r="QWB218" s="630"/>
      <c r="QWC218" s="630"/>
      <c r="QWD218" s="630"/>
      <c r="QWE218" s="630"/>
      <c r="QWF218" s="630"/>
      <c r="QWG218" s="630"/>
      <c r="QWH218" s="630"/>
      <c r="QWI218" s="630"/>
      <c r="QWJ218" s="630"/>
      <c r="QWK218" s="630"/>
      <c r="QWL218" s="630"/>
      <c r="QWM218" s="630"/>
      <c r="QWN218" s="630"/>
      <c r="QWO218" s="630"/>
      <c r="QWP218" s="630"/>
      <c r="QWQ218" s="630"/>
      <c r="QWR218" s="630"/>
      <c r="QWS218" s="630"/>
      <c r="QWT218" s="630"/>
      <c r="QWU218" s="630"/>
      <c r="QWV218" s="630"/>
      <c r="QWW218" s="630"/>
      <c r="QWX218" s="630"/>
      <c r="QWY218" s="630"/>
      <c r="QWZ218" s="630"/>
      <c r="QXA218" s="630"/>
      <c r="QXB218" s="630"/>
      <c r="QXC218" s="630"/>
      <c r="QXD218" s="630"/>
      <c r="QXE218" s="630"/>
      <c r="QXF218" s="630"/>
      <c r="QXG218" s="630"/>
      <c r="QXH218" s="630"/>
      <c r="QXI218" s="630"/>
      <c r="QXJ218" s="630"/>
      <c r="QXK218" s="630"/>
      <c r="QXL218" s="630"/>
      <c r="QXM218" s="630"/>
      <c r="QXN218" s="630"/>
      <c r="QXO218" s="630"/>
      <c r="QXP218" s="630"/>
      <c r="QXQ218" s="630"/>
      <c r="QXR218" s="630"/>
      <c r="QXS218" s="630"/>
      <c r="QXT218" s="630"/>
      <c r="QXU218" s="630"/>
      <c r="QXV218" s="630"/>
      <c r="QXW218" s="630"/>
      <c r="QXX218" s="630"/>
      <c r="QXY218" s="630"/>
      <c r="QXZ218" s="630"/>
      <c r="QYA218" s="630"/>
      <c r="QYB218" s="630"/>
      <c r="QYC218" s="630"/>
      <c r="QYD218" s="630"/>
      <c r="QYE218" s="630"/>
      <c r="QYF218" s="630"/>
      <c r="QYG218" s="630"/>
      <c r="QYH218" s="630"/>
      <c r="QYI218" s="630"/>
      <c r="QYJ218" s="630"/>
      <c r="QYK218" s="630"/>
      <c r="QYL218" s="630"/>
      <c r="QYM218" s="630"/>
      <c r="QYN218" s="630"/>
      <c r="QYO218" s="630"/>
      <c r="QYP218" s="630"/>
      <c r="QYQ218" s="630"/>
      <c r="QYR218" s="630"/>
      <c r="QYS218" s="630"/>
      <c r="QYT218" s="630"/>
      <c r="QYU218" s="630"/>
      <c r="QYV218" s="630"/>
      <c r="QYW218" s="630"/>
      <c r="QYX218" s="630"/>
      <c r="QYY218" s="630"/>
      <c r="QYZ218" s="630"/>
      <c r="QZA218" s="630"/>
      <c r="QZB218" s="630"/>
      <c r="QZC218" s="630"/>
      <c r="QZD218" s="630"/>
      <c r="QZE218" s="630"/>
      <c r="QZF218" s="630"/>
      <c r="QZG218" s="630"/>
      <c r="QZH218" s="630"/>
      <c r="QZI218" s="630"/>
      <c r="QZJ218" s="630"/>
      <c r="QZK218" s="630"/>
      <c r="QZL218" s="630"/>
      <c r="QZM218" s="630"/>
      <c r="QZN218" s="630"/>
      <c r="QZO218" s="630"/>
      <c r="QZP218" s="630"/>
      <c r="QZQ218" s="630"/>
      <c r="QZR218" s="630"/>
      <c r="QZS218" s="630"/>
      <c r="QZT218" s="630"/>
      <c r="QZU218" s="630"/>
      <c r="QZV218" s="630"/>
      <c r="QZW218" s="630"/>
      <c r="QZX218" s="630"/>
      <c r="QZY218" s="630"/>
      <c r="QZZ218" s="630"/>
      <c r="RAA218" s="630"/>
      <c r="RAB218" s="630"/>
      <c r="RAC218" s="630"/>
      <c r="RAD218" s="630"/>
      <c r="RAE218" s="630"/>
      <c r="RAF218" s="630"/>
      <c r="RAG218" s="630"/>
      <c r="RAH218" s="630"/>
      <c r="RAI218" s="630"/>
      <c r="RAJ218" s="630"/>
      <c r="RAK218" s="630"/>
      <c r="RAL218" s="630"/>
      <c r="RAM218" s="630"/>
      <c r="RAN218" s="630"/>
      <c r="RAO218" s="630"/>
      <c r="RAP218" s="630"/>
      <c r="RAQ218" s="630"/>
      <c r="RAR218" s="630"/>
      <c r="RAS218" s="630"/>
      <c r="RAT218" s="630"/>
      <c r="RAU218" s="630"/>
      <c r="RAV218" s="630"/>
      <c r="RAW218" s="630"/>
      <c r="RAX218" s="630"/>
      <c r="RAY218" s="630"/>
      <c r="RAZ218" s="630"/>
      <c r="RBA218" s="630"/>
      <c r="RBB218" s="630"/>
      <c r="RBC218" s="630"/>
      <c r="RBD218" s="630"/>
      <c r="RBE218" s="630"/>
      <c r="RBF218" s="630"/>
      <c r="RBG218" s="630"/>
      <c r="RBH218" s="630"/>
      <c r="RBI218" s="630"/>
      <c r="RBJ218" s="630"/>
      <c r="RBK218" s="630"/>
      <c r="RBL218" s="630"/>
      <c r="RBM218" s="630"/>
      <c r="RBN218" s="630"/>
      <c r="RBO218" s="630"/>
      <c r="RBP218" s="630"/>
      <c r="RBQ218" s="630"/>
      <c r="RBR218" s="630"/>
      <c r="RBS218" s="630"/>
      <c r="RBT218" s="630"/>
      <c r="RBU218" s="630"/>
      <c r="RBV218" s="630"/>
      <c r="RBW218" s="630"/>
      <c r="RBX218" s="630"/>
      <c r="RBY218" s="630"/>
      <c r="RBZ218" s="630"/>
      <c r="RCA218" s="630"/>
      <c r="RCB218" s="630"/>
      <c r="RCC218" s="630"/>
      <c r="RCD218" s="630"/>
      <c r="RCE218" s="630"/>
      <c r="RCF218" s="630"/>
      <c r="RCG218" s="630"/>
      <c r="RCH218" s="630"/>
      <c r="RCI218" s="630"/>
      <c r="RCJ218" s="630"/>
      <c r="RCK218" s="630"/>
      <c r="RCL218" s="630"/>
      <c r="RCM218" s="630"/>
      <c r="RCN218" s="630"/>
      <c r="RCO218" s="630"/>
      <c r="RCP218" s="630"/>
      <c r="RCQ218" s="630"/>
      <c r="RCR218" s="630"/>
      <c r="RCS218" s="630"/>
      <c r="RCT218" s="630"/>
      <c r="RCU218" s="630"/>
      <c r="RCV218" s="630"/>
      <c r="RCW218" s="630"/>
      <c r="RCX218" s="630"/>
      <c r="RCY218" s="630"/>
      <c r="RCZ218" s="630"/>
      <c r="RDA218" s="630"/>
      <c r="RDB218" s="630"/>
      <c r="RDC218" s="630"/>
      <c r="RDD218" s="630"/>
      <c r="RDE218" s="630"/>
      <c r="RDF218" s="630"/>
      <c r="RDG218" s="630"/>
      <c r="RDH218" s="630"/>
      <c r="RDI218" s="630"/>
      <c r="RDJ218" s="630"/>
      <c r="RDK218" s="630"/>
      <c r="RDL218" s="630"/>
      <c r="RDM218" s="630"/>
      <c r="RDN218" s="630"/>
      <c r="RDO218" s="630"/>
      <c r="RDP218" s="630"/>
      <c r="RDQ218" s="630"/>
      <c r="RDR218" s="630"/>
      <c r="RDS218" s="630"/>
      <c r="RDT218" s="630"/>
      <c r="RDU218" s="630"/>
      <c r="RDV218" s="630"/>
      <c r="RDW218" s="630"/>
      <c r="RDX218" s="630"/>
      <c r="RDY218" s="630"/>
      <c r="RDZ218" s="630"/>
      <c r="REA218" s="630"/>
      <c r="REB218" s="630"/>
      <c r="REC218" s="630"/>
      <c r="RED218" s="630"/>
      <c r="REE218" s="630"/>
      <c r="REF218" s="630"/>
      <c r="REG218" s="630"/>
      <c r="REH218" s="630"/>
      <c r="REI218" s="630"/>
      <c r="REJ218" s="630"/>
      <c r="REK218" s="630"/>
      <c r="REL218" s="630"/>
      <c r="REM218" s="630"/>
      <c r="REN218" s="630"/>
      <c r="REO218" s="630"/>
      <c r="REP218" s="630"/>
      <c r="REQ218" s="630"/>
      <c r="RER218" s="630"/>
      <c r="RES218" s="630"/>
      <c r="RET218" s="630"/>
      <c r="REU218" s="630"/>
      <c r="REV218" s="630"/>
      <c r="REW218" s="630"/>
      <c r="REX218" s="630"/>
      <c r="REY218" s="630"/>
      <c r="REZ218" s="630"/>
      <c r="RFA218" s="630"/>
      <c r="RFB218" s="630"/>
      <c r="RFC218" s="630"/>
      <c r="RFD218" s="630"/>
      <c r="RFE218" s="630"/>
      <c r="RFF218" s="630"/>
      <c r="RFG218" s="630"/>
      <c r="RFH218" s="630"/>
      <c r="RFI218" s="630"/>
      <c r="RFJ218" s="630"/>
      <c r="RFK218" s="630"/>
      <c r="RFL218" s="630"/>
      <c r="RFM218" s="630"/>
      <c r="RFN218" s="630"/>
      <c r="RFO218" s="630"/>
      <c r="RFP218" s="630"/>
      <c r="RFQ218" s="630"/>
      <c r="RFR218" s="630"/>
      <c r="RFS218" s="630"/>
      <c r="RFT218" s="630"/>
      <c r="RFU218" s="630"/>
      <c r="RFV218" s="630"/>
      <c r="RFW218" s="630"/>
      <c r="RFX218" s="630"/>
      <c r="RFY218" s="630"/>
      <c r="RFZ218" s="630"/>
      <c r="RGA218" s="630"/>
      <c r="RGB218" s="630"/>
      <c r="RGC218" s="630"/>
      <c r="RGD218" s="630"/>
      <c r="RGE218" s="630"/>
      <c r="RGF218" s="630"/>
      <c r="RGG218" s="630"/>
      <c r="RGH218" s="630"/>
      <c r="RGI218" s="630"/>
      <c r="RGJ218" s="630"/>
      <c r="RGK218" s="630"/>
      <c r="RGL218" s="630"/>
      <c r="RGM218" s="630"/>
      <c r="RGN218" s="630"/>
      <c r="RGO218" s="630"/>
      <c r="RGP218" s="630"/>
      <c r="RGQ218" s="630"/>
      <c r="RGR218" s="630"/>
      <c r="RGS218" s="630"/>
      <c r="RGT218" s="630"/>
      <c r="RGU218" s="630"/>
      <c r="RGV218" s="630"/>
      <c r="RGW218" s="630"/>
      <c r="RGX218" s="630"/>
      <c r="RGY218" s="630"/>
      <c r="RGZ218" s="630"/>
      <c r="RHA218" s="630"/>
      <c r="RHB218" s="630"/>
      <c r="RHC218" s="630"/>
      <c r="RHD218" s="630"/>
      <c r="RHE218" s="630"/>
      <c r="RHF218" s="630"/>
      <c r="RHG218" s="630"/>
      <c r="RHH218" s="630"/>
      <c r="RHI218" s="630"/>
      <c r="RHJ218" s="630"/>
      <c r="RHK218" s="630"/>
      <c r="RHL218" s="630"/>
      <c r="RHM218" s="630"/>
      <c r="RHN218" s="630"/>
      <c r="RHO218" s="630"/>
      <c r="RHP218" s="630"/>
      <c r="RHQ218" s="630"/>
      <c r="RHR218" s="630"/>
      <c r="RHS218" s="630"/>
      <c r="RHT218" s="630"/>
      <c r="RHU218" s="630"/>
      <c r="RHV218" s="630"/>
      <c r="RHW218" s="630"/>
      <c r="RHX218" s="630"/>
      <c r="RHY218" s="630"/>
      <c r="RHZ218" s="630"/>
      <c r="RIA218" s="630"/>
      <c r="RIB218" s="630"/>
      <c r="RIC218" s="630"/>
      <c r="RID218" s="630"/>
      <c r="RIE218" s="630"/>
      <c r="RIF218" s="630"/>
      <c r="RIG218" s="630"/>
      <c r="RIH218" s="630"/>
      <c r="RII218" s="630"/>
      <c r="RIJ218" s="630"/>
      <c r="RIK218" s="630"/>
      <c r="RIL218" s="630"/>
      <c r="RIM218" s="630"/>
      <c r="RIN218" s="630"/>
      <c r="RIO218" s="630"/>
      <c r="RIP218" s="630"/>
      <c r="RIQ218" s="630"/>
      <c r="RIR218" s="630"/>
      <c r="RIS218" s="630"/>
      <c r="RIT218" s="630"/>
      <c r="RIU218" s="630"/>
      <c r="RIV218" s="630"/>
      <c r="RIW218" s="630"/>
      <c r="RIX218" s="630"/>
      <c r="RIY218" s="630"/>
      <c r="RIZ218" s="630"/>
      <c r="RJA218" s="630"/>
      <c r="RJB218" s="630"/>
      <c r="RJC218" s="630"/>
      <c r="RJD218" s="630"/>
      <c r="RJE218" s="630"/>
      <c r="RJF218" s="630"/>
      <c r="RJG218" s="630"/>
      <c r="RJH218" s="630"/>
      <c r="RJI218" s="630"/>
      <c r="RJJ218" s="630"/>
      <c r="RJK218" s="630"/>
      <c r="RJL218" s="630"/>
      <c r="RJM218" s="630"/>
      <c r="RJN218" s="630"/>
      <c r="RJO218" s="630"/>
      <c r="RJP218" s="630"/>
      <c r="RJQ218" s="630"/>
      <c r="RJR218" s="630"/>
      <c r="RJS218" s="630"/>
      <c r="RJT218" s="630"/>
      <c r="RJU218" s="630"/>
      <c r="RJV218" s="630"/>
      <c r="RJW218" s="630"/>
      <c r="RJX218" s="630"/>
      <c r="RJY218" s="630"/>
      <c r="RJZ218" s="630"/>
      <c r="RKA218" s="630"/>
      <c r="RKB218" s="630"/>
      <c r="RKC218" s="630"/>
      <c r="RKD218" s="630"/>
      <c r="RKE218" s="630"/>
      <c r="RKF218" s="630"/>
      <c r="RKG218" s="630"/>
      <c r="RKH218" s="630"/>
      <c r="RKI218" s="630"/>
      <c r="RKJ218" s="630"/>
      <c r="RKK218" s="630"/>
      <c r="RKL218" s="630"/>
      <c r="RKM218" s="630"/>
      <c r="RKN218" s="630"/>
      <c r="RKO218" s="630"/>
      <c r="RKP218" s="630"/>
      <c r="RKQ218" s="630"/>
      <c r="RKR218" s="630"/>
      <c r="RKS218" s="630"/>
      <c r="RKT218" s="630"/>
      <c r="RKU218" s="630"/>
      <c r="RKV218" s="630"/>
      <c r="RKW218" s="630"/>
      <c r="RKX218" s="630"/>
      <c r="RKY218" s="630"/>
      <c r="RKZ218" s="630"/>
      <c r="RLA218" s="630"/>
      <c r="RLB218" s="630"/>
      <c r="RLC218" s="630"/>
      <c r="RLD218" s="630"/>
      <c r="RLE218" s="630"/>
      <c r="RLF218" s="630"/>
      <c r="RLG218" s="630"/>
      <c r="RLH218" s="630"/>
      <c r="RLI218" s="630"/>
      <c r="RLJ218" s="630"/>
      <c r="RLK218" s="630"/>
      <c r="RLL218" s="630"/>
      <c r="RLM218" s="630"/>
      <c r="RLN218" s="630"/>
      <c r="RLO218" s="630"/>
      <c r="RLP218" s="630"/>
      <c r="RLQ218" s="630"/>
      <c r="RLR218" s="630"/>
      <c r="RLS218" s="630"/>
      <c r="RLT218" s="630"/>
      <c r="RLU218" s="630"/>
      <c r="RLV218" s="630"/>
      <c r="RLW218" s="630"/>
      <c r="RLX218" s="630"/>
      <c r="RLY218" s="630"/>
      <c r="RLZ218" s="630"/>
      <c r="RMA218" s="630"/>
      <c r="RMB218" s="630"/>
      <c r="RMC218" s="630"/>
      <c r="RMD218" s="630"/>
      <c r="RME218" s="630"/>
      <c r="RMF218" s="630"/>
      <c r="RMG218" s="630"/>
      <c r="RMH218" s="630"/>
      <c r="RMI218" s="630"/>
      <c r="RMJ218" s="630"/>
      <c r="RMK218" s="630"/>
      <c r="RML218" s="630"/>
      <c r="RMM218" s="630"/>
      <c r="RMN218" s="630"/>
      <c r="RMO218" s="630"/>
      <c r="RMP218" s="630"/>
      <c r="RMQ218" s="630"/>
      <c r="RMR218" s="630"/>
      <c r="RMS218" s="630"/>
      <c r="RMT218" s="630"/>
      <c r="RMU218" s="630"/>
      <c r="RMV218" s="630"/>
      <c r="RMW218" s="630"/>
      <c r="RMX218" s="630"/>
      <c r="RMY218" s="630"/>
      <c r="RMZ218" s="630"/>
      <c r="RNA218" s="630"/>
      <c r="RNB218" s="630"/>
      <c r="RNC218" s="630"/>
      <c r="RND218" s="630"/>
      <c r="RNE218" s="630"/>
      <c r="RNF218" s="630"/>
      <c r="RNG218" s="630"/>
      <c r="RNH218" s="630"/>
      <c r="RNI218" s="630"/>
      <c r="RNJ218" s="630"/>
      <c r="RNK218" s="630"/>
      <c r="RNL218" s="630"/>
      <c r="RNM218" s="630"/>
      <c r="RNN218" s="630"/>
      <c r="RNO218" s="630"/>
      <c r="RNP218" s="630"/>
      <c r="RNQ218" s="630"/>
      <c r="RNR218" s="630"/>
      <c r="RNS218" s="630"/>
      <c r="RNT218" s="630"/>
      <c r="RNU218" s="630"/>
      <c r="RNV218" s="630"/>
      <c r="RNW218" s="630"/>
      <c r="RNX218" s="630"/>
      <c r="RNY218" s="630"/>
      <c r="RNZ218" s="630"/>
      <c r="ROA218" s="630"/>
      <c r="ROB218" s="630"/>
      <c r="ROC218" s="630"/>
      <c r="ROD218" s="630"/>
      <c r="ROE218" s="630"/>
      <c r="ROF218" s="630"/>
      <c r="ROG218" s="630"/>
      <c r="ROH218" s="630"/>
      <c r="ROI218" s="630"/>
      <c r="ROJ218" s="630"/>
      <c r="ROK218" s="630"/>
      <c r="ROL218" s="630"/>
      <c r="ROM218" s="630"/>
      <c r="RON218" s="630"/>
      <c r="ROO218" s="630"/>
      <c r="ROP218" s="630"/>
      <c r="ROQ218" s="630"/>
      <c r="ROR218" s="630"/>
      <c r="ROS218" s="630"/>
      <c r="ROT218" s="630"/>
      <c r="ROU218" s="630"/>
      <c r="ROV218" s="630"/>
      <c r="ROW218" s="630"/>
      <c r="ROX218" s="630"/>
      <c r="ROY218" s="630"/>
      <c r="ROZ218" s="630"/>
      <c r="RPA218" s="630"/>
      <c r="RPB218" s="630"/>
      <c r="RPC218" s="630"/>
      <c r="RPD218" s="630"/>
      <c r="RPE218" s="630"/>
      <c r="RPF218" s="630"/>
      <c r="RPG218" s="630"/>
      <c r="RPH218" s="630"/>
      <c r="RPI218" s="630"/>
      <c r="RPJ218" s="630"/>
      <c r="RPK218" s="630"/>
      <c r="RPL218" s="630"/>
      <c r="RPM218" s="630"/>
      <c r="RPN218" s="630"/>
      <c r="RPO218" s="630"/>
      <c r="RPP218" s="630"/>
      <c r="RPQ218" s="630"/>
      <c r="RPR218" s="630"/>
      <c r="RPS218" s="630"/>
      <c r="RPT218" s="630"/>
      <c r="RPU218" s="630"/>
      <c r="RPV218" s="630"/>
      <c r="RPW218" s="630"/>
      <c r="RPX218" s="630"/>
      <c r="RPY218" s="630"/>
      <c r="RPZ218" s="630"/>
      <c r="RQA218" s="630"/>
      <c r="RQB218" s="630"/>
      <c r="RQC218" s="630"/>
      <c r="RQD218" s="630"/>
      <c r="RQE218" s="630"/>
      <c r="RQF218" s="630"/>
      <c r="RQG218" s="630"/>
      <c r="RQH218" s="630"/>
      <c r="RQI218" s="630"/>
      <c r="RQJ218" s="630"/>
      <c r="RQK218" s="630"/>
      <c r="RQL218" s="630"/>
      <c r="RQM218" s="630"/>
      <c r="RQN218" s="630"/>
      <c r="RQO218" s="630"/>
      <c r="RQP218" s="630"/>
      <c r="RQQ218" s="630"/>
      <c r="RQR218" s="630"/>
      <c r="RQS218" s="630"/>
      <c r="RQT218" s="630"/>
      <c r="RQU218" s="630"/>
      <c r="RQV218" s="630"/>
      <c r="RQW218" s="630"/>
      <c r="RQX218" s="630"/>
      <c r="RQY218" s="630"/>
      <c r="RQZ218" s="630"/>
      <c r="RRA218" s="630"/>
      <c r="RRB218" s="630"/>
      <c r="RRC218" s="630"/>
      <c r="RRD218" s="630"/>
      <c r="RRE218" s="630"/>
      <c r="RRF218" s="630"/>
      <c r="RRG218" s="630"/>
      <c r="RRH218" s="630"/>
      <c r="RRI218" s="630"/>
      <c r="RRJ218" s="630"/>
      <c r="RRK218" s="630"/>
      <c r="RRL218" s="630"/>
      <c r="RRM218" s="630"/>
      <c r="RRN218" s="630"/>
      <c r="RRO218" s="630"/>
      <c r="RRP218" s="630"/>
      <c r="RRQ218" s="630"/>
      <c r="RRR218" s="630"/>
      <c r="RRS218" s="630"/>
      <c r="RRT218" s="630"/>
      <c r="RRU218" s="630"/>
      <c r="RRV218" s="630"/>
      <c r="RRW218" s="630"/>
      <c r="RRX218" s="630"/>
      <c r="RRY218" s="630"/>
      <c r="RRZ218" s="630"/>
      <c r="RSA218" s="630"/>
      <c r="RSB218" s="630"/>
      <c r="RSC218" s="630"/>
      <c r="RSD218" s="630"/>
      <c r="RSE218" s="630"/>
      <c r="RSF218" s="630"/>
      <c r="RSG218" s="630"/>
      <c r="RSH218" s="630"/>
      <c r="RSI218" s="630"/>
      <c r="RSJ218" s="630"/>
      <c r="RSK218" s="630"/>
      <c r="RSL218" s="630"/>
      <c r="RSM218" s="630"/>
      <c r="RSN218" s="630"/>
      <c r="RSO218" s="630"/>
      <c r="RSP218" s="630"/>
      <c r="RSQ218" s="630"/>
      <c r="RSR218" s="630"/>
      <c r="RSS218" s="630"/>
      <c r="RST218" s="630"/>
      <c r="RSU218" s="630"/>
      <c r="RSV218" s="630"/>
      <c r="RSW218" s="630"/>
      <c r="RSX218" s="630"/>
      <c r="RSY218" s="630"/>
      <c r="RSZ218" s="630"/>
      <c r="RTA218" s="630"/>
      <c r="RTB218" s="630"/>
      <c r="RTC218" s="630"/>
      <c r="RTD218" s="630"/>
      <c r="RTE218" s="630"/>
      <c r="RTF218" s="630"/>
      <c r="RTG218" s="630"/>
      <c r="RTH218" s="630"/>
      <c r="RTI218" s="630"/>
      <c r="RTJ218" s="630"/>
      <c r="RTK218" s="630"/>
      <c r="RTL218" s="630"/>
      <c r="RTM218" s="630"/>
      <c r="RTN218" s="630"/>
      <c r="RTO218" s="630"/>
      <c r="RTP218" s="630"/>
      <c r="RTQ218" s="630"/>
      <c r="RTR218" s="630"/>
      <c r="RTS218" s="630"/>
      <c r="RTT218" s="630"/>
      <c r="RTU218" s="630"/>
      <c r="RTV218" s="630"/>
      <c r="RTW218" s="630"/>
      <c r="RTX218" s="630"/>
      <c r="RTY218" s="630"/>
      <c r="RTZ218" s="630"/>
      <c r="RUA218" s="630"/>
      <c r="RUB218" s="630"/>
      <c r="RUC218" s="630"/>
      <c r="RUD218" s="630"/>
      <c r="RUE218" s="630"/>
      <c r="RUF218" s="630"/>
      <c r="RUG218" s="630"/>
      <c r="RUH218" s="630"/>
      <c r="RUI218" s="630"/>
      <c r="RUJ218" s="630"/>
      <c r="RUK218" s="630"/>
      <c r="RUL218" s="630"/>
      <c r="RUM218" s="630"/>
      <c r="RUN218" s="630"/>
      <c r="RUO218" s="630"/>
      <c r="RUP218" s="630"/>
      <c r="RUQ218" s="630"/>
      <c r="RUR218" s="630"/>
      <c r="RUS218" s="630"/>
      <c r="RUT218" s="630"/>
      <c r="RUU218" s="630"/>
      <c r="RUV218" s="630"/>
      <c r="RUW218" s="630"/>
      <c r="RUX218" s="630"/>
      <c r="RUY218" s="630"/>
      <c r="RUZ218" s="630"/>
      <c r="RVA218" s="630"/>
      <c r="RVB218" s="630"/>
      <c r="RVC218" s="630"/>
      <c r="RVD218" s="630"/>
      <c r="RVE218" s="630"/>
      <c r="RVF218" s="630"/>
      <c r="RVG218" s="630"/>
      <c r="RVH218" s="630"/>
      <c r="RVI218" s="630"/>
      <c r="RVJ218" s="630"/>
      <c r="RVK218" s="630"/>
      <c r="RVL218" s="630"/>
      <c r="RVM218" s="630"/>
      <c r="RVN218" s="630"/>
      <c r="RVO218" s="630"/>
      <c r="RVP218" s="630"/>
      <c r="RVQ218" s="630"/>
      <c r="RVR218" s="630"/>
      <c r="RVS218" s="630"/>
      <c r="RVT218" s="630"/>
      <c r="RVU218" s="630"/>
      <c r="RVV218" s="630"/>
      <c r="RVW218" s="630"/>
      <c r="RVX218" s="630"/>
      <c r="RVY218" s="630"/>
      <c r="RVZ218" s="630"/>
      <c r="RWA218" s="630"/>
      <c r="RWB218" s="630"/>
      <c r="RWC218" s="630"/>
      <c r="RWD218" s="630"/>
      <c r="RWE218" s="630"/>
      <c r="RWF218" s="630"/>
      <c r="RWG218" s="630"/>
      <c r="RWH218" s="630"/>
      <c r="RWI218" s="630"/>
      <c r="RWJ218" s="630"/>
      <c r="RWK218" s="630"/>
      <c r="RWL218" s="630"/>
      <c r="RWM218" s="630"/>
      <c r="RWN218" s="630"/>
      <c r="RWO218" s="630"/>
      <c r="RWP218" s="630"/>
      <c r="RWQ218" s="630"/>
      <c r="RWR218" s="630"/>
      <c r="RWS218" s="630"/>
      <c r="RWT218" s="630"/>
      <c r="RWU218" s="630"/>
      <c r="RWV218" s="630"/>
      <c r="RWW218" s="630"/>
      <c r="RWX218" s="630"/>
      <c r="RWY218" s="630"/>
      <c r="RWZ218" s="630"/>
      <c r="RXA218" s="630"/>
      <c r="RXB218" s="630"/>
      <c r="RXC218" s="630"/>
      <c r="RXD218" s="630"/>
      <c r="RXE218" s="630"/>
      <c r="RXF218" s="630"/>
      <c r="RXG218" s="630"/>
      <c r="RXH218" s="630"/>
      <c r="RXI218" s="630"/>
      <c r="RXJ218" s="630"/>
      <c r="RXK218" s="630"/>
      <c r="RXL218" s="630"/>
      <c r="RXM218" s="630"/>
      <c r="RXN218" s="630"/>
      <c r="RXO218" s="630"/>
      <c r="RXP218" s="630"/>
      <c r="RXQ218" s="630"/>
      <c r="RXR218" s="630"/>
      <c r="RXS218" s="630"/>
      <c r="RXT218" s="630"/>
      <c r="RXU218" s="630"/>
      <c r="RXV218" s="630"/>
      <c r="RXW218" s="630"/>
      <c r="RXX218" s="630"/>
      <c r="RXY218" s="630"/>
      <c r="RXZ218" s="630"/>
      <c r="RYA218" s="630"/>
      <c r="RYB218" s="630"/>
      <c r="RYC218" s="630"/>
      <c r="RYD218" s="630"/>
      <c r="RYE218" s="630"/>
      <c r="RYF218" s="630"/>
      <c r="RYG218" s="630"/>
      <c r="RYH218" s="630"/>
      <c r="RYI218" s="630"/>
      <c r="RYJ218" s="630"/>
      <c r="RYK218" s="630"/>
      <c r="RYL218" s="630"/>
      <c r="RYM218" s="630"/>
      <c r="RYN218" s="630"/>
      <c r="RYO218" s="630"/>
      <c r="RYP218" s="630"/>
      <c r="RYQ218" s="630"/>
      <c r="RYR218" s="630"/>
      <c r="RYS218" s="630"/>
      <c r="RYT218" s="630"/>
      <c r="RYU218" s="630"/>
      <c r="RYV218" s="630"/>
      <c r="RYW218" s="630"/>
      <c r="RYX218" s="630"/>
      <c r="RYY218" s="630"/>
      <c r="RYZ218" s="630"/>
      <c r="RZA218" s="630"/>
      <c r="RZB218" s="630"/>
      <c r="RZC218" s="630"/>
      <c r="RZD218" s="630"/>
      <c r="RZE218" s="630"/>
      <c r="RZF218" s="630"/>
      <c r="RZG218" s="630"/>
      <c r="RZH218" s="630"/>
      <c r="RZI218" s="630"/>
      <c r="RZJ218" s="630"/>
      <c r="RZK218" s="630"/>
      <c r="RZL218" s="630"/>
      <c r="RZM218" s="630"/>
      <c r="RZN218" s="630"/>
      <c r="RZO218" s="630"/>
      <c r="RZP218" s="630"/>
      <c r="RZQ218" s="630"/>
      <c r="RZR218" s="630"/>
      <c r="RZS218" s="630"/>
      <c r="RZT218" s="630"/>
      <c r="RZU218" s="630"/>
      <c r="RZV218" s="630"/>
      <c r="RZW218" s="630"/>
      <c r="RZX218" s="630"/>
      <c r="RZY218" s="630"/>
      <c r="RZZ218" s="630"/>
      <c r="SAA218" s="630"/>
      <c r="SAB218" s="630"/>
      <c r="SAC218" s="630"/>
      <c r="SAD218" s="630"/>
      <c r="SAE218" s="630"/>
      <c r="SAF218" s="630"/>
      <c r="SAG218" s="630"/>
      <c r="SAH218" s="630"/>
      <c r="SAI218" s="630"/>
      <c r="SAJ218" s="630"/>
      <c r="SAK218" s="630"/>
      <c r="SAL218" s="630"/>
      <c r="SAM218" s="630"/>
      <c r="SAN218" s="630"/>
      <c r="SAO218" s="630"/>
      <c r="SAP218" s="630"/>
      <c r="SAQ218" s="630"/>
      <c r="SAR218" s="630"/>
      <c r="SAS218" s="630"/>
      <c r="SAT218" s="630"/>
      <c r="SAU218" s="630"/>
      <c r="SAV218" s="630"/>
      <c r="SAW218" s="630"/>
      <c r="SAX218" s="630"/>
      <c r="SAY218" s="630"/>
      <c r="SAZ218" s="630"/>
      <c r="SBA218" s="630"/>
      <c r="SBB218" s="630"/>
      <c r="SBC218" s="630"/>
      <c r="SBD218" s="630"/>
      <c r="SBE218" s="630"/>
      <c r="SBF218" s="630"/>
      <c r="SBG218" s="630"/>
      <c r="SBH218" s="630"/>
      <c r="SBI218" s="630"/>
      <c r="SBJ218" s="630"/>
      <c r="SBK218" s="630"/>
      <c r="SBL218" s="630"/>
      <c r="SBM218" s="630"/>
      <c r="SBN218" s="630"/>
      <c r="SBO218" s="630"/>
      <c r="SBP218" s="630"/>
      <c r="SBQ218" s="630"/>
      <c r="SBR218" s="630"/>
      <c r="SBS218" s="630"/>
      <c r="SBT218" s="630"/>
      <c r="SBU218" s="630"/>
      <c r="SBV218" s="630"/>
      <c r="SBW218" s="630"/>
      <c r="SBX218" s="630"/>
      <c r="SBY218" s="630"/>
      <c r="SBZ218" s="630"/>
      <c r="SCA218" s="630"/>
      <c r="SCB218" s="630"/>
      <c r="SCC218" s="630"/>
      <c r="SCD218" s="630"/>
      <c r="SCE218" s="630"/>
      <c r="SCF218" s="630"/>
      <c r="SCG218" s="630"/>
      <c r="SCH218" s="630"/>
      <c r="SCI218" s="630"/>
      <c r="SCJ218" s="630"/>
      <c r="SCK218" s="630"/>
      <c r="SCL218" s="630"/>
      <c r="SCM218" s="630"/>
      <c r="SCN218" s="630"/>
      <c r="SCO218" s="630"/>
      <c r="SCP218" s="630"/>
      <c r="SCQ218" s="630"/>
      <c r="SCR218" s="630"/>
      <c r="SCS218" s="630"/>
      <c r="SCT218" s="630"/>
      <c r="SCU218" s="630"/>
      <c r="SCV218" s="630"/>
      <c r="SCW218" s="630"/>
      <c r="SCX218" s="630"/>
      <c r="SCY218" s="630"/>
      <c r="SCZ218" s="630"/>
      <c r="SDA218" s="630"/>
      <c r="SDB218" s="630"/>
      <c r="SDC218" s="630"/>
      <c r="SDD218" s="630"/>
      <c r="SDE218" s="630"/>
      <c r="SDF218" s="630"/>
      <c r="SDG218" s="630"/>
      <c r="SDH218" s="630"/>
      <c r="SDI218" s="630"/>
      <c r="SDJ218" s="630"/>
      <c r="SDK218" s="630"/>
      <c r="SDL218" s="630"/>
      <c r="SDM218" s="630"/>
      <c r="SDN218" s="630"/>
      <c r="SDO218" s="630"/>
      <c r="SDP218" s="630"/>
      <c r="SDQ218" s="630"/>
      <c r="SDR218" s="630"/>
      <c r="SDS218" s="630"/>
      <c r="SDT218" s="630"/>
      <c r="SDU218" s="630"/>
      <c r="SDV218" s="630"/>
      <c r="SDW218" s="630"/>
      <c r="SDX218" s="630"/>
      <c r="SDY218" s="630"/>
      <c r="SDZ218" s="630"/>
      <c r="SEA218" s="630"/>
      <c r="SEB218" s="630"/>
      <c r="SEC218" s="630"/>
      <c r="SED218" s="630"/>
      <c r="SEE218" s="630"/>
      <c r="SEF218" s="630"/>
      <c r="SEG218" s="630"/>
      <c r="SEH218" s="630"/>
      <c r="SEI218" s="630"/>
      <c r="SEJ218" s="630"/>
      <c r="SEK218" s="630"/>
      <c r="SEL218" s="630"/>
      <c r="SEM218" s="630"/>
      <c r="SEN218" s="630"/>
      <c r="SEO218" s="630"/>
      <c r="SEP218" s="630"/>
      <c r="SEQ218" s="630"/>
      <c r="SER218" s="630"/>
      <c r="SES218" s="630"/>
      <c r="SET218" s="630"/>
      <c r="SEU218" s="630"/>
      <c r="SEV218" s="630"/>
      <c r="SEW218" s="630"/>
      <c r="SEX218" s="630"/>
      <c r="SEY218" s="630"/>
      <c r="SEZ218" s="630"/>
      <c r="SFA218" s="630"/>
      <c r="SFB218" s="630"/>
      <c r="SFC218" s="630"/>
      <c r="SFD218" s="630"/>
      <c r="SFE218" s="630"/>
      <c r="SFF218" s="630"/>
      <c r="SFG218" s="630"/>
      <c r="SFH218" s="630"/>
      <c r="SFI218" s="630"/>
      <c r="SFJ218" s="630"/>
      <c r="SFK218" s="630"/>
      <c r="SFL218" s="630"/>
      <c r="SFM218" s="630"/>
      <c r="SFN218" s="630"/>
      <c r="SFO218" s="630"/>
      <c r="SFP218" s="630"/>
      <c r="SFQ218" s="630"/>
      <c r="SFR218" s="630"/>
      <c r="SFS218" s="630"/>
      <c r="SFT218" s="630"/>
      <c r="SFU218" s="630"/>
      <c r="SFV218" s="630"/>
      <c r="SFW218" s="630"/>
      <c r="SFX218" s="630"/>
      <c r="SFY218" s="630"/>
      <c r="SFZ218" s="630"/>
      <c r="SGA218" s="630"/>
      <c r="SGB218" s="630"/>
      <c r="SGC218" s="630"/>
      <c r="SGD218" s="630"/>
      <c r="SGE218" s="630"/>
      <c r="SGF218" s="630"/>
      <c r="SGG218" s="630"/>
      <c r="SGH218" s="630"/>
      <c r="SGI218" s="630"/>
      <c r="SGJ218" s="630"/>
      <c r="SGK218" s="630"/>
      <c r="SGL218" s="630"/>
      <c r="SGM218" s="630"/>
      <c r="SGN218" s="630"/>
      <c r="SGO218" s="630"/>
      <c r="SGP218" s="630"/>
      <c r="SGQ218" s="630"/>
      <c r="SGR218" s="630"/>
      <c r="SGS218" s="630"/>
      <c r="SGT218" s="630"/>
      <c r="SGU218" s="630"/>
      <c r="SGV218" s="630"/>
      <c r="SGW218" s="630"/>
      <c r="SGX218" s="630"/>
      <c r="SGY218" s="630"/>
      <c r="SGZ218" s="630"/>
      <c r="SHA218" s="630"/>
      <c r="SHB218" s="630"/>
      <c r="SHC218" s="630"/>
      <c r="SHD218" s="630"/>
      <c r="SHE218" s="630"/>
      <c r="SHF218" s="630"/>
      <c r="SHG218" s="630"/>
      <c r="SHH218" s="630"/>
      <c r="SHI218" s="630"/>
      <c r="SHJ218" s="630"/>
      <c r="SHK218" s="630"/>
      <c r="SHL218" s="630"/>
      <c r="SHM218" s="630"/>
      <c r="SHN218" s="630"/>
      <c r="SHO218" s="630"/>
      <c r="SHP218" s="630"/>
      <c r="SHQ218" s="630"/>
      <c r="SHR218" s="630"/>
      <c r="SHS218" s="630"/>
      <c r="SHT218" s="630"/>
      <c r="SHU218" s="630"/>
      <c r="SHV218" s="630"/>
      <c r="SHW218" s="630"/>
      <c r="SHX218" s="630"/>
      <c r="SHY218" s="630"/>
      <c r="SHZ218" s="630"/>
      <c r="SIA218" s="630"/>
      <c r="SIB218" s="630"/>
      <c r="SIC218" s="630"/>
      <c r="SID218" s="630"/>
      <c r="SIE218" s="630"/>
      <c r="SIF218" s="630"/>
      <c r="SIG218" s="630"/>
      <c r="SIH218" s="630"/>
      <c r="SII218" s="630"/>
      <c r="SIJ218" s="630"/>
      <c r="SIK218" s="630"/>
      <c r="SIL218" s="630"/>
      <c r="SIM218" s="630"/>
      <c r="SIN218" s="630"/>
      <c r="SIO218" s="630"/>
      <c r="SIP218" s="630"/>
      <c r="SIQ218" s="630"/>
      <c r="SIR218" s="630"/>
      <c r="SIS218" s="630"/>
      <c r="SIT218" s="630"/>
      <c r="SIU218" s="630"/>
      <c r="SIV218" s="630"/>
      <c r="SIW218" s="630"/>
      <c r="SIX218" s="630"/>
      <c r="SIY218" s="630"/>
      <c r="SIZ218" s="630"/>
      <c r="SJA218" s="630"/>
      <c r="SJB218" s="630"/>
      <c r="SJC218" s="630"/>
      <c r="SJD218" s="630"/>
      <c r="SJE218" s="630"/>
      <c r="SJF218" s="630"/>
      <c r="SJG218" s="630"/>
      <c r="SJH218" s="630"/>
      <c r="SJI218" s="630"/>
      <c r="SJJ218" s="630"/>
      <c r="SJK218" s="630"/>
      <c r="SJL218" s="630"/>
      <c r="SJM218" s="630"/>
      <c r="SJN218" s="630"/>
      <c r="SJO218" s="630"/>
      <c r="SJP218" s="630"/>
      <c r="SJQ218" s="630"/>
      <c r="SJR218" s="630"/>
      <c r="SJS218" s="630"/>
      <c r="SJT218" s="630"/>
      <c r="SJU218" s="630"/>
      <c r="SJV218" s="630"/>
      <c r="SJW218" s="630"/>
      <c r="SJX218" s="630"/>
      <c r="SJY218" s="630"/>
      <c r="SJZ218" s="630"/>
      <c r="SKA218" s="630"/>
      <c r="SKB218" s="630"/>
      <c r="SKC218" s="630"/>
      <c r="SKD218" s="630"/>
      <c r="SKE218" s="630"/>
      <c r="SKF218" s="630"/>
      <c r="SKG218" s="630"/>
      <c r="SKH218" s="630"/>
      <c r="SKI218" s="630"/>
      <c r="SKJ218" s="630"/>
      <c r="SKK218" s="630"/>
      <c r="SKL218" s="630"/>
      <c r="SKM218" s="630"/>
      <c r="SKN218" s="630"/>
      <c r="SKO218" s="630"/>
      <c r="SKP218" s="630"/>
      <c r="SKQ218" s="630"/>
      <c r="SKR218" s="630"/>
      <c r="SKS218" s="630"/>
      <c r="SKT218" s="630"/>
      <c r="SKU218" s="630"/>
      <c r="SKV218" s="630"/>
      <c r="SKW218" s="630"/>
      <c r="SKX218" s="630"/>
      <c r="SKY218" s="630"/>
      <c r="SKZ218" s="630"/>
      <c r="SLA218" s="630"/>
      <c r="SLB218" s="630"/>
      <c r="SLC218" s="630"/>
      <c r="SLD218" s="630"/>
      <c r="SLE218" s="630"/>
      <c r="SLF218" s="630"/>
      <c r="SLG218" s="630"/>
      <c r="SLH218" s="630"/>
      <c r="SLI218" s="630"/>
      <c r="SLJ218" s="630"/>
      <c r="SLK218" s="630"/>
      <c r="SLL218" s="630"/>
      <c r="SLM218" s="630"/>
      <c r="SLN218" s="630"/>
      <c r="SLO218" s="630"/>
      <c r="SLP218" s="630"/>
      <c r="SLQ218" s="630"/>
      <c r="SLR218" s="630"/>
      <c r="SLS218" s="630"/>
      <c r="SLT218" s="630"/>
      <c r="SLU218" s="630"/>
      <c r="SLV218" s="630"/>
      <c r="SLW218" s="630"/>
      <c r="SLX218" s="630"/>
      <c r="SLY218" s="630"/>
      <c r="SLZ218" s="630"/>
      <c r="SMA218" s="630"/>
      <c r="SMB218" s="630"/>
      <c r="SMC218" s="630"/>
      <c r="SMD218" s="630"/>
      <c r="SME218" s="630"/>
      <c r="SMF218" s="630"/>
      <c r="SMG218" s="630"/>
      <c r="SMH218" s="630"/>
      <c r="SMI218" s="630"/>
      <c r="SMJ218" s="630"/>
      <c r="SMK218" s="630"/>
      <c r="SML218" s="630"/>
      <c r="SMM218" s="630"/>
      <c r="SMN218" s="630"/>
      <c r="SMO218" s="630"/>
      <c r="SMP218" s="630"/>
      <c r="SMQ218" s="630"/>
      <c r="SMR218" s="630"/>
      <c r="SMS218" s="630"/>
      <c r="SMT218" s="630"/>
      <c r="SMU218" s="630"/>
      <c r="SMV218" s="630"/>
      <c r="SMW218" s="630"/>
      <c r="SMX218" s="630"/>
      <c r="SMY218" s="630"/>
      <c r="SMZ218" s="630"/>
      <c r="SNA218" s="630"/>
      <c r="SNB218" s="630"/>
      <c r="SNC218" s="630"/>
      <c r="SND218" s="630"/>
      <c r="SNE218" s="630"/>
      <c r="SNF218" s="630"/>
      <c r="SNG218" s="630"/>
      <c r="SNH218" s="630"/>
      <c r="SNI218" s="630"/>
      <c r="SNJ218" s="630"/>
      <c r="SNK218" s="630"/>
      <c r="SNL218" s="630"/>
      <c r="SNM218" s="630"/>
      <c r="SNN218" s="630"/>
      <c r="SNO218" s="630"/>
      <c r="SNP218" s="630"/>
      <c r="SNQ218" s="630"/>
      <c r="SNR218" s="630"/>
      <c r="SNS218" s="630"/>
      <c r="SNT218" s="630"/>
      <c r="SNU218" s="630"/>
      <c r="SNV218" s="630"/>
      <c r="SNW218" s="630"/>
      <c r="SNX218" s="630"/>
      <c r="SNY218" s="630"/>
      <c r="SNZ218" s="630"/>
      <c r="SOA218" s="630"/>
      <c r="SOB218" s="630"/>
      <c r="SOC218" s="630"/>
      <c r="SOD218" s="630"/>
      <c r="SOE218" s="630"/>
      <c r="SOF218" s="630"/>
      <c r="SOG218" s="630"/>
      <c r="SOH218" s="630"/>
      <c r="SOI218" s="630"/>
      <c r="SOJ218" s="630"/>
      <c r="SOK218" s="630"/>
      <c r="SOL218" s="630"/>
      <c r="SOM218" s="630"/>
      <c r="SON218" s="630"/>
      <c r="SOO218" s="630"/>
      <c r="SOP218" s="630"/>
      <c r="SOQ218" s="630"/>
      <c r="SOR218" s="630"/>
      <c r="SOS218" s="630"/>
      <c r="SOT218" s="630"/>
      <c r="SOU218" s="630"/>
      <c r="SOV218" s="630"/>
      <c r="SOW218" s="630"/>
      <c r="SOX218" s="630"/>
      <c r="SOY218" s="630"/>
      <c r="SOZ218" s="630"/>
      <c r="SPA218" s="630"/>
      <c r="SPB218" s="630"/>
      <c r="SPC218" s="630"/>
      <c r="SPD218" s="630"/>
      <c r="SPE218" s="630"/>
      <c r="SPF218" s="630"/>
      <c r="SPG218" s="630"/>
      <c r="SPH218" s="630"/>
      <c r="SPI218" s="630"/>
      <c r="SPJ218" s="630"/>
      <c r="SPK218" s="630"/>
      <c r="SPL218" s="630"/>
      <c r="SPM218" s="630"/>
      <c r="SPN218" s="630"/>
      <c r="SPO218" s="630"/>
      <c r="SPP218" s="630"/>
      <c r="SPQ218" s="630"/>
      <c r="SPR218" s="630"/>
      <c r="SPS218" s="630"/>
      <c r="SPT218" s="630"/>
      <c r="SPU218" s="630"/>
      <c r="SPV218" s="630"/>
      <c r="SPW218" s="630"/>
      <c r="SPX218" s="630"/>
      <c r="SPY218" s="630"/>
      <c r="SPZ218" s="630"/>
      <c r="SQA218" s="630"/>
      <c r="SQB218" s="630"/>
      <c r="SQC218" s="630"/>
      <c r="SQD218" s="630"/>
      <c r="SQE218" s="630"/>
      <c r="SQF218" s="630"/>
      <c r="SQG218" s="630"/>
      <c r="SQH218" s="630"/>
      <c r="SQI218" s="630"/>
      <c r="SQJ218" s="630"/>
      <c r="SQK218" s="630"/>
      <c r="SQL218" s="630"/>
      <c r="SQM218" s="630"/>
      <c r="SQN218" s="630"/>
      <c r="SQO218" s="630"/>
      <c r="SQP218" s="630"/>
      <c r="SQQ218" s="630"/>
      <c r="SQR218" s="630"/>
      <c r="SQS218" s="630"/>
      <c r="SQT218" s="630"/>
      <c r="SQU218" s="630"/>
      <c r="SQV218" s="630"/>
      <c r="SQW218" s="630"/>
      <c r="SQX218" s="630"/>
      <c r="SQY218" s="630"/>
      <c r="SQZ218" s="630"/>
      <c r="SRA218" s="630"/>
      <c r="SRB218" s="630"/>
      <c r="SRC218" s="630"/>
      <c r="SRD218" s="630"/>
      <c r="SRE218" s="630"/>
      <c r="SRF218" s="630"/>
      <c r="SRG218" s="630"/>
      <c r="SRH218" s="630"/>
      <c r="SRI218" s="630"/>
      <c r="SRJ218" s="630"/>
      <c r="SRK218" s="630"/>
      <c r="SRL218" s="630"/>
      <c r="SRM218" s="630"/>
      <c r="SRN218" s="630"/>
      <c r="SRO218" s="630"/>
      <c r="SRP218" s="630"/>
      <c r="SRQ218" s="630"/>
      <c r="SRR218" s="630"/>
      <c r="SRS218" s="630"/>
      <c r="SRT218" s="630"/>
      <c r="SRU218" s="630"/>
      <c r="SRV218" s="630"/>
      <c r="SRW218" s="630"/>
      <c r="SRX218" s="630"/>
      <c r="SRY218" s="630"/>
      <c r="SRZ218" s="630"/>
      <c r="SSA218" s="630"/>
      <c r="SSB218" s="630"/>
      <c r="SSC218" s="630"/>
      <c r="SSD218" s="630"/>
      <c r="SSE218" s="630"/>
      <c r="SSF218" s="630"/>
      <c r="SSG218" s="630"/>
      <c r="SSH218" s="630"/>
      <c r="SSI218" s="630"/>
      <c r="SSJ218" s="630"/>
      <c r="SSK218" s="630"/>
      <c r="SSL218" s="630"/>
      <c r="SSM218" s="630"/>
      <c r="SSN218" s="630"/>
      <c r="SSO218" s="630"/>
      <c r="SSP218" s="630"/>
      <c r="SSQ218" s="630"/>
      <c r="SSR218" s="630"/>
      <c r="SSS218" s="630"/>
      <c r="SST218" s="630"/>
      <c r="SSU218" s="630"/>
      <c r="SSV218" s="630"/>
      <c r="SSW218" s="630"/>
      <c r="SSX218" s="630"/>
      <c r="SSY218" s="630"/>
      <c r="SSZ218" s="630"/>
      <c r="STA218" s="630"/>
      <c r="STB218" s="630"/>
      <c r="STC218" s="630"/>
      <c r="STD218" s="630"/>
      <c r="STE218" s="630"/>
      <c r="STF218" s="630"/>
      <c r="STG218" s="630"/>
      <c r="STH218" s="630"/>
      <c r="STI218" s="630"/>
      <c r="STJ218" s="630"/>
      <c r="STK218" s="630"/>
      <c r="STL218" s="630"/>
      <c r="STM218" s="630"/>
      <c r="STN218" s="630"/>
      <c r="STO218" s="630"/>
      <c r="STP218" s="630"/>
      <c r="STQ218" s="630"/>
      <c r="STR218" s="630"/>
      <c r="STS218" s="630"/>
      <c r="STT218" s="630"/>
      <c r="STU218" s="630"/>
      <c r="STV218" s="630"/>
      <c r="STW218" s="630"/>
      <c r="STX218" s="630"/>
      <c r="STY218" s="630"/>
      <c r="STZ218" s="630"/>
      <c r="SUA218" s="630"/>
      <c r="SUB218" s="630"/>
      <c r="SUC218" s="630"/>
      <c r="SUD218" s="630"/>
      <c r="SUE218" s="630"/>
      <c r="SUF218" s="630"/>
      <c r="SUG218" s="630"/>
      <c r="SUH218" s="630"/>
      <c r="SUI218" s="630"/>
      <c r="SUJ218" s="630"/>
      <c r="SUK218" s="630"/>
      <c r="SUL218" s="630"/>
      <c r="SUM218" s="630"/>
      <c r="SUN218" s="630"/>
      <c r="SUO218" s="630"/>
      <c r="SUP218" s="630"/>
      <c r="SUQ218" s="630"/>
      <c r="SUR218" s="630"/>
      <c r="SUS218" s="630"/>
      <c r="SUT218" s="630"/>
      <c r="SUU218" s="630"/>
      <c r="SUV218" s="630"/>
      <c r="SUW218" s="630"/>
      <c r="SUX218" s="630"/>
      <c r="SUY218" s="630"/>
      <c r="SUZ218" s="630"/>
      <c r="SVA218" s="630"/>
      <c r="SVB218" s="630"/>
      <c r="SVC218" s="630"/>
      <c r="SVD218" s="630"/>
      <c r="SVE218" s="630"/>
      <c r="SVF218" s="630"/>
      <c r="SVG218" s="630"/>
      <c r="SVH218" s="630"/>
      <c r="SVI218" s="630"/>
      <c r="SVJ218" s="630"/>
      <c r="SVK218" s="630"/>
      <c r="SVL218" s="630"/>
      <c r="SVM218" s="630"/>
      <c r="SVN218" s="630"/>
      <c r="SVO218" s="630"/>
      <c r="SVP218" s="630"/>
      <c r="SVQ218" s="630"/>
      <c r="SVR218" s="630"/>
      <c r="SVS218" s="630"/>
      <c r="SVT218" s="630"/>
      <c r="SVU218" s="630"/>
      <c r="SVV218" s="630"/>
      <c r="SVW218" s="630"/>
      <c r="SVX218" s="630"/>
      <c r="SVY218" s="630"/>
      <c r="SVZ218" s="630"/>
      <c r="SWA218" s="630"/>
      <c r="SWB218" s="630"/>
      <c r="SWC218" s="630"/>
      <c r="SWD218" s="630"/>
      <c r="SWE218" s="630"/>
      <c r="SWF218" s="630"/>
      <c r="SWG218" s="630"/>
      <c r="SWH218" s="630"/>
      <c r="SWI218" s="630"/>
      <c r="SWJ218" s="630"/>
      <c r="SWK218" s="630"/>
      <c r="SWL218" s="630"/>
      <c r="SWM218" s="630"/>
      <c r="SWN218" s="630"/>
      <c r="SWO218" s="630"/>
      <c r="SWP218" s="630"/>
      <c r="SWQ218" s="630"/>
      <c r="SWR218" s="630"/>
      <c r="SWS218" s="630"/>
      <c r="SWT218" s="630"/>
      <c r="SWU218" s="630"/>
      <c r="SWV218" s="630"/>
      <c r="SWW218" s="630"/>
      <c r="SWX218" s="630"/>
      <c r="SWY218" s="630"/>
      <c r="SWZ218" s="630"/>
      <c r="SXA218" s="630"/>
      <c r="SXB218" s="630"/>
      <c r="SXC218" s="630"/>
      <c r="SXD218" s="630"/>
      <c r="SXE218" s="630"/>
      <c r="SXF218" s="630"/>
      <c r="SXG218" s="630"/>
      <c r="SXH218" s="630"/>
      <c r="SXI218" s="630"/>
      <c r="SXJ218" s="630"/>
      <c r="SXK218" s="630"/>
      <c r="SXL218" s="630"/>
      <c r="SXM218" s="630"/>
      <c r="SXN218" s="630"/>
      <c r="SXO218" s="630"/>
      <c r="SXP218" s="630"/>
      <c r="SXQ218" s="630"/>
      <c r="SXR218" s="630"/>
      <c r="SXS218" s="630"/>
      <c r="SXT218" s="630"/>
      <c r="SXU218" s="630"/>
      <c r="SXV218" s="630"/>
      <c r="SXW218" s="630"/>
      <c r="SXX218" s="630"/>
      <c r="SXY218" s="630"/>
      <c r="SXZ218" s="630"/>
      <c r="SYA218" s="630"/>
      <c r="SYB218" s="630"/>
      <c r="SYC218" s="630"/>
      <c r="SYD218" s="630"/>
      <c r="SYE218" s="630"/>
      <c r="SYF218" s="630"/>
      <c r="SYG218" s="630"/>
      <c r="SYH218" s="630"/>
      <c r="SYI218" s="630"/>
      <c r="SYJ218" s="630"/>
      <c r="SYK218" s="630"/>
      <c r="SYL218" s="630"/>
      <c r="SYM218" s="630"/>
      <c r="SYN218" s="630"/>
      <c r="SYO218" s="630"/>
      <c r="SYP218" s="630"/>
      <c r="SYQ218" s="630"/>
      <c r="SYR218" s="630"/>
      <c r="SYS218" s="630"/>
      <c r="SYT218" s="630"/>
      <c r="SYU218" s="630"/>
      <c r="SYV218" s="630"/>
      <c r="SYW218" s="630"/>
      <c r="SYX218" s="630"/>
      <c r="SYY218" s="630"/>
      <c r="SYZ218" s="630"/>
      <c r="SZA218" s="630"/>
      <c r="SZB218" s="630"/>
      <c r="SZC218" s="630"/>
      <c r="SZD218" s="630"/>
      <c r="SZE218" s="630"/>
      <c r="SZF218" s="630"/>
      <c r="SZG218" s="630"/>
      <c r="SZH218" s="630"/>
      <c r="SZI218" s="630"/>
      <c r="SZJ218" s="630"/>
      <c r="SZK218" s="630"/>
      <c r="SZL218" s="630"/>
      <c r="SZM218" s="630"/>
      <c r="SZN218" s="630"/>
      <c r="SZO218" s="630"/>
      <c r="SZP218" s="630"/>
      <c r="SZQ218" s="630"/>
      <c r="SZR218" s="630"/>
      <c r="SZS218" s="630"/>
      <c r="SZT218" s="630"/>
      <c r="SZU218" s="630"/>
      <c r="SZV218" s="630"/>
      <c r="SZW218" s="630"/>
      <c r="SZX218" s="630"/>
      <c r="SZY218" s="630"/>
      <c r="SZZ218" s="630"/>
      <c r="TAA218" s="630"/>
      <c r="TAB218" s="630"/>
      <c r="TAC218" s="630"/>
      <c r="TAD218" s="630"/>
      <c r="TAE218" s="630"/>
      <c r="TAF218" s="630"/>
      <c r="TAG218" s="630"/>
      <c r="TAH218" s="630"/>
      <c r="TAI218" s="630"/>
      <c r="TAJ218" s="630"/>
      <c r="TAK218" s="630"/>
      <c r="TAL218" s="630"/>
      <c r="TAM218" s="630"/>
      <c r="TAN218" s="630"/>
      <c r="TAO218" s="630"/>
      <c r="TAP218" s="630"/>
      <c r="TAQ218" s="630"/>
      <c r="TAR218" s="630"/>
      <c r="TAS218" s="630"/>
      <c r="TAT218" s="630"/>
      <c r="TAU218" s="630"/>
      <c r="TAV218" s="630"/>
      <c r="TAW218" s="630"/>
      <c r="TAX218" s="630"/>
      <c r="TAY218" s="630"/>
      <c r="TAZ218" s="630"/>
      <c r="TBA218" s="630"/>
      <c r="TBB218" s="630"/>
      <c r="TBC218" s="630"/>
      <c r="TBD218" s="630"/>
      <c r="TBE218" s="630"/>
      <c r="TBF218" s="630"/>
      <c r="TBG218" s="630"/>
      <c r="TBH218" s="630"/>
      <c r="TBI218" s="630"/>
      <c r="TBJ218" s="630"/>
      <c r="TBK218" s="630"/>
      <c r="TBL218" s="630"/>
      <c r="TBM218" s="630"/>
      <c r="TBN218" s="630"/>
      <c r="TBO218" s="630"/>
      <c r="TBP218" s="630"/>
      <c r="TBQ218" s="630"/>
      <c r="TBR218" s="630"/>
      <c r="TBS218" s="630"/>
      <c r="TBT218" s="630"/>
      <c r="TBU218" s="630"/>
      <c r="TBV218" s="630"/>
      <c r="TBW218" s="630"/>
      <c r="TBX218" s="630"/>
      <c r="TBY218" s="630"/>
      <c r="TBZ218" s="630"/>
      <c r="TCA218" s="630"/>
      <c r="TCB218" s="630"/>
      <c r="TCC218" s="630"/>
      <c r="TCD218" s="630"/>
      <c r="TCE218" s="630"/>
      <c r="TCF218" s="630"/>
      <c r="TCG218" s="630"/>
      <c r="TCH218" s="630"/>
      <c r="TCI218" s="630"/>
      <c r="TCJ218" s="630"/>
      <c r="TCK218" s="630"/>
      <c r="TCL218" s="630"/>
      <c r="TCM218" s="630"/>
      <c r="TCN218" s="630"/>
      <c r="TCO218" s="630"/>
      <c r="TCP218" s="630"/>
      <c r="TCQ218" s="630"/>
      <c r="TCR218" s="630"/>
      <c r="TCS218" s="630"/>
      <c r="TCT218" s="630"/>
      <c r="TCU218" s="630"/>
      <c r="TCV218" s="630"/>
      <c r="TCW218" s="630"/>
      <c r="TCX218" s="630"/>
      <c r="TCY218" s="630"/>
      <c r="TCZ218" s="630"/>
      <c r="TDA218" s="630"/>
      <c r="TDB218" s="630"/>
      <c r="TDC218" s="630"/>
      <c r="TDD218" s="630"/>
      <c r="TDE218" s="630"/>
      <c r="TDF218" s="630"/>
      <c r="TDG218" s="630"/>
      <c r="TDH218" s="630"/>
      <c r="TDI218" s="630"/>
      <c r="TDJ218" s="630"/>
      <c r="TDK218" s="630"/>
      <c r="TDL218" s="630"/>
      <c r="TDM218" s="630"/>
      <c r="TDN218" s="630"/>
      <c r="TDO218" s="630"/>
      <c r="TDP218" s="630"/>
      <c r="TDQ218" s="630"/>
      <c r="TDR218" s="630"/>
      <c r="TDS218" s="630"/>
      <c r="TDT218" s="630"/>
      <c r="TDU218" s="630"/>
      <c r="TDV218" s="630"/>
      <c r="TDW218" s="630"/>
      <c r="TDX218" s="630"/>
      <c r="TDY218" s="630"/>
      <c r="TDZ218" s="630"/>
      <c r="TEA218" s="630"/>
      <c r="TEB218" s="630"/>
      <c r="TEC218" s="630"/>
      <c r="TED218" s="630"/>
      <c r="TEE218" s="630"/>
      <c r="TEF218" s="630"/>
      <c r="TEG218" s="630"/>
      <c r="TEH218" s="630"/>
      <c r="TEI218" s="630"/>
      <c r="TEJ218" s="630"/>
      <c r="TEK218" s="630"/>
      <c r="TEL218" s="630"/>
      <c r="TEM218" s="630"/>
      <c r="TEN218" s="630"/>
      <c r="TEO218" s="630"/>
      <c r="TEP218" s="630"/>
      <c r="TEQ218" s="630"/>
      <c r="TER218" s="630"/>
      <c r="TES218" s="630"/>
      <c r="TET218" s="630"/>
      <c r="TEU218" s="630"/>
      <c r="TEV218" s="630"/>
      <c r="TEW218" s="630"/>
      <c r="TEX218" s="630"/>
      <c r="TEY218" s="630"/>
      <c r="TEZ218" s="630"/>
      <c r="TFA218" s="630"/>
      <c r="TFB218" s="630"/>
      <c r="TFC218" s="630"/>
      <c r="TFD218" s="630"/>
      <c r="TFE218" s="630"/>
      <c r="TFF218" s="630"/>
      <c r="TFG218" s="630"/>
      <c r="TFH218" s="630"/>
      <c r="TFI218" s="630"/>
      <c r="TFJ218" s="630"/>
      <c r="TFK218" s="630"/>
      <c r="TFL218" s="630"/>
      <c r="TFM218" s="630"/>
      <c r="TFN218" s="630"/>
      <c r="TFO218" s="630"/>
      <c r="TFP218" s="630"/>
      <c r="TFQ218" s="630"/>
      <c r="TFR218" s="630"/>
      <c r="TFS218" s="630"/>
      <c r="TFT218" s="630"/>
      <c r="TFU218" s="630"/>
      <c r="TFV218" s="630"/>
      <c r="TFW218" s="630"/>
      <c r="TFX218" s="630"/>
      <c r="TFY218" s="630"/>
      <c r="TFZ218" s="630"/>
      <c r="TGA218" s="630"/>
      <c r="TGB218" s="630"/>
      <c r="TGC218" s="630"/>
      <c r="TGD218" s="630"/>
      <c r="TGE218" s="630"/>
      <c r="TGF218" s="630"/>
      <c r="TGG218" s="630"/>
      <c r="TGH218" s="630"/>
      <c r="TGI218" s="630"/>
      <c r="TGJ218" s="630"/>
      <c r="TGK218" s="630"/>
      <c r="TGL218" s="630"/>
      <c r="TGM218" s="630"/>
      <c r="TGN218" s="630"/>
      <c r="TGO218" s="630"/>
      <c r="TGP218" s="630"/>
      <c r="TGQ218" s="630"/>
      <c r="TGR218" s="630"/>
      <c r="TGS218" s="630"/>
      <c r="TGT218" s="630"/>
      <c r="TGU218" s="630"/>
      <c r="TGV218" s="630"/>
      <c r="TGW218" s="630"/>
      <c r="TGX218" s="630"/>
      <c r="TGY218" s="630"/>
      <c r="TGZ218" s="630"/>
      <c r="THA218" s="630"/>
      <c r="THB218" s="630"/>
      <c r="THC218" s="630"/>
      <c r="THD218" s="630"/>
      <c r="THE218" s="630"/>
      <c r="THF218" s="630"/>
      <c r="THG218" s="630"/>
      <c r="THH218" s="630"/>
      <c r="THI218" s="630"/>
      <c r="THJ218" s="630"/>
      <c r="THK218" s="630"/>
      <c r="THL218" s="630"/>
      <c r="THM218" s="630"/>
      <c r="THN218" s="630"/>
      <c r="THO218" s="630"/>
      <c r="THP218" s="630"/>
      <c r="THQ218" s="630"/>
      <c r="THR218" s="630"/>
      <c r="THS218" s="630"/>
      <c r="THT218" s="630"/>
      <c r="THU218" s="630"/>
      <c r="THV218" s="630"/>
      <c r="THW218" s="630"/>
      <c r="THX218" s="630"/>
      <c r="THY218" s="630"/>
      <c r="THZ218" s="630"/>
      <c r="TIA218" s="630"/>
      <c r="TIB218" s="630"/>
      <c r="TIC218" s="630"/>
      <c r="TID218" s="630"/>
      <c r="TIE218" s="630"/>
      <c r="TIF218" s="630"/>
      <c r="TIG218" s="630"/>
      <c r="TIH218" s="630"/>
      <c r="TII218" s="630"/>
      <c r="TIJ218" s="630"/>
      <c r="TIK218" s="630"/>
      <c r="TIL218" s="630"/>
      <c r="TIM218" s="630"/>
      <c r="TIN218" s="630"/>
      <c r="TIO218" s="630"/>
      <c r="TIP218" s="630"/>
      <c r="TIQ218" s="630"/>
      <c r="TIR218" s="630"/>
      <c r="TIS218" s="630"/>
      <c r="TIT218" s="630"/>
      <c r="TIU218" s="630"/>
      <c r="TIV218" s="630"/>
      <c r="TIW218" s="630"/>
      <c r="TIX218" s="630"/>
      <c r="TIY218" s="630"/>
      <c r="TIZ218" s="630"/>
      <c r="TJA218" s="630"/>
      <c r="TJB218" s="630"/>
      <c r="TJC218" s="630"/>
      <c r="TJD218" s="630"/>
      <c r="TJE218" s="630"/>
      <c r="TJF218" s="630"/>
      <c r="TJG218" s="630"/>
      <c r="TJH218" s="630"/>
      <c r="TJI218" s="630"/>
      <c r="TJJ218" s="630"/>
      <c r="TJK218" s="630"/>
      <c r="TJL218" s="630"/>
      <c r="TJM218" s="630"/>
      <c r="TJN218" s="630"/>
      <c r="TJO218" s="630"/>
      <c r="TJP218" s="630"/>
      <c r="TJQ218" s="630"/>
      <c r="TJR218" s="630"/>
      <c r="TJS218" s="630"/>
      <c r="TJT218" s="630"/>
      <c r="TJU218" s="630"/>
      <c r="TJV218" s="630"/>
      <c r="TJW218" s="630"/>
      <c r="TJX218" s="630"/>
      <c r="TJY218" s="630"/>
      <c r="TJZ218" s="630"/>
      <c r="TKA218" s="630"/>
      <c r="TKB218" s="630"/>
      <c r="TKC218" s="630"/>
      <c r="TKD218" s="630"/>
      <c r="TKE218" s="630"/>
      <c r="TKF218" s="630"/>
      <c r="TKG218" s="630"/>
      <c r="TKH218" s="630"/>
      <c r="TKI218" s="630"/>
      <c r="TKJ218" s="630"/>
      <c r="TKK218" s="630"/>
      <c r="TKL218" s="630"/>
      <c r="TKM218" s="630"/>
      <c r="TKN218" s="630"/>
      <c r="TKO218" s="630"/>
      <c r="TKP218" s="630"/>
      <c r="TKQ218" s="630"/>
      <c r="TKR218" s="630"/>
      <c r="TKS218" s="630"/>
      <c r="TKT218" s="630"/>
      <c r="TKU218" s="630"/>
      <c r="TKV218" s="630"/>
      <c r="TKW218" s="630"/>
      <c r="TKX218" s="630"/>
      <c r="TKY218" s="630"/>
      <c r="TKZ218" s="630"/>
      <c r="TLA218" s="630"/>
      <c r="TLB218" s="630"/>
      <c r="TLC218" s="630"/>
      <c r="TLD218" s="630"/>
      <c r="TLE218" s="630"/>
      <c r="TLF218" s="630"/>
      <c r="TLG218" s="630"/>
      <c r="TLH218" s="630"/>
      <c r="TLI218" s="630"/>
      <c r="TLJ218" s="630"/>
      <c r="TLK218" s="630"/>
      <c r="TLL218" s="630"/>
      <c r="TLM218" s="630"/>
      <c r="TLN218" s="630"/>
      <c r="TLO218" s="630"/>
      <c r="TLP218" s="630"/>
      <c r="TLQ218" s="630"/>
      <c r="TLR218" s="630"/>
      <c r="TLS218" s="630"/>
      <c r="TLT218" s="630"/>
      <c r="TLU218" s="630"/>
      <c r="TLV218" s="630"/>
      <c r="TLW218" s="630"/>
      <c r="TLX218" s="630"/>
      <c r="TLY218" s="630"/>
      <c r="TLZ218" s="630"/>
      <c r="TMA218" s="630"/>
      <c r="TMB218" s="630"/>
      <c r="TMC218" s="630"/>
      <c r="TMD218" s="630"/>
      <c r="TME218" s="630"/>
      <c r="TMF218" s="630"/>
      <c r="TMG218" s="630"/>
      <c r="TMH218" s="630"/>
      <c r="TMI218" s="630"/>
      <c r="TMJ218" s="630"/>
      <c r="TMK218" s="630"/>
      <c r="TML218" s="630"/>
      <c r="TMM218" s="630"/>
      <c r="TMN218" s="630"/>
      <c r="TMO218" s="630"/>
      <c r="TMP218" s="630"/>
      <c r="TMQ218" s="630"/>
      <c r="TMR218" s="630"/>
      <c r="TMS218" s="630"/>
      <c r="TMT218" s="630"/>
      <c r="TMU218" s="630"/>
      <c r="TMV218" s="630"/>
      <c r="TMW218" s="630"/>
      <c r="TMX218" s="630"/>
      <c r="TMY218" s="630"/>
      <c r="TMZ218" s="630"/>
      <c r="TNA218" s="630"/>
      <c r="TNB218" s="630"/>
      <c r="TNC218" s="630"/>
      <c r="TND218" s="630"/>
      <c r="TNE218" s="630"/>
      <c r="TNF218" s="630"/>
      <c r="TNG218" s="630"/>
      <c r="TNH218" s="630"/>
      <c r="TNI218" s="630"/>
      <c r="TNJ218" s="630"/>
      <c r="TNK218" s="630"/>
      <c r="TNL218" s="630"/>
      <c r="TNM218" s="630"/>
      <c r="TNN218" s="630"/>
      <c r="TNO218" s="630"/>
      <c r="TNP218" s="630"/>
      <c r="TNQ218" s="630"/>
      <c r="TNR218" s="630"/>
      <c r="TNS218" s="630"/>
      <c r="TNT218" s="630"/>
      <c r="TNU218" s="630"/>
      <c r="TNV218" s="630"/>
      <c r="TNW218" s="630"/>
      <c r="TNX218" s="630"/>
      <c r="TNY218" s="630"/>
      <c r="TNZ218" s="630"/>
      <c r="TOA218" s="630"/>
      <c r="TOB218" s="630"/>
      <c r="TOC218" s="630"/>
      <c r="TOD218" s="630"/>
      <c r="TOE218" s="630"/>
      <c r="TOF218" s="630"/>
      <c r="TOG218" s="630"/>
      <c r="TOH218" s="630"/>
      <c r="TOI218" s="630"/>
      <c r="TOJ218" s="630"/>
      <c r="TOK218" s="630"/>
      <c r="TOL218" s="630"/>
      <c r="TOM218" s="630"/>
      <c r="TON218" s="630"/>
      <c r="TOO218" s="630"/>
      <c r="TOP218" s="630"/>
      <c r="TOQ218" s="630"/>
      <c r="TOR218" s="630"/>
      <c r="TOS218" s="630"/>
      <c r="TOT218" s="630"/>
      <c r="TOU218" s="630"/>
      <c r="TOV218" s="630"/>
      <c r="TOW218" s="630"/>
      <c r="TOX218" s="630"/>
      <c r="TOY218" s="630"/>
      <c r="TOZ218" s="630"/>
      <c r="TPA218" s="630"/>
      <c r="TPB218" s="630"/>
      <c r="TPC218" s="630"/>
      <c r="TPD218" s="630"/>
      <c r="TPE218" s="630"/>
      <c r="TPF218" s="630"/>
      <c r="TPG218" s="630"/>
      <c r="TPH218" s="630"/>
      <c r="TPI218" s="630"/>
      <c r="TPJ218" s="630"/>
      <c r="TPK218" s="630"/>
      <c r="TPL218" s="630"/>
      <c r="TPM218" s="630"/>
      <c r="TPN218" s="630"/>
      <c r="TPO218" s="630"/>
      <c r="TPP218" s="630"/>
      <c r="TPQ218" s="630"/>
      <c r="TPR218" s="630"/>
      <c r="TPS218" s="630"/>
      <c r="TPT218" s="630"/>
      <c r="TPU218" s="630"/>
      <c r="TPV218" s="630"/>
      <c r="TPW218" s="630"/>
      <c r="TPX218" s="630"/>
      <c r="TPY218" s="630"/>
      <c r="TPZ218" s="630"/>
      <c r="TQA218" s="630"/>
      <c r="TQB218" s="630"/>
      <c r="TQC218" s="630"/>
      <c r="TQD218" s="630"/>
      <c r="TQE218" s="630"/>
      <c r="TQF218" s="630"/>
      <c r="TQG218" s="630"/>
      <c r="TQH218" s="630"/>
      <c r="TQI218" s="630"/>
      <c r="TQJ218" s="630"/>
      <c r="TQK218" s="630"/>
      <c r="TQL218" s="630"/>
      <c r="TQM218" s="630"/>
      <c r="TQN218" s="630"/>
      <c r="TQO218" s="630"/>
      <c r="TQP218" s="630"/>
      <c r="TQQ218" s="630"/>
      <c r="TQR218" s="630"/>
      <c r="TQS218" s="630"/>
      <c r="TQT218" s="630"/>
      <c r="TQU218" s="630"/>
      <c r="TQV218" s="630"/>
      <c r="TQW218" s="630"/>
      <c r="TQX218" s="630"/>
      <c r="TQY218" s="630"/>
      <c r="TQZ218" s="630"/>
      <c r="TRA218" s="630"/>
      <c r="TRB218" s="630"/>
      <c r="TRC218" s="630"/>
      <c r="TRD218" s="630"/>
      <c r="TRE218" s="630"/>
      <c r="TRF218" s="630"/>
      <c r="TRG218" s="630"/>
      <c r="TRH218" s="630"/>
      <c r="TRI218" s="630"/>
      <c r="TRJ218" s="630"/>
      <c r="TRK218" s="630"/>
      <c r="TRL218" s="630"/>
      <c r="TRM218" s="630"/>
      <c r="TRN218" s="630"/>
      <c r="TRO218" s="630"/>
      <c r="TRP218" s="630"/>
      <c r="TRQ218" s="630"/>
      <c r="TRR218" s="630"/>
      <c r="TRS218" s="630"/>
      <c r="TRT218" s="630"/>
      <c r="TRU218" s="630"/>
      <c r="TRV218" s="630"/>
      <c r="TRW218" s="630"/>
      <c r="TRX218" s="630"/>
      <c r="TRY218" s="630"/>
      <c r="TRZ218" s="630"/>
      <c r="TSA218" s="630"/>
      <c r="TSB218" s="630"/>
      <c r="TSC218" s="630"/>
      <c r="TSD218" s="630"/>
      <c r="TSE218" s="630"/>
      <c r="TSF218" s="630"/>
      <c r="TSG218" s="630"/>
      <c r="TSH218" s="630"/>
      <c r="TSI218" s="630"/>
      <c r="TSJ218" s="630"/>
      <c r="TSK218" s="630"/>
      <c r="TSL218" s="630"/>
      <c r="TSM218" s="630"/>
      <c r="TSN218" s="630"/>
      <c r="TSO218" s="630"/>
      <c r="TSP218" s="630"/>
      <c r="TSQ218" s="630"/>
      <c r="TSR218" s="630"/>
      <c r="TSS218" s="630"/>
      <c r="TST218" s="630"/>
      <c r="TSU218" s="630"/>
      <c r="TSV218" s="630"/>
      <c r="TSW218" s="630"/>
      <c r="TSX218" s="630"/>
      <c r="TSY218" s="630"/>
      <c r="TSZ218" s="630"/>
      <c r="TTA218" s="630"/>
      <c r="TTB218" s="630"/>
      <c r="TTC218" s="630"/>
      <c r="TTD218" s="630"/>
      <c r="TTE218" s="630"/>
      <c r="TTF218" s="630"/>
      <c r="TTG218" s="630"/>
      <c r="TTH218" s="630"/>
      <c r="TTI218" s="630"/>
      <c r="TTJ218" s="630"/>
      <c r="TTK218" s="630"/>
      <c r="TTL218" s="630"/>
      <c r="TTM218" s="630"/>
      <c r="TTN218" s="630"/>
      <c r="TTO218" s="630"/>
      <c r="TTP218" s="630"/>
      <c r="TTQ218" s="630"/>
      <c r="TTR218" s="630"/>
      <c r="TTS218" s="630"/>
      <c r="TTT218" s="630"/>
      <c r="TTU218" s="630"/>
      <c r="TTV218" s="630"/>
      <c r="TTW218" s="630"/>
      <c r="TTX218" s="630"/>
      <c r="TTY218" s="630"/>
      <c r="TTZ218" s="630"/>
      <c r="TUA218" s="630"/>
      <c r="TUB218" s="630"/>
      <c r="TUC218" s="630"/>
      <c r="TUD218" s="630"/>
      <c r="TUE218" s="630"/>
      <c r="TUF218" s="630"/>
      <c r="TUG218" s="630"/>
      <c r="TUH218" s="630"/>
      <c r="TUI218" s="630"/>
      <c r="TUJ218" s="630"/>
      <c r="TUK218" s="630"/>
      <c r="TUL218" s="630"/>
      <c r="TUM218" s="630"/>
      <c r="TUN218" s="630"/>
      <c r="TUO218" s="630"/>
      <c r="TUP218" s="630"/>
      <c r="TUQ218" s="630"/>
      <c r="TUR218" s="630"/>
      <c r="TUS218" s="630"/>
      <c r="TUT218" s="630"/>
      <c r="TUU218" s="630"/>
      <c r="TUV218" s="630"/>
      <c r="TUW218" s="630"/>
      <c r="TUX218" s="630"/>
      <c r="TUY218" s="630"/>
      <c r="TUZ218" s="630"/>
      <c r="TVA218" s="630"/>
      <c r="TVB218" s="630"/>
      <c r="TVC218" s="630"/>
      <c r="TVD218" s="630"/>
      <c r="TVE218" s="630"/>
      <c r="TVF218" s="630"/>
      <c r="TVG218" s="630"/>
      <c r="TVH218" s="630"/>
      <c r="TVI218" s="630"/>
      <c r="TVJ218" s="630"/>
      <c r="TVK218" s="630"/>
      <c r="TVL218" s="630"/>
      <c r="TVM218" s="630"/>
      <c r="TVN218" s="630"/>
      <c r="TVO218" s="630"/>
      <c r="TVP218" s="630"/>
      <c r="TVQ218" s="630"/>
      <c r="TVR218" s="630"/>
      <c r="TVS218" s="630"/>
      <c r="TVT218" s="630"/>
      <c r="TVU218" s="630"/>
      <c r="TVV218" s="630"/>
      <c r="TVW218" s="630"/>
      <c r="TVX218" s="630"/>
      <c r="TVY218" s="630"/>
      <c r="TVZ218" s="630"/>
      <c r="TWA218" s="630"/>
      <c r="TWB218" s="630"/>
      <c r="TWC218" s="630"/>
      <c r="TWD218" s="630"/>
      <c r="TWE218" s="630"/>
      <c r="TWF218" s="630"/>
      <c r="TWG218" s="630"/>
      <c r="TWH218" s="630"/>
      <c r="TWI218" s="630"/>
      <c r="TWJ218" s="630"/>
      <c r="TWK218" s="630"/>
      <c r="TWL218" s="630"/>
      <c r="TWM218" s="630"/>
      <c r="TWN218" s="630"/>
      <c r="TWO218" s="630"/>
      <c r="TWP218" s="630"/>
      <c r="TWQ218" s="630"/>
      <c r="TWR218" s="630"/>
      <c r="TWS218" s="630"/>
      <c r="TWT218" s="630"/>
      <c r="TWU218" s="630"/>
      <c r="TWV218" s="630"/>
      <c r="TWW218" s="630"/>
      <c r="TWX218" s="630"/>
      <c r="TWY218" s="630"/>
      <c r="TWZ218" s="630"/>
      <c r="TXA218" s="630"/>
      <c r="TXB218" s="630"/>
      <c r="TXC218" s="630"/>
      <c r="TXD218" s="630"/>
      <c r="TXE218" s="630"/>
      <c r="TXF218" s="630"/>
      <c r="TXG218" s="630"/>
      <c r="TXH218" s="630"/>
      <c r="TXI218" s="630"/>
      <c r="TXJ218" s="630"/>
      <c r="TXK218" s="630"/>
      <c r="TXL218" s="630"/>
      <c r="TXM218" s="630"/>
      <c r="TXN218" s="630"/>
      <c r="TXO218" s="630"/>
      <c r="TXP218" s="630"/>
      <c r="TXQ218" s="630"/>
      <c r="TXR218" s="630"/>
      <c r="TXS218" s="630"/>
      <c r="TXT218" s="630"/>
      <c r="TXU218" s="630"/>
      <c r="TXV218" s="630"/>
      <c r="TXW218" s="630"/>
      <c r="TXX218" s="630"/>
      <c r="TXY218" s="630"/>
      <c r="TXZ218" s="630"/>
      <c r="TYA218" s="630"/>
      <c r="TYB218" s="630"/>
      <c r="TYC218" s="630"/>
      <c r="TYD218" s="630"/>
      <c r="TYE218" s="630"/>
      <c r="TYF218" s="630"/>
      <c r="TYG218" s="630"/>
      <c r="TYH218" s="630"/>
      <c r="TYI218" s="630"/>
      <c r="TYJ218" s="630"/>
      <c r="TYK218" s="630"/>
      <c r="TYL218" s="630"/>
      <c r="TYM218" s="630"/>
      <c r="TYN218" s="630"/>
      <c r="TYO218" s="630"/>
      <c r="TYP218" s="630"/>
      <c r="TYQ218" s="630"/>
      <c r="TYR218" s="630"/>
      <c r="TYS218" s="630"/>
      <c r="TYT218" s="630"/>
      <c r="TYU218" s="630"/>
      <c r="TYV218" s="630"/>
      <c r="TYW218" s="630"/>
      <c r="TYX218" s="630"/>
      <c r="TYY218" s="630"/>
      <c r="TYZ218" s="630"/>
      <c r="TZA218" s="630"/>
      <c r="TZB218" s="630"/>
      <c r="TZC218" s="630"/>
      <c r="TZD218" s="630"/>
      <c r="TZE218" s="630"/>
      <c r="TZF218" s="630"/>
      <c r="TZG218" s="630"/>
      <c r="TZH218" s="630"/>
      <c r="TZI218" s="630"/>
      <c r="TZJ218" s="630"/>
      <c r="TZK218" s="630"/>
      <c r="TZL218" s="630"/>
      <c r="TZM218" s="630"/>
      <c r="TZN218" s="630"/>
      <c r="TZO218" s="630"/>
      <c r="TZP218" s="630"/>
      <c r="TZQ218" s="630"/>
      <c r="TZR218" s="630"/>
      <c r="TZS218" s="630"/>
      <c r="TZT218" s="630"/>
      <c r="TZU218" s="630"/>
      <c r="TZV218" s="630"/>
      <c r="TZW218" s="630"/>
      <c r="TZX218" s="630"/>
      <c r="TZY218" s="630"/>
      <c r="TZZ218" s="630"/>
      <c r="UAA218" s="630"/>
      <c r="UAB218" s="630"/>
      <c r="UAC218" s="630"/>
      <c r="UAD218" s="630"/>
      <c r="UAE218" s="630"/>
      <c r="UAF218" s="630"/>
      <c r="UAG218" s="630"/>
      <c r="UAH218" s="630"/>
      <c r="UAI218" s="630"/>
      <c r="UAJ218" s="630"/>
      <c r="UAK218" s="630"/>
      <c r="UAL218" s="630"/>
      <c r="UAM218" s="630"/>
      <c r="UAN218" s="630"/>
      <c r="UAO218" s="630"/>
      <c r="UAP218" s="630"/>
      <c r="UAQ218" s="630"/>
      <c r="UAR218" s="630"/>
      <c r="UAS218" s="630"/>
      <c r="UAT218" s="630"/>
      <c r="UAU218" s="630"/>
      <c r="UAV218" s="630"/>
      <c r="UAW218" s="630"/>
      <c r="UAX218" s="630"/>
      <c r="UAY218" s="630"/>
      <c r="UAZ218" s="630"/>
      <c r="UBA218" s="630"/>
      <c r="UBB218" s="630"/>
      <c r="UBC218" s="630"/>
      <c r="UBD218" s="630"/>
      <c r="UBE218" s="630"/>
      <c r="UBF218" s="630"/>
      <c r="UBG218" s="630"/>
      <c r="UBH218" s="630"/>
      <c r="UBI218" s="630"/>
      <c r="UBJ218" s="630"/>
      <c r="UBK218" s="630"/>
      <c r="UBL218" s="630"/>
      <c r="UBM218" s="630"/>
      <c r="UBN218" s="630"/>
      <c r="UBO218" s="630"/>
      <c r="UBP218" s="630"/>
      <c r="UBQ218" s="630"/>
      <c r="UBR218" s="630"/>
      <c r="UBS218" s="630"/>
      <c r="UBT218" s="630"/>
      <c r="UBU218" s="630"/>
      <c r="UBV218" s="630"/>
      <c r="UBW218" s="630"/>
      <c r="UBX218" s="630"/>
      <c r="UBY218" s="630"/>
      <c r="UBZ218" s="630"/>
      <c r="UCA218" s="630"/>
      <c r="UCB218" s="630"/>
      <c r="UCC218" s="630"/>
      <c r="UCD218" s="630"/>
      <c r="UCE218" s="630"/>
      <c r="UCF218" s="630"/>
      <c r="UCG218" s="630"/>
      <c r="UCH218" s="630"/>
      <c r="UCI218" s="630"/>
      <c r="UCJ218" s="630"/>
      <c r="UCK218" s="630"/>
      <c r="UCL218" s="630"/>
      <c r="UCM218" s="630"/>
      <c r="UCN218" s="630"/>
      <c r="UCO218" s="630"/>
      <c r="UCP218" s="630"/>
      <c r="UCQ218" s="630"/>
      <c r="UCR218" s="630"/>
      <c r="UCS218" s="630"/>
      <c r="UCT218" s="630"/>
      <c r="UCU218" s="630"/>
      <c r="UCV218" s="630"/>
      <c r="UCW218" s="630"/>
      <c r="UCX218" s="630"/>
      <c r="UCY218" s="630"/>
      <c r="UCZ218" s="630"/>
      <c r="UDA218" s="630"/>
      <c r="UDB218" s="630"/>
      <c r="UDC218" s="630"/>
      <c r="UDD218" s="630"/>
      <c r="UDE218" s="630"/>
      <c r="UDF218" s="630"/>
      <c r="UDG218" s="630"/>
      <c r="UDH218" s="630"/>
      <c r="UDI218" s="630"/>
      <c r="UDJ218" s="630"/>
      <c r="UDK218" s="630"/>
      <c r="UDL218" s="630"/>
      <c r="UDM218" s="630"/>
      <c r="UDN218" s="630"/>
      <c r="UDO218" s="630"/>
      <c r="UDP218" s="630"/>
      <c r="UDQ218" s="630"/>
      <c r="UDR218" s="630"/>
      <c r="UDS218" s="630"/>
      <c r="UDT218" s="630"/>
      <c r="UDU218" s="630"/>
      <c r="UDV218" s="630"/>
      <c r="UDW218" s="630"/>
      <c r="UDX218" s="630"/>
      <c r="UDY218" s="630"/>
      <c r="UDZ218" s="630"/>
      <c r="UEA218" s="630"/>
      <c r="UEB218" s="630"/>
      <c r="UEC218" s="630"/>
      <c r="UED218" s="630"/>
      <c r="UEE218" s="630"/>
      <c r="UEF218" s="630"/>
      <c r="UEG218" s="630"/>
      <c r="UEH218" s="630"/>
      <c r="UEI218" s="630"/>
      <c r="UEJ218" s="630"/>
      <c r="UEK218" s="630"/>
      <c r="UEL218" s="630"/>
      <c r="UEM218" s="630"/>
      <c r="UEN218" s="630"/>
      <c r="UEO218" s="630"/>
      <c r="UEP218" s="630"/>
      <c r="UEQ218" s="630"/>
      <c r="UER218" s="630"/>
      <c r="UES218" s="630"/>
      <c r="UET218" s="630"/>
      <c r="UEU218" s="630"/>
      <c r="UEV218" s="630"/>
      <c r="UEW218" s="630"/>
      <c r="UEX218" s="630"/>
      <c r="UEY218" s="630"/>
      <c r="UEZ218" s="630"/>
      <c r="UFA218" s="630"/>
      <c r="UFB218" s="630"/>
      <c r="UFC218" s="630"/>
      <c r="UFD218" s="630"/>
      <c r="UFE218" s="630"/>
      <c r="UFF218" s="630"/>
      <c r="UFG218" s="630"/>
      <c r="UFH218" s="630"/>
      <c r="UFI218" s="630"/>
      <c r="UFJ218" s="630"/>
      <c r="UFK218" s="630"/>
      <c r="UFL218" s="630"/>
      <c r="UFM218" s="630"/>
      <c r="UFN218" s="630"/>
      <c r="UFO218" s="630"/>
      <c r="UFP218" s="630"/>
      <c r="UFQ218" s="630"/>
      <c r="UFR218" s="630"/>
      <c r="UFS218" s="630"/>
      <c r="UFT218" s="630"/>
      <c r="UFU218" s="630"/>
      <c r="UFV218" s="630"/>
      <c r="UFW218" s="630"/>
      <c r="UFX218" s="630"/>
      <c r="UFY218" s="630"/>
      <c r="UFZ218" s="630"/>
      <c r="UGA218" s="630"/>
      <c r="UGB218" s="630"/>
      <c r="UGC218" s="630"/>
      <c r="UGD218" s="630"/>
      <c r="UGE218" s="630"/>
      <c r="UGF218" s="630"/>
      <c r="UGG218" s="630"/>
      <c r="UGH218" s="630"/>
      <c r="UGI218" s="630"/>
      <c r="UGJ218" s="630"/>
      <c r="UGK218" s="630"/>
      <c r="UGL218" s="630"/>
      <c r="UGM218" s="630"/>
      <c r="UGN218" s="630"/>
      <c r="UGO218" s="630"/>
      <c r="UGP218" s="630"/>
      <c r="UGQ218" s="630"/>
      <c r="UGR218" s="630"/>
      <c r="UGS218" s="630"/>
      <c r="UGT218" s="630"/>
      <c r="UGU218" s="630"/>
      <c r="UGV218" s="630"/>
      <c r="UGW218" s="630"/>
      <c r="UGX218" s="630"/>
      <c r="UGY218" s="630"/>
      <c r="UGZ218" s="630"/>
      <c r="UHA218" s="630"/>
      <c r="UHB218" s="630"/>
      <c r="UHC218" s="630"/>
      <c r="UHD218" s="630"/>
      <c r="UHE218" s="630"/>
      <c r="UHF218" s="630"/>
      <c r="UHG218" s="630"/>
      <c r="UHH218" s="630"/>
      <c r="UHI218" s="630"/>
      <c r="UHJ218" s="630"/>
      <c r="UHK218" s="630"/>
      <c r="UHL218" s="630"/>
      <c r="UHM218" s="630"/>
      <c r="UHN218" s="630"/>
      <c r="UHO218" s="630"/>
      <c r="UHP218" s="630"/>
      <c r="UHQ218" s="630"/>
      <c r="UHR218" s="630"/>
      <c r="UHS218" s="630"/>
      <c r="UHT218" s="630"/>
      <c r="UHU218" s="630"/>
      <c r="UHV218" s="630"/>
      <c r="UHW218" s="630"/>
      <c r="UHX218" s="630"/>
      <c r="UHY218" s="630"/>
      <c r="UHZ218" s="630"/>
      <c r="UIA218" s="630"/>
      <c r="UIB218" s="630"/>
      <c r="UIC218" s="630"/>
      <c r="UID218" s="630"/>
      <c r="UIE218" s="630"/>
      <c r="UIF218" s="630"/>
      <c r="UIG218" s="630"/>
      <c r="UIH218" s="630"/>
      <c r="UII218" s="630"/>
      <c r="UIJ218" s="630"/>
      <c r="UIK218" s="630"/>
      <c r="UIL218" s="630"/>
      <c r="UIM218" s="630"/>
      <c r="UIN218" s="630"/>
      <c r="UIO218" s="630"/>
      <c r="UIP218" s="630"/>
      <c r="UIQ218" s="630"/>
      <c r="UIR218" s="630"/>
      <c r="UIS218" s="630"/>
      <c r="UIT218" s="630"/>
      <c r="UIU218" s="630"/>
      <c r="UIV218" s="630"/>
      <c r="UIW218" s="630"/>
      <c r="UIX218" s="630"/>
      <c r="UIY218" s="630"/>
      <c r="UIZ218" s="630"/>
      <c r="UJA218" s="630"/>
      <c r="UJB218" s="630"/>
      <c r="UJC218" s="630"/>
      <c r="UJD218" s="630"/>
      <c r="UJE218" s="630"/>
      <c r="UJF218" s="630"/>
      <c r="UJG218" s="630"/>
      <c r="UJH218" s="630"/>
      <c r="UJI218" s="630"/>
      <c r="UJJ218" s="630"/>
      <c r="UJK218" s="630"/>
      <c r="UJL218" s="630"/>
      <c r="UJM218" s="630"/>
      <c r="UJN218" s="630"/>
      <c r="UJO218" s="630"/>
      <c r="UJP218" s="630"/>
      <c r="UJQ218" s="630"/>
      <c r="UJR218" s="630"/>
      <c r="UJS218" s="630"/>
      <c r="UJT218" s="630"/>
      <c r="UJU218" s="630"/>
      <c r="UJV218" s="630"/>
      <c r="UJW218" s="630"/>
      <c r="UJX218" s="630"/>
      <c r="UJY218" s="630"/>
      <c r="UJZ218" s="630"/>
      <c r="UKA218" s="630"/>
      <c r="UKB218" s="630"/>
      <c r="UKC218" s="630"/>
      <c r="UKD218" s="630"/>
      <c r="UKE218" s="630"/>
      <c r="UKF218" s="630"/>
      <c r="UKG218" s="630"/>
      <c r="UKH218" s="630"/>
      <c r="UKI218" s="630"/>
      <c r="UKJ218" s="630"/>
      <c r="UKK218" s="630"/>
      <c r="UKL218" s="630"/>
      <c r="UKM218" s="630"/>
      <c r="UKN218" s="630"/>
      <c r="UKO218" s="630"/>
      <c r="UKP218" s="630"/>
      <c r="UKQ218" s="630"/>
      <c r="UKR218" s="630"/>
      <c r="UKS218" s="630"/>
      <c r="UKT218" s="630"/>
      <c r="UKU218" s="630"/>
      <c r="UKV218" s="630"/>
      <c r="UKW218" s="630"/>
      <c r="UKX218" s="630"/>
      <c r="UKY218" s="630"/>
      <c r="UKZ218" s="630"/>
      <c r="ULA218" s="630"/>
      <c r="ULB218" s="630"/>
      <c r="ULC218" s="630"/>
      <c r="ULD218" s="630"/>
      <c r="ULE218" s="630"/>
      <c r="ULF218" s="630"/>
      <c r="ULG218" s="630"/>
      <c r="ULH218" s="630"/>
      <c r="ULI218" s="630"/>
      <c r="ULJ218" s="630"/>
      <c r="ULK218" s="630"/>
      <c r="ULL218" s="630"/>
      <c r="ULM218" s="630"/>
      <c r="ULN218" s="630"/>
      <c r="ULO218" s="630"/>
      <c r="ULP218" s="630"/>
      <c r="ULQ218" s="630"/>
      <c r="ULR218" s="630"/>
      <c r="ULS218" s="630"/>
      <c r="ULT218" s="630"/>
      <c r="ULU218" s="630"/>
      <c r="ULV218" s="630"/>
      <c r="ULW218" s="630"/>
      <c r="ULX218" s="630"/>
      <c r="ULY218" s="630"/>
      <c r="ULZ218" s="630"/>
      <c r="UMA218" s="630"/>
      <c r="UMB218" s="630"/>
      <c r="UMC218" s="630"/>
      <c r="UMD218" s="630"/>
      <c r="UME218" s="630"/>
      <c r="UMF218" s="630"/>
      <c r="UMG218" s="630"/>
      <c r="UMH218" s="630"/>
      <c r="UMI218" s="630"/>
      <c r="UMJ218" s="630"/>
      <c r="UMK218" s="630"/>
      <c r="UML218" s="630"/>
      <c r="UMM218" s="630"/>
      <c r="UMN218" s="630"/>
      <c r="UMO218" s="630"/>
      <c r="UMP218" s="630"/>
      <c r="UMQ218" s="630"/>
      <c r="UMR218" s="630"/>
      <c r="UMS218" s="630"/>
      <c r="UMT218" s="630"/>
      <c r="UMU218" s="630"/>
      <c r="UMV218" s="630"/>
      <c r="UMW218" s="630"/>
      <c r="UMX218" s="630"/>
      <c r="UMY218" s="630"/>
      <c r="UMZ218" s="630"/>
      <c r="UNA218" s="630"/>
      <c r="UNB218" s="630"/>
      <c r="UNC218" s="630"/>
      <c r="UND218" s="630"/>
      <c r="UNE218" s="630"/>
      <c r="UNF218" s="630"/>
      <c r="UNG218" s="630"/>
      <c r="UNH218" s="630"/>
      <c r="UNI218" s="630"/>
      <c r="UNJ218" s="630"/>
      <c r="UNK218" s="630"/>
      <c r="UNL218" s="630"/>
      <c r="UNM218" s="630"/>
      <c r="UNN218" s="630"/>
      <c r="UNO218" s="630"/>
      <c r="UNP218" s="630"/>
      <c r="UNQ218" s="630"/>
      <c r="UNR218" s="630"/>
      <c r="UNS218" s="630"/>
      <c r="UNT218" s="630"/>
      <c r="UNU218" s="630"/>
      <c r="UNV218" s="630"/>
      <c r="UNW218" s="630"/>
      <c r="UNX218" s="630"/>
      <c r="UNY218" s="630"/>
      <c r="UNZ218" s="630"/>
      <c r="UOA218" s="630"/>
      <c r="UOB218" s="630"/>
      <c r="UOC218" s="630"/>
      <c r="UOD218" s="630"/>
      <c r="UOE218" s="630"/>
      <c r="UOF218" s="630"/>
      <c r="UOG218" s="630"/>
      <c r="UOH218" s="630"/>
      <c r="UOI218" s="630"/>
      <c r="UOJ218" s="630"/>
      <c r="UOK218" s="630"/>
      <c r="UOL218" s="630"/>
      <c r="UOM218" s="630"/>
      <c r="UON218" s="630"/>
      <c r="UOO218" s="630"/>
      <c r="UOP218" s="630"/>
      <c r="UOQ218" s="630"/>
      <c r="UOR218" s="630"/>
      <c r="UOS218" s="630"/>
      <c r="UOT218" s="630"/>
      <c r="UOU218" s="630"/>
      <c r="UOV218" s="630"/>
      <c r="UOW218" s="630"/>
      <c r="UOX218" s="630"/>
      <c r="UOY218" s="630"/>
      <c r="UOZ218" s="630"/>
      <c r="UPA218" s="630"/>
      <c r="UPB218" s="630"/>
      <c r="UPC218" s="630"/>
      <c r="UPD218" s="630"/>
      <c r="UPE218" s="630"/>
      <c r="UPF218" s="630"/>
      <c r="UPG218" s="630"/>
      <c r="UPH218" s="630"/>
      <c r="UPI218" s="630"/>
      <c r="UPJ218" s="630"/>
      <c r="UPK218" s="630"/>
      <c r="UPL218" s="630"/>
      <c r="UPM218" s="630"/>
      <c r="UPN218" s="630"/>
      <c r="UPO218" s="630"/>
      <c r="UPP218" s="630"/>
      <c r="UPQ218" s="630"/>
      <c r="UPR218" s="630"/>
      <c r="UPS218" s="630"/>
      <c r="UPT218" s="630"/>
      <c r="UPU218" s="630"/>
      <c r="UPV218" s="630"/>
      <c r="UPW218" s="630"/>
      <c r="UPX218" s="630"/>
      <c r="UPY218" s="630"/>
      <c r="UPZ218" s="630"/>
      <c r="UQA218" s="630"/>
      <c r="UQB218" s="630"/>
      <c r="UQC218" s="630"/>
      <c r="UQD218" s="630"/>
      <c r="UQE218" s="630"/>
      <c r="UQF218" s="630"/>
      <c r="UQG218" s="630"/>
      <c r="UQH218" s="630"/>
      <c r="UQI218" s="630"/>
      <c r="UQJ218" s="630"/>
      <c r="UQK218" s="630"/>
      <c r="UQL218" s="630"/>
      <c r="UQM218" s="630"/>
      <c r="UQN218" s="630"/>
      <c r="UQO218" s="630"/>
      <c r="UQP218" s="630"/>
      <c r="UQQ218" s="630"/>
      <c r="UQR218" s="630"/>
      <c r="UQS218" s="630"/>
      <c r="UQT218" s="630"/>
      <c r="UQU218" s="630"/>
      <c r="UQV218" s="630"/>
      <c r="UQW218" s="630"/>
      <c r="UQX218" s="630"/>
      <c r="UQY218" s="630"/>
      <c r="UQZ218" s="630"/>
      <c r="URA218" s="630"/>
      <c r="URB218" s="630"/>
      <c r="URC218" s="630"/>
      <c r="URD218" s="630"/>
      <c r="URE218" s="630"/>
      <c r="URF218" s="630"/>
      <c r="URG218" s="630"/>
      <c r="URH218" s="630"/>
      <c r="URI218" s="630"/>
      <c r="URJ218" s="630"/>
      <c r="URK218" s="630"/>
      <c r="URL218" s="630"/>
      <c r="URM218" s="630"/>
      <c r="URN218" s="630"/>
      <c r="URO218" s="630"/>
      <c r="URP218" s="630"/>
      <c r="URQ218" s="630"/>
      <c r="URR218" s="630"/>
      <c r="URS218" s="630"/>
      <c r="URT218" s="630"/>
      <c r="URU218" s="630"/>
      <c r="URV218" s="630"/>
      <c r="URW218" s="630"/>
      <c r="URX218" s="630"/>
      <c r="URY218" s="630"/>
      <c r="URZ218" s="630"/>
      <c r="USA218" s="630"/>
      <c r="USB218" s="630"/>
      <c r="USC218" s="630"/>
      <c r="USD218" s="630"/>
      <c r="USE218" s="630"/>
      <c r="USF218" s="630"/>
      <c r="USG218" s="630"/>
      <c r="USH218" s="630"/>
      <c r="USI218" s="630"/>
      <c r="USJ218" s="630"/>
      <c r="USK218" s="630"/>
      <c r="USL218" s="630"/>
      <c r="USM218" s="630"/>
      <c r="USN218" s="630"/>
      <c r="USO218" s="630"/>
      <c r="USP218" s="630"/>
      <c r="USQ218" s="630"/>
      <c r="USR218" s="630"/>
      <c r="USS218" s="630"/>
      <c r="UST218" s="630"/>
      <c r="USU218" s="630"/>
      <c r="USV218" s="630"/>
      <c r="USW218" s="630"/>
      <c r="USX218" s="630"/>
      <c r="USY218" s="630"/>
      <c r="USZ218" s="630"/>
      <c r="UTA218" s="630"/>
      <c r="UTB218" s="630"/>
      <c r="UTC218" s="630"/>
      <c r="UTD218" s="630"/>
      <c r="UTE218" s="630"/>
      <c r="UTF218" s="630"/>
      <c r="UTG218" s="630"/>
      <c r="UTH218" s="630"/>
      <c r="UTI218" s="630"/>
      <c r="UTJ218" s="630"/>
      <c r="UTK218" s="630"/>
      <c r="UTL218" s="630"/>
      <c r="UTM218" s="630"/>
      <c r="UTN218" s="630"/>
      <c r="UTO218" s="630"/>
      <c r="UTP218" s="630"/>
      <c r="UTQ218" s="630"/>
      <c r="UTR218" s="630"/>
      <c r="UTS218" s="630"/>
      <c r="UTT218" s="630"/>
      <c r="UTU218" s="630"/>
      <c r="UTV218" s="630"/>
      <c r="UTW218" s="630"/>
      <c r="UTX218" s="630"/>
      <c r="UTY218" s="630"/>
      <c r="UTZ218" s="630"/>
      <c r="UUA218" s="630"/>
      <c r="UUB218" s="630"/>
      <c r="UUC218" s="630"/>
      <c r="UUD218" s="630"/>
      <c r="UUE218" s="630"/>
      <c r="UUF218" s="630"/>
      <c r="UUG218" s="630"/>
      <c r="UUH218" s="630"/>
      <c r="UUI218" s="630"/>
      <c r="UUJ218" s="630"/>
      <c r="UUK218" s="630"/>
      <c r="UUL218" s="630"/>
      <c r="UUM218" s="630"/>
      <c r="UUN218" s="630"/>
      <c r="UUO218" s="630"/>
      <c r="UUP218" s="630"/>
      <c r="UUQ218" s="630"/>
      <c r="UUR218" s="630"/>
      <c r="UUS218" s="630"/>
      <c r="UUT218" s="630"/>
      <c r="UUU218" s="630"/>
      <c r="UUV218" s="630"/>
      <c r="UUW218" s="630"/>
      <c r="UUX218" s="630"/>
      <c r="UUY218" s="630"/>
      <c r="UUZ218" s="630"/>
      <c r="UVA218" s="630"/>
      <c r="UVB218" s="630"/>
      <c r="UVC218" s="630"/>
      <c r="UVD218" s="630"/>
      <c r="UVE218" s="630"/>
      <c r="UVF218" s="630"/>
      <c r="UVG218" s="630"/>
      <c r="UVH218" s="630"/>
      <c r="UVI218" s="630"/>
      <c r="UVJ218" s="630"/>
      <c r="UVK218" s="630"/>
      <c r="UVL218" s="630"/>
      <c r="UVM218" s="630"/>
      <c r="UVN218" s="630"/>
      <c r="UVO218" s="630"/>
      <c r="UVP218" s="630"/>
      <c r="UVQ218" s="630"/>
      <c r="UVR218" s="630"/>
      <c r="UVS218" s="630"/>
      <c r="UVT218" s="630"/>
      <c r="UVU218" s="630"/>
      <c r="UVV218" s="630"/>
      <c r="UVW218" s="630"/>
      <c r="UVX218" s="630"/>
      <c r="UVY218" s="630"/>
      <c r="UVZ218" s="630"/>
      <c r="UWA218" s="630"/>
      <c r="UWB218" s="630"/>
      <c r="UWC218" s="630"/>
      <c r="UWD218" s="630"/>
      <c r="UWE218" s="630"/>
      <c r="UWF218" s="630"/>
      <c r="UWG218" s="630"/>
      <c r="UWH218" s="630"/>
      <c r="UWI218" s="630"/>
      <c r="UWJ218" s="630"/>
      <c r="UWK218" s="630"/>
      <c r="UWL218" s="630"/>
      <c r="UWM218" s="630"/>
      <c r="UWN218" s="630"/>
      <c r="UWO218" s="630"/>
      <c r="UWP218" s="630"/>
      <c r="UWQ218" s="630"/>
      <c r="UWR218" s="630"/>
      <c r="UWS218" s="630"/>
      <c r="UWT218" s="630"/>
      <c r="UWU218" s="630"/>
      <c r="UWV218" s="630"/>
      <c r="UWW218" s="630"/>
      <c r="UWX218" s="630"/>
      <c r="UWY218" s="630"/>
      <c r="UWZ218" s="630"/>
      <c r="UXA218" s="630"/>
      <c r="UXB218" s="630"/>
      <c r="UXC218" s="630"/>
      <c r="UXD218" s="630"/>
      <c r="UXE218" s="630"/>
      <c r="UXF218" s="630"/>
      <c r="UXG218" s="630"/>
      <c r="UXH218" s="630"/>
      <c r="UXI218" s="630"/>
      <c r="UXJ218" s="630"/>
      <c r="UXK218" s="630"/>
      <c r="UXL218" s="630"/>
      <c r="UXM218" s="630"/>
      <c r="UXN218" s="630"/>
      <c r="UXO218" s="630"/>
      <c r="UXP218" s="630"/>
      <c r="UXQ218" s="630"/>
      <c r="UXR218" s="630"/>
      <c r="UXS218" s="630"/>
      <c r="UXT218" s="630"/>
      <c r="UXU218" s="630"/>
      <c r="UXV218" s="630"/>
      <c r="UXW218" s="630"/>
      <c r="UXX218" s="630"/>
      <c r="UXY218" s="630"/>
      <c r="UXZ218" s="630"/>
      <c r="UYA218" s="630"/>
      <c r="UYB218" s="630"/>
      <c r="UYC218" s="630"/>
      <c r="UYD218" s="630"/>
      <c r="UYE218" s="630"/>
      <c r="UYF218" s="630"/>
      <c r="UYG218" s="630"/>
      <c r="UYH218" s="630"/>
      <c r="UYI218" s="630"/>
      <c r="UYJ218" s="630"/>
      <c r="UYK218" s="630"/>
      <c r="UYL218" s="630"/>
      <c r="UYM218" s="630"/>
      <c r="UYN218" s="630"/>
      <c r="UYO218" s="630"/>
      <c r="UYP218" s="630"/>
      <c r="UYQ218" s="630"/>
      <c r="UYR218" s="630"/>
      <c r="UYS218" s="630"/>
      <c r="UYT218" s="630"/>
      <c r="UYU218" s="630"/>
      <c r="UYV218" s="630"/>
      <c r="UYW218" s="630"/>
      <c r="UYX218" s="630"/>
      <c r="UYY218" s="630"/>
      <c r="UYZ218" s="630"/>
      <c r="UZA218" s="630"/>
      <c r="UZB218" s="630"/>
      <c r="UZC218" s="630"/>
      <c r="UZD218" s="630"/>
      <c r="UZE218" s="630"/>
      <c r="UZF218" s="630"/>
      <c r="UZG218" s="630"/>
      <c r="UZH218" s="630"/>
      <c r="UZI218" s="630"/>
      <c r="UZJ218" s="630"/>
      <c r="UZK218" s="630"/>
      <c r="UZL218" s="630"/>
      <c r="UZM218" s="630"/>
      <c r="UZN218" s="630"/>
      <c r="UZO218" s="630"/>
      <c r="UZP218" s="630"/>
      <c r="UZQ218" s="630"/>
      <c r="UZR218" s="630"/>
      <c r="UZS218" s="630"/>
      <c r="UZT218" s="630"/>
      <c r="UZU218" s="630"/>
      <c r="UZV218" s="630"/>
      <c r="UZW218" s="630"/>
      <c r="UZX218" s="630"/>
      <c r="UZY218" s="630"/>
      <c r="UZZ218" s="630"/>
      <c r="VAA218" s="630"/>
      <c r="VAB218" s="630"/>
      <c r="VAC218" s="630"/>
      <c r="VAD218" s="630"/>
      <c r="VAE218" s="630"/>
      <c r="VAF218" s="630"/>
      <c r="VAG218" s="630"/>
      <c r="VAH218" s="630"/>
      <c r="VAI218" s="630"/>
      <c r="VAJ218" s="630"/>
      <c r="VAK218" s="630"/>
      <c r="VAL218" s="630"/>
      <c r="VAM218" s="630"/>
      <c r="VAN218" s="630"/>
      <c r="VAO218" s="630"/>
      <c r="VAP218" s="630"/>
      <c r="VAQ218" s="630"/>
      <c r="VAR218" s="630"/>
      <c r="VAS218" s="630"/>
      <c r="VAT218" s="630"/>
      <c r="VAU218" s="630"/>
      <c r="VAV218" s="630"/>
      <c r="VAW218" s="630"/>
      <c r="VAX218" s="630"/>
      <c r="VAY218" s="630"/>
      <c r="VAZ218" s="630"/>
      <c r="VBA218" s="630"/>
      <c r="VBB218" s="630"/>
      <c r="VBC218" s="630"/>
      <c r="VBD218" s="630"/>
      <c r="VBE218" s="630"/>
      <c r="VBF218" s="630"/>
      <c r="VBG218" s="630"/>
      <c r="VBH218" s="630"/>
      <c r="VBI218" s="630"/>
      <c r="VBJ218" s="630"/>
      <c r="VBK218" s="630"/>
      <c r="VBL218" s="630"/>
      <c r="VBM218" s="630"/>
      <c r="VBN218" s="630"/>
      <c r="VBO218" s="630"/>
      <c r="VBP218" s="630"/>
      <c r="VBQ218" s="630"/>
      <c r="VBR218" s="630"/>
      <c r="VBS218" s="630"/>
      <c r="VBT218" s="630"/>
      <c r="VBU218" s="630"/>
      <c r="VBV218" s="630"/>
      <c r="VBW218" s="630"/>
      <c r="VBX218" s="630"/>
      <c r="VBY218" s="630"/>
      <c r="VBZ218" s="630"/>
      <c r="VCA218" s="630"/>
      <c r="VCB218" s="630"/>
      <c r="VCC218" s="630"/>
      <c r="VCD218" s="630"/>
      <c r="VCE218" s="630"/>
      <c r="VCF218" s="630"/>
      <c r="VCG218" s="630"/>
      <c r="VCH218" s="630"/>
      <c r="VCI218" s="630"/>
      <c r="VCJ218" s="630"/>
      <c r="VCK218" s="630"/>
      <c r="VCL218" s="630"/>
      <c r="VCM218" s="630"/>
      <c r="VCN218" s="630"/>
      <c r="VCO218" s="630"/>
      <c r="VCP218" s="630"/>
      <c r="VCQ218" s="630"/>
      <c r="VCR218" s="630"/>
      <c r="VCS218" s="630"/>
      <c r="VCT218" s="630"/>
      <c r="VCU218" s="630"/>
      <c r="VCV218" s="630"/>
      <c r="VCW218" s="630"/>
      <c r="VCX218" s="630"/>
      <c r="VCY218" s="630"/>
      <c r="VCZ218" s="630"/>
      <c r="VDA218" s="630"/>
      <c r="VDB218" s="630"/>
      <c r="VDC218" s="630"/>
      <c r="VDD218" s="630"/>
      <c r="VDE218" s="630"/>
      <c r="VDF218" s="630"/>
      <c r="VDG218" s="630"/>
      <c r="VDH218" s="630"/>
      <c r="VDI218" s="630"/>
      <c r="VDJ218" s="630"/>
      <c r="VDK218" s="630"/>
      <c r="VDL218" s="630"/>
      <c r="VDM218" s="630"/>
      <c r="VDN218" s="630"/>
      <c r="VDO218" s="630"/>
      <c r="VDP218" s="630"/>
      <c r="VDQ218" s="630"/>
      <c r="VDR218" s="630"/>
      <c r="VDS218" s="630"/>
      <c r="VDT218" s="630"/>
      <c r="VDU218" s="630"/>
      <c r="VDV218" s="630"/>
      <c r="VDW218" s="630"/>
      <c r="VDX218" s="630"/>
      <c r="VDY218" s="630"/>
      <c r="VDZ218" s="630"/>
      <c r="VEA218" s="630"/>
      <c r="VEB218" s="630"/>
      <c r="VEC218" s="630"/>
      <c r="VED218" s="630"/>
      <c r="VEE218" s="630"/>
      <c r="VEF218" s="630"/>
      <c r="VEG218" s="630"/>
      <c r="VEH218" s="630"/>
      <c r="VEI218" s="630"/>
      <c r="VEJ218" s="630"/>
      <c r="VEK218" s="630"/>
      <c r="VEL218" s="630"/>
      <c r="VEM218" s="630"/>
      <c r="VEN218" s="630"/>
      <c r="VEO218" s="630"/>
      <c r="VEP218" s="630"/>
      <c r="VEQ218" s="630"/>
      <c r="VER218" s="630"/>
      <c r="VES218" s="630"/>
      <c r="VET218" s="630"/>
      <c r="VEU218" s="630"/>
      <c r="VEV218" s="630"/>
      <c r="VEW218" s="630"/>
      <c r="VEX218" s="630"/>
      <c r="VEY218" s="630"/>
      <c r="VEZ218" s="630"/>
      <c r="VFA218" s="630"/>
      <c r="VFB218" s="630"/>
      <c r="VFC218" s="630"/>
      <c r="VFD218" s="630"/>
      <c r="VFE218" s="630"/>
      <c r="VFF218" s="630"/>
      <c r="VFG218" s="630"/>
      <c r="VFH218" s="630"/>
      <c r="VFI218" s="630"/>
      <c r="VFJ218" s="630"/>
      <c r="VFK218" s="630"/>
      <c r="VFL218" s="630"/>
      <c r="VFM218" s="630"/>
      <c r="VFN218" s="630"/>
      <c r="VFO218" s="630"/>
      <c r="VFP218" s="630"/>
      <c r="VFQ218" s="630"/>
      <c r="VFR218" s="630"/>
      <c r="VFS218" s="630"/>
      <c r="VFT218" s="630"/>
      <c r="VFU218" s="630"/>
      <c r="VFV218" s="630"/>
      <c r="VFW218" s="630"/>
      <c r="VFX218" s="630"/>
      <c r="VFY218" s="630"/>
      <c r="VFZ218" s="630"/>
      <c r="VGA218" s="630"/>
      <c r="VGB218" s="630"/>
      <c r="VGC218" s="630"/>
      <c r="VGD218" s="630"/>
      <c r="VGE218" s="630"/>
      <c r="VGF218" s="630"/>
      <c r="VGG218" s="630"/>
      <c r="VGH218" s="630"/>
      <c r="VGI218" s="630"/>
      <c r="VGJ218" s="630"/>
      <c r="VGK218" s="630"/>
      <c r="VGL218" s="630"/>
      <c r="VGM218" s="630"/>
      <c r="VGN218" s="630"/>
      <c r="VGO218" s="630"/>
      <c r="VGP218" s="630"/>
      <c r="VGQ218" s="630"/>
      <c r="VGR218" s="630"/>
      <c r="VGS218" s="630"/>
      <c r="VGT218" s="630"/>
      <c r="VGU218" s="630"/>
      <c r="VGV218" s="630"/>
      <c r="VGW218" s="630"/>
      <c r="VGX218" s="630"/>
      <c r="VGY218" s="630"/>
      <c r="VGZ218" s="630"/>
      <c r="VHA218" s="630"/>
      <c r="VHB218" s="630"/>
      <c r="VHC218" s="630"/>
      <c r="VHD218" s="630"/>
      <c r="VHE218" s="630"/>
      <c r="VHF218" s="630"/>
      <c r="VHG218" s="630"/>
      <c r="VHH218" s="630"/>
      <c r="VHI218" s="630"/>
      <c r="VHJ218" s="630"/>
      <c r="VHK218" s="630"/>
      <c r="VHL218" s="630"/>
      <c r="VHM218" s="630"/>
      <c r="VHN218" s="630"/>
      <c r="VHO218" s="630"/>
      <c r="VHP218" s="630"/>
      <c r="VHQ218" s="630"/>
      <c r="VHR218" s="630"/>
      <c r="VHS218" s="630"/>
      <c r="VHT218" s="630"/>
      <c r="VHU218" s="630"/>
      <c r="VHV218" s="630"/>
      <c r="VHW218" s="630"/>
      <c r="VHX218" s="630"/>
      <c r="VHY218" s="630"/>
      <c r="VHZ218" s="630"/>
      <c r="VIA218" s="630"/>
      <c r="VIB218" s="630"/>
      <c r="VIC218" s="630"/>
      <c r="VID218" s="630"/>
      <c r="VIE218" s="630"/>
      <c r="VIF218" s="630"/>
      <c r="VIG218" s="630"/>
      <c r="VIH218" s="630"/>
      <c r="VII218" s="630"/>
      <c r="VIJ218" s="630"/>
      <c r="VIK218" s="630"/>
      <c r="VIL218" s="630"/>
      <c r="VIM218" s="630"/>
      <c r="VIN218" s="630"/>
      <c r="VIO218" s="630"/>
      <c r="VIP218" s="630"/>
      <c r="VIQ218" s="630"/>
      <c r="VIR218" s="630"/>
      <c r="VIS218" s="630"/>
      <c r="VIT218" s="630"/>
      <c r="VIU218" s="630"/>
      <c r="VIV218" s="630"/>
      <c r="VIW218" s="630"/>
      <c r="VIX218" s="630"/>
      <c r="VIY218" s="630"/>
      <c r="VIZ218" s="630"/>
      <c r="VJA218" s="630"/>
      <c r="VJB218" s="630"/>
      <c r="VJC218" s="630"/>
      <c r="VJD218" s="630"/>
      <c r="VJE218" s="630"/>
      <c r="VJF218" s="630"/>
      <c r="VJG218" s="630"/>
      <c r="VJH218" s="630"/>
      <c r="VJI218" s="630"/>
      <c r="VJJ218" s="630"/>
      <c r="VJK218" s="630"/>
      <c r="VJL218" s="630"/>
      <c r="VJM218" s="630"/>
      <c r="VJN218" s="630"/>
      <c r="VJO218" s="630"/>
      <c r="VJP218" s="630"/>
      <c r="VJQ218" s="630"/>
      <c r="VJR218" s="630"/>
      <c r="VJS218" s="630"/>
      <c r="VJT218" s="630"/>
      <c r="VJU218" s="630"/>
      <c r="VJV218" s="630"/>
      <c r="VJW218" s="630"/>
      <c r="VJX218" s="630"/>
      <c r="VJY218" s="630"/>
      <c r="VJZ218" s="630"/>
      <c r="VKA218" s="630"/>
      <c r="VKB218" s="630"/>
      <c r="VKC218" s="630"/>
      <c r="VKD218" s="630"/>
      <c r="VKE218" s="630"/>
      <c r="VKF218" s="630"/>
      <c r="VKG218" s="630"/>
      <c r="VKH218" s="630"/>
      <c r="VKI218" s="630"/>
      <c r="VKJ218" s="630"/>
      <c r="VKK218" s="630"/>
      <c r="VKL218" s="630"/>
      <c r="VKM218" s="630"/>
      <c r="VKN218" s="630"/>
      <c r="VKO218" s="630"/>
      <c r="VKP218" s="630"/>
      <c r="VKQ218" s="630"/>
      <c r="VKR218" s="630"/>
      <c r="VKS218" s="630"/>
      <c r="VKT218" s="630"/>
      <c r="VKU218" s="630"/>
      <c r="VKV218" s="630"/>
      <c r="VKW218" s="630"/>
      <c r="VKX218" s="630"/>
      <c r="VKY218" s="630"/>
      <c r="VKZ218" s="630"/>
      <c r="VLA218" s="630"/>
      <c r="VLB218" s="630"/>
      <c r="VLC218" s="630"/>
      <c r="VLD218" s="630"/>
      <c r="VLE218" s="630"/>
      <c r="VLF218" s="630"/>
      <c r="VLG218" s="630"/>
      <c r="VLH218" s="630"/>
      <c r="VLI218" s="630"/>
      <c r="VLJ218" s="630"/>
      <c r="VLK218" s="630"/>
      <c r="VLL218" s="630"/>
      <c r="VLM218" s="630"/>
      <c r="VLN218" s="630"/>
      <c r="VLO218" s="630"/>
      <c r="VLP218" s="630"/>
      <c r="VLQ218" s="630"/>
      <c r="VLR218" s="630"/>
      <c r="VLS218" s="630"/>
      <c r="VLT218" s="630"/>
      <c r="VLU218" s="630"/>
      <c r="VLV218" s="630"/>
      <c r="VLW218" s="630"/>
      <c r="VLX218" s="630"/>
      <c r="VLY218" s="630"/>
      <c r="VLZ218" s="630"/>
      <c r="VMA218" s="630"/>
      <c r="VMB218" s="630"/>
      <c r="VMC218" s="630"/>
      <c r="VMD218" s="630"/>
      <c r="VME218" s="630"/>
      <c r="VMF218" s="630"/>
      <c r="VMG218" s="630"/>
      <c r="VMH218" s="630"/>
      <c r="VMI218" s="630"/>
      <c r="VMJ218" s="630"/>
      <c r="VMK218" s="630"/>
      <c r="VML218" s="630"/>
      <c r="VMM218" s="630"/>
      <c r="VMN218" s="630"/>
      <c r="VMO218" s="630"/>
      <c r="VMP218" s="630"/>
      <c r="VMQ218" s="630"/>
      <c r="VMR218" s="630"/>
      <c r="VMS218" s="630"/>
      <c r="VMT218" s="630"/>
      <c r="VMU218" s="630"/>
      <c r="VMV218" s="630"/>
      <c r="VMW218" s="630"/>
      <c r="VMX218" s="630"/>
      <c r="VMY218" s="630"/>
      <c r="VMZ218" s="630"/>
      <c r="VNA218" s="630"/>
      <c r="VNB218" s="630"/>
      <c r="VNC218" s="630"/>
      <c r="VND218" s="630"/>
      <c r="VNE218" s="630"/>
      <c r="VNF218" s="630"/>
      <c r="VNG218" s="630"/>
      <c r="VNH218" s="630"/>
      <c r="VNI218" s="630"/>
      <c r="VNJ218" s="630"/>
      <c r="VNK218" s="630"/>
      <c r="VNL218" s="630"/>
      <c r="VNM218" s="630"/>
      <c r="VNN218" s="630"/>
      <c r="VNO218" s="630"/>
      <c r="VNP218" s="630"/>
      <c r="VNQ218" s="630"/>
      <c r="VNR218" s="630"/>
      <c r="VNS218" s="630"/>
      <c r="VNT218" s="630"/>
      <c r="VNU218" s="630"/>
      <c r="VNV218" s="630"/>
      <c r="VNW218" s="630"/>
      <c r="VNX218" s="630"/>
      <c r="VNY218" s="630"/>
      <c r="VNZ218" s="630"/>
      <c r="VOA218" s="630"/>
      <c r="VOB218" s="630"/>
      <c r="VOC218" s="630"/>
      <c r="VOD218" s="630"/>
      <c r="VOE218" s="630"/>
      <c r="VOF218" s="630"/>
      <c r="VOG218" s="630"/>
      <c r="VOH218" s="630"/>
      <c r="VOI218" s="630"/>
      <c r="VOJ218" s="630"/>
      <c r="VOK218" s="630"/>
      <c r="VOL218" s="630"/>
      <c r="VOM218" s="630"/>
      <c r="VON218" s="630"/>
      <c r="VOO218" s="630"/>
      <c r="VOP218" s="630"/>
      <c r="VOQ218" s="630"/>
      <c r="VOR218" s="630"/>
      <c r="VOS218" s="630"/>
      <c r="VOT218" s="630"/>
      <c r="VOU218" s="630"/>
      <c r="VOV218" s="630"/>
      <c r="VOW218" s="630"/>
      <c r="VOX218" s="630"/>
      <c r="VOY218" s="630"/>
      <c r="VOZ218" s="630"/>
      <c r="VPA218" s="630"/>
      <c r="VPB218" s="630"/>
      <c r="VPC218" s="630"/>
      <c r="VPD218" s="630"/>
      <c r="VPE218" s="630"/>
      <c r="VPF218" s="630"/>
      <c r="VPG218" s="630"/>
      <c r="VPH218" s="630"/>
      <c r="VPI218" s="630"/>
      <c r="VPJ218" s="630"/>
      <c r="VPK218" s="630"/>
      <c r="VPL218" s="630"/>
      <c r="VPM218" s="630"/>
      <c r="VPN218" s="630"/>
      <c r="VPO218" s="630"/>
      <c r="VPP218" s="630"/>
      <c r="VPQ218" s="630"/>
      <c r="VPR218" s="630"/>
      <c r="VPS218" s="630"/>
      <c r="VPT218" s="630"/>
      <c r="VPU218" s="630"/>
      <c r="VPV218" s="630"/>
      <c r="VPW218" s="630"/>
      <c r="VPX218" s="630"/>
      <c r="VPY218" s="630"/>
      <c r="VPZ218" s="630"/>
      <c r="VQA218" s="630"/>
      <c r="VQB218" s="630"/>
      <c r="VQC218" s="630"/>
      <c r="VQD218" s="630"/>
      <c r="VQE218" s="630"/>
      <c r="VQF218" s="630"/>
      <c r="VQG218" s="630"/>
      <c r="VQH218" s="630"/>
      <c r="VQI218" s="630"/>
      <c r="VQJ218" s="630"/>
      <c r="VQK218" s="630"/>
      <c r="VQL218" s="630"/>
      <c r="VQM218" s="630"/>
      <c r="VQN218" s="630"/>
      <c r="VQO218" s="630"/>
      <c r="VQP218" s="630"/>
      <c r="VQQ218" s="630"/>
      <c r="VQR218" s="630"/>
      <c r="VQS218" s="630"/>
      <c r="VQT218" s="630"/>
      <c r="VQU218" s="630"/>
      <c r="VQV218" s="630"/>
      <c r="VQW218" s="630"/>
      <c r="VQX218" s="630"/>
      <c r="VQY218" s="630"/>
      <c r="VQZ218" s="630"/>
      <c r="VRA218" s="630"/>
      <c r="VRB218" s="630"/>
      <c r="VRC218" s="630"/>
      <c r="VRD218" s="630"/>
      <c r="VRE218" s="630"/>
      <c r="VRF218" s="630"/>
      <c r="VRG218" s="630"/>
      <c r="VRH218" s="630"/>
      <c r="VRI218" s="630"/>
      <c r="VRJ218" s="630"/>
      <c r="VRK218" s="630"/>
      <c r="VRL218" s="630"/>
      <c r="VRM218" s="630"/>
      <c r="VRN218" s="630"/>
      <c r="VRO218" s="630"/>
      <c r="VRP218" s="630"/>
      <c r="VRQ218" s="630"/>
      <c r="VRR218" s="630"/>
      <c r="VRS218" s="630"/>
      <c r="VRT218" s="630"/>
      <c r="VRU218" s="630"/>
      <c r="VRV218" s="630"/>
      <c r="VRW218" s="630"/>
      <c r="VRX218" s="630"/>
      <c r="VRY218" s="630"/>
      <c r="VRZ218" s="630"/>
      <c r="VSA218" s="630"/>
      <c r="VSB218" s="630"/>
      <c r="VSC218" s="630"/>
      <c r="VSD218" s="630"/>
      <c r="VSE218" s="630"/>
      <c r="VSF218" s="630"/>
      <c r="VSG218" s="630"/>
      <c r="VSH218" s="630"/>
      <c r="VSI218" s="630"/>
      <c r="VSJ218" s="630"/>
      <c r="VSK218" s="630"/>
      <c r="VSL218" s="630"/>
      <c r="VSM218" s="630"/>
      <c r="VSN218" s="630"/>
      <c r="VSO218" s="630"/>
      <c r="VSP218" s="630"/>
      <c r="VSQ218" s="630"/>
      <c r="VSR218" s="630"/>
      <c r="VSS218" s="630"/>
      <c r="VST218" s="630"/>
      <c r="VSU218" s="630"/>
      <c r="VSV218" s="630"/>
      <c r="VSW218" s="630"/>
      <c r="VSX218" s="630"/>
      <c r="VSY218" s="630"/>
      <c r="VSZ218" s="630"/>
      <c r="VTA218" s="630"/>
      <c r="VTB218" s="630"/>
      <c r="VTC218" s="630"/>
      <c r="VTD218" s="630"/>
      <c r="VTE218" s="630"/>
      <c r="VTF218" s="630"/>
      <c r="VTG218" s="630"/>
      <c r="VTH218" s="630"/>
      <c r="VTI218" s="630"/>
      <c r="VTJ218" s="630"/>
      <c r="VTK218" s="630"/>
      <c r="VTL218" s="630"/>
      <c r="VTM218" s="630"/>
      <c r="VTN218" s="630"/>
      <c r="VTO218" s="630"/>
      <c r="VTP218" s="630"/>
      <c r="VTQ218" s="630"/>
      <c r="VTR218" s="630"/>
      <c r="VTS218" s="630"/>
      <c r="VTT218" s="630"/>
      <c r="VTU218" s="630"/>
      <c r="VTV218" s="630"/>
      <c r="VTW218" s="630"/>
      <c r="VTX218" s="630"/>
      <c r="VTY218" s="630"/>
      <c r="VTZ218" s="630"/>
      <c r="VUA218" s="630"/>
      <c r="VUB218" s="630"/>
      <c r="VUC218" s="630"/>
      <c r="VUD218" s="630"/>
      <c r="VUE218" s="630"/>
      <c r="VUF218" s="630"/>
      <c r="VUG218" s="630"/>
      <c r="VUH218" s="630"/>
      <c r="VUI218" s="630"/>
      <c r="VUJ218" s="630"/>
      <c r="VUK218" s="630"/>
      <c r="VUL218" s="630"/>
      <c r="VUM218" s="630"/>
      <c r="VUN218" s="630"/>
      <c r="VUO218" s="630"/>
      <c r="VUP218" s="630"/>
      <c r="VUQ218" s="630"/>
      <c r="VUR218" s="630"/>
      <c r="VUS218" s="630"/>
      <c r="VUT218" s="630"/>
      <c r="VUU218" s="630"/>
      <c r="VUV218" s="630"/>
      <c r="VUW218" s="630"/>
      <c r="VUX218" s="630"/>
      <c r="VUY218" s="630"/>
      <c r="VUZ218" s="630"/>
      <c r="VVA218" s="630"/>
      <c r="VVB218" s="630"/>
      <c r="VVC218" s="630"/>
      <c r="VVD218" s="630"/>
      <c r="VVE218" s="630"/>
      <c r="VVF218" s="630"/>
      <c r="VVG218" s="630"/>
      <c r="VVH218" s="630"/>
      <c r="VVI218" s="630"/>
      <c r="VVJ218" s="630"/>
      <c r="VVK218" s="630"/>
      <c r="VVL218" s="630"/>
      <c r="VVM218" s="630"/>
      <c r="VVN218" s="630"/>
      <c r="VVO218" s="630"/>
      <c r="VVP218" s="630"/>
      <c r="VVQ218" s="630"/>
      <c r="VVR218" s="630"/>
      <c r="VVS218" s="630"/>
      <c r="VVT218" s="630"/>
      <c r="VVU218" s="630"/>
      <c r="VVV218" s="630"/>
      <c r="VVW218" s="630"/>
      <c r="VVX218" s="630"/>
      <c r="VVY218" s="630"/>
      <c r="VVZ218" s="630"/>
      <c r="VWA218" s="630"/>
      <c r="VWB218" s="630"/>
      <c r="VWC218" s="630"/>
      <c r="VWD218" s="630"/>
      <c r="VWE218" s="630"/>
      <c r="VWF218" s="630"/>
      <c r="VWG218" s="630"/>
      <c r="VWH218" s="630"/>
      <c r="VWI218" s="630"/>
      <c r="VWJ218" s="630"/>
      <c r="VWK218" s="630"/>
      <c r="VWL218" s="630"/>
      <c r="VWM218" s="630"/>
      <c r="VWN218" s="630"/>
      <c r="VWO218" s="630"/>
      <c r="VWP218" s="630"/>
      <c r="VWQ218" s="630"/>
      <c r="VWR218" s="630"/>
      <c r="VWS218" s="630"/>
      <c r="VWT218" s="630"/>
      <c r="VWU218" s="630"/>
      <c r="VWV218" s="630"/>
      <c r="VWW218" s="630"/>
      <c r="VWX218" s="630"/>
      <c r="VWY218" s="630"/>
      <c r="VWZ218" s="630"/>
      <c r="VXA218" s="630"/>
      <c r="VXB218" s="630"/>
      <c r="VXC218" s="630"/>
      <c r="VXD218" s="630"/>
      <c r="VXE218" s="630"/>
      <c r="VXF218" s="630"/>
      <c r="VXG218" s="630"/>
      <c r="VXH218" s="630"/>
      <c r="VXI218" s="630"/>
      <c r="VXJ218" s="630"/>
      <c r="VXK218" s="630"/>
      <c r="VXL218" s="630"/>
      <c r="VXM218" s="630"/>
      <c r="VXN218" s="630"/>
      <c r="VXO218" s="630"/>
      <c r="VXP218" s="630"/>
      <c r="VXQ218" s="630"/>
      <c r="VXR218" s="630"/>
      <c r="VXS218" s="630"/>
      <c r="VXT218" s="630"/>
      <c r="VXU218" s="630"/>
      <c r="VXV218" s="630"/>
      <c r="VXW218" s="630"/>
      <c r="VXX218" s="630"/>
      <c r="VXY218" s="630"/>
      <c r="VXZ218" s="630"/>
      <c r="VYA218" s="630"/>
      <c r="VYB218" s="630"/>
      <c r="VYC218" s="630"/>
      <c r="VYD218" s="630"/>
      <c r="VYE218" s="630"/>
      <c r="VYF218" s="630"/>
      <c r="VYG218" s="630"/>
      <c r="VYH218" s="630"/>
      <c r="VYI218" s="630"/>
      <c r="VYJ218" s="630"/>
      <c r="VYK218" s="630"/>
      <c r="VYL218" s="630"/>
      <c r="VYM218" s="630"/>
      <c r="VYN218" s="630"/>
      <c r="VYO218" s="630"/>
      <c r="VYP218" s="630"/>
      <c r="VYQ218" s="630"/>
      <c r="VYR218" s="630"/>
      <c r="VYS218" s="630"/>
      <c r="VYT218" s="630"/>
      <c r="VYU218" s="630"/>
      <c r="VYV218" s="630"/>
      <c r="VYW218" s="630"/>
      <c r="VYX218" s="630"/>
      <c r="VYY218" s="630"/>
      <c r="VYZ218" s="630"/>
      <c r="VZA218" s="630"/>
      <c r="VZB218" s="630"/>
      <c r="VZC218" s="630"/>
      <c r="VZD218" s="630"/>
      <c r="VZE218" s="630"/>
      <c r="VZF218" s="630"/>
      <c r="VZG218" s="630"/>
      <c r="VZH218" s="630"/>
      <c r="VZI218" s="630"/>
      <c r="VZJ218" s="630"/>
      <c r="VZK218" s="630"/>
      <c r="VZL218" s="630"/>
      <c r="VZM218" s="630"/>
      <c r="VZN218" s="630"/>
      <c r="VZO218" s="630"/>
      <c r="VZP218" s="630"/>
      <c r="VZQ218" s="630"/>
      <c r="VZR218" s="630"/>
      <c r="VZS218" s="630"/>
      <c r="VZT218" s="630"/>
      <c r="VZU218" s="630"/>
      <c r="VZV218" s="630"/>
      <c r="VZW218" s="630"/>
      <c r="VZX218" s="630"/>
      <c r="VZY218" s="630"/>
      <c r="VZZ218" s="630"/>
      <c r="WAA218" s="630"/>
      <c r="WAB218" s="630"/>
      <c r="WAC218" s="630"/>
      <c r="WAD218" s="630"/>
      <c r="WAE218" s="630"/>
      <c r="WAF218" s="630"/>
      <c r="WAG218" s="630"/>
      <c r="WAH218" s="630"/>
      <c r="WAI218" s="630"/>
      <c r="WAJ218" s="630"/>
      <c r="WAK218" s="630"/>
      <c r="WAL218" s="630"/>
      <c r="WAM218" s="630"/>
      <c r="WAN218" s="630"/>
      <c r="WAO218" s="630"/>
      <c r="WAP218" s="630"/>
      <c r="WAQ218" s="630"/>
      <c r="WAR218" s="630"/>
      <c r="WAS218" s="630"/>
      <c r="WAT218" s="630"/>
      <c r="WAU218" s="630"/>
      <c r="WAV218" s="630"/>
      <c r="WAW218" s="630"/>
      <c r="WAX218" s="630"/>
      <c r="WAY218" s="630"/>
      <c r="WAZ218" s="630"/>
      <c r="WBA218" s="630"/>
      <c r="WBB218" s="630"/>
      <c r="WBC218" s="630"/>
      <c r="WBD218" s="630"/>
      <c r="WBE218" s="630"/>
      <c r="WBF218" s="630"/>
      <c r="WBG218" s="630"/>
      <c r="WBH218" s="630"/>
      <c r="WBI218" s="630"/>
      <c r="WBJ218" s="630"/>
      <c r="WBK218" s="630"/>
      <c r="WBL218" s="630"/>
      <c r="WBM218" s="630"/>
      <c r="WBN218" s="630"/>
      <c r="WBO218" s="630"/>
      <c r="WBP218" s="630"/>
      <c r="WBQ218" s="630"/>
      <c r="WBR218" s="630"/>
      <c r="WBS218" s="630"/>
      <c r="WBT218" s="630"/>
      <c r="WBU218" s="630"/>
      <c r="WBV218" s="630"/>
      <c r="WBW218" s="630"/>
      <c r="WBX218" s="630"/>
      <c r="WBY218" s="630"/>
      <c r="WBZ218" s="630"/>
      <c r="WCA218" s="630"/>
      <c r="WCB218" s="630"/>
      <c r="WCC218" s="630"/>
      <c r="WCD218" s="630"/>
      <c r="WCE218" s="630"/>
      <c r="WCF218" s="630"/>
      <c r="WCG218" s="630"/>
      <c r="WCH218" s="630"/>
      <c r="WCI218" s="630"/>
      <c r="WCJ218" s="630"/>
      <c r="WCK218" s="630"/>
      <c r="WCL218" s="630"/>
      <c r="WCM218" s="630"/>
      <c r="WCN218" s="630"/>
      <c r="WCO218" s="630"/>
      <c r="WCP218" s="630"/>
      <c r="WCQ218" s="630"/>
      <c r="WCR218" s="630"/>
      <c r="WCS218" s="630"/>
      <c r="WCT218" s="630"/>
      <c r="WCU218" s="630"/>
      <c r="WCV218" s="630"/>
      <c r="WCW218" s="630"/>
      <c r="WCX218" s="630"/>
      <c r="WCY218" s="630"/>
      <c r="WCZ218" s="630"/>
      <c r="WDA218" s="630"/>
      <c r="WDB218" s="630"/>
      <c r="WDC218" s="630"/>
      <c r="WDD218" s="630"/>
      <c r="WDE218" s="630"/>
      <c r="WDF218" s="630"/>
      <c r="WDG218" s="630"/>
      <c r="WDH218" s="630"/>
      <c r="WDI218" s="630"/>
      <c r="WDJ218" s="630"/>
      <c r="WDK218" s="630"/>
      <c r="WDL218" s="630"/>
      <c r="WDM218" s="630"/>
      <c r="WDN218" s="630"/>
      <c r="WDO218" s="630"/>
      <c r="WDP218" s="630"/>
      <c r="WDQ218" s="630"/>
      <c r="WDR218" s="630"/>
      <c r="WDS218" s="630"/>
      <c r="WDT218" s="630"/>
      <c r="WDU218" s="630"/>
      <c r="WDV218" s="630"/>
      <c r="WDW218" s="630"/>
      <c r="WDX218" s="630"/>
      <c r="WDY218" s="630"/>
      <c r="WDZ218" s="630"/>
      <c r="WEA218" s="630"/>
      <c r="WEB218" s="630"/>
      <c r="WEC218" s="630"/>
      <c r="WED218" s="630"/>
      <c r="WEE218" s="630"/>
      <c r="WEF218" s="630"/>
      <c r="WEG218" s="630"/>
      <c r="WEH218" s="630"/>
      <c r="WEI218" s="630"/>
      <c r="WEJ218" s="630"/>
      <c r="WEK218" s="630"/>
      <c r="WEL218" s="630"/>
      <c r="WEM218" s="630"/>
      <c r="WEN218" s="630"/>
      <c r="WEO218" s="630"/>
      <c r="WEP218" s="630"/>
      <c r="WEQ218" s="630"/>
      <c r="WER218" s="630"/>
      <c r="WES218" s="630"/>
      <c r="WET218" s="630"/>
      <c r="WEU218" s="630"/>
      <c r="WEV218" s="630"/>
      <c r="WEW218" s="630"/>
      <c r="WEX218" s="630"/>
      <c r="WEY218" s="630"/>
      <c r="WEZ218" s="630"/>
      <c r="WFA218" s="630"/>
      <c r="WFB218" s="630"/>
      <c r="WFC218" s="630"/>
      <c r="WFD218" s="630"/>
      <c r="WFE218" s="630"/>
      <c r="WFF218" s="630"/>
      <c r="WFG218" s="630"/>
      <c r="WFH218" s="630"/>
      <c r="WFI218" s="630"/>
      <c r="WFJ218" s="630"/>
      <c r="WFK218" s="630"/>
      <c r="WFL218" s="630"/>
      <c r="WFM218" s="630"/>
      <c r="WFN218" s="630"/>
      <c r="WFO218" s="630"/>
      <c r="WFP218" s="630"/>
      <c r="WFQ218" s="630"/>
      <c r="WFR218" s="630"/>
      <c r="WFS218" s="630"/>
      <c r="WFT218" s="630"/>
      <c r="WFU218" s="630"/>
      <c r="WFV218" s="630"/>
      <c r="WFW218" s="630"/>
      <c r="WFX218" s="630"/>
      <c r="WFY218" s="630"/>
      <c r="WFZ218" s="630"/>
      <c r="WGA218" s="630"/>
      <c r="WGB218" s="630"/>
      <c r="WGC218" s="630"/>
      <c r="WGD218" s="630"/>
      <c r="WGE218" s="630"/>
      <c r="WGF218" s="630"/>
      <c r="WGG218" s="630"/>
      <c r="WGH218" s="630"/>
      <c r="WGI218" s="630"/>
      <c r="WGJ218" s="630"/>
      <c r="WGK218" s="630"/>
      <c r="WGL218" s="630"/>
      <c r="WGM218" s="630"/>
      <c r="WGN218" s="630"/>
      <c r="WGO218" s="630"/>
      <c r="WGP218" s="630"/>
      <c r="WGQ218" s="630"/>
      <c r="WGR218" s="630"/>
      <c r="WGS218" s="630"/>
      <c r="WGT218" s="630"/>
      <c r="WGU218" s="630"/>
      <c r="WGV218" s="630"/>
      <c r="WGW218" s="630"/>
      <c r="WGX218" s="630"/>
      <c r="WGY218" s="630"/>
      <c r="WGZ218" s="630"/>
      <c r="WHA218" s="630"/>
      <c r="WHB218" s="630"/>
      <c r="WHC218" s="630"/>
      <c r="WHD218" s="630"/>
      <c r="WHE218" s="630"/>
      <c r="WHF218" s="630"/>
      <c r="WHG218" s="630"/>
      <c r="WHH218" s="630"/>
      <c r="WHI218" s="630"/>
      <c r="WHJ218" s="630"/>
      <c r="WHK218" s="630"/>
      <c r="WHL218" s="630"/>
      <c r="WHM218" s="630"/>
      <c r="WHN218" s="630"/>
      <c r="WHO218" s="630"/>
      <c r="WHP218" s="630"/>
      <c r="WHQ218" s="630"/>
      <c r="WHR218" s="630"/>
      <c r="WHS218" s="630"/>
      <c r="WHT218" s="630"/>
      <c r="WHU218" s="630"/>
      <c r="WHV218" s="630"/>
      <c r="WHW218" s="630"/>
      <c r="WHX218" s="630"/>
      <c r="WHY218" s="630"/>
      <c r="WHZ218" s="630"/>
      <c r="WIA218" s="630"/>
      <c r="WIB218" s="630"/>
      <c r="WIC218" s="630"/>
      <c r="WID218" s="630"/>
      <c r="WIE218" s="630"/>
      <c r="WIF218" s="630"/>
      <c r="WIG218" s="630"/>
      <c r="WIH218" s="630"/>
      <c r="WII218" s="630"/>
      <c r="WIJ218" s="630"/>
      <c r="WIK218" s="630"/>
      <c r="WIL218" s="630"/>
      <c r="WIM218" s="630"/>
      <c r="WIN218" s="630"/>
      <c r="WIO218" s="630"/>
      <c r="WIP218" s="630"/>
      <c r="WIQ218" s="630"/>
      <c r="WIR218" s="630"/>
      <c r="WIS218" s="630"/>
      <c r="WIT218" s="630"/>
      <c r="WIU218" s="630"/>
      <c r="WIV218" s="630"/>
      <c r="WIW218" s="630"/>
      <c r="WIX218" s="630"/>
      <c r="WIY218" s="630"/>
      <c r="WIZ218" s="630"/>
      <c r="WJA218" s="630"/>
      <c r="WJB218" s="630"/>
      <c r="WJC218" s="630"/>
      <c r="WJD218" s="630"/>
      <c r="WJE218" s="630"/>
      <c r="WJF218" s="630"/>
      <c r="WJG218" s="630"/>
      <c r="WJH218" s="630"/>
      <c r="WJI218" s="630"/>
      <c r="WJJ218" s="630"/>
      <c r="WJK218" s="630"/>
      <c r="WJL218" s="630"/>
      <c r="WJM218" s="630"/>
      <c r="WJN218" s="630"/>
      <c r="WJO218" s="630"/>
      <c r="WJP218" s="630"/>
      <c r="WJQ218" s="630"/>
      <c r="WJR218" s="630"/>
      <c r="WJS218" s="630"/>
      <c r="WJT218" s="630"/>
      <c r="WJU218" s="630"/>
      <c r="WJV218" s="630"/>
      <c r="WJW218" s="630"/>
      <c r="WJX218" s="630"/>
      <c r="WJY218" s="630"/>
      <c r="WJZ218" s="630"/>
      <c r="WKA218" s="630"/>
      <c r="WKB218" s="630"/>
      <c r="WKC218" s="630"/>
      <c r="WKD218" s="630"/>
      <c r="WKE218" s="630"/>
      <c r="WKF218" s="630"/>
      <c r="WKG218" s="630"/>
      <c r="WKH218" s="630"/>
      <c r="WKI218" s="630"/>
      <c r="WKJ218" s="630"/>
      <c r="WKK218" s="630"/>
      <c r="WKL218" s="630"/>
      <c r="WKM218" s="630"/>
      <c r="WKN218" s="630"/>
      <c r="WKO218" s="630"/>
      <c r="WKP218" s="630"/>
      <c r="WKQ218" s="630"/>
      <c r="WKR218" s="630"/>
      <c r="WKS218" s="630"/>
      <c r="WKT218" s="630"/>
      <c r="WKU218" s="630"/>
      <c r="WKV218" s="630"/>
      <c r="WKW218" s="630"/>
      <c r="WKX218" s="630"/>
      <c r="WKY218" s="630"/>
      <c r="WKZ218" s="630"/>
      <c r="WLA218" s="630"/>
      <c r="WLB218" s="630"/>
      <c r="WLC218" s="630"/>
      <c r="WLD218" s="630"/>
      <c r="WLE218" s="630"/>
      <c r="WLF218" s="630"/>
      <c r="WLG218" s="630"/>
      <c r="WLH218" s="630"/>
      <c r="WLI218" s="630"/>
      <c r="WLJ218" s="630"/>
      <c r="WLK218" s="630"/>
      <c r="WLL218" s="630"/>
      <c r="WLM218" s="630"/>
      <c r="WLN218" s="630"/>
      <c r="WLO218" s="630"/>
      <c r="WLP218" s="630"/>
      <c r="WLQ218" s="630"/>
      <c r="WLR218" s="630"/>
      <c r="WLS218" s="630"/>
      <c r="WLT218" s="630"/>
      <c r="WLU218" s="630"/>
      <c r="WLV218" s="630"/>
      <c r="WLW218" s="630"/>
      <c r="WLX218" s="630"/>
      <c r="WLY218" s="630"/>
      <c r="WLZ218" s="630"/>
      <c r="WMA218" s="630"/>
      <c r="WMB218" s="630"/>
      <c r="WMC218" s="630"/>
      <c r="WMD218" s="630"/>
      <c r="WME218" s="630"/>
      <c r="WMF218" s="630"/>
      <c r="WMG218" s="630"/>
      <c r="WMH218" s="630"/>
      <c r="WMI218" s="630"/>
      <c r="WMJ218" s="630"/>
      <c r="WMK218" s="630"/>
      <c r="WML218" s="630"/>
      <c r="WMM218" s="630"/>
      <c r="WMN218" s="630"/>
      <c r="WMO218" s="630"/>
      <c r="WMP218" s="630"/>
      <c r="WMQ218" s="630"/>
      <c r="WMR218" s="630"/>
      <c r="WMS218" s="630"/>
      <c r="WMT218" s="630"/>
      <c r="WMU218" s="630"/>
      <c r="WMV218" s="630"/>
      <c r="WMW218" s="630"/>
      <c r="WMX218" s="630"/>
      <c r="WMY218" s="630"/>
      <c r="WMZ218" s="630"/>
      <c r="WNA218" s="630"/>
      <c r="WNB218" s="630"/>
      <c r="WNC218" s="630"/>
      <c r="WND218" s="630"/>
      <c r="WNE218" s="630"/>
      <c r="WNF218" s="630"/>
      <c r="WNG218" s="630"/>
      <c r="WNH218" s="630"/>
      <c r="WNI218" s="630"/>
      <c r="WNJ218" s="630"/>
      <c r="WNK218" s="630"/>
      <c r="WNL218" s="630"/>
      <c r="WNM218" s="630"/>
      <c r="WNN218" s="630"/>
      <c r="WNO218" s="630"/>
      <c r="WNP218" s="630"/>
      <c r="WNQ218" s="630"/>
      <c r="WNR218" s="630"/>
      <c r="WNS218" s="630"/>
      <c r="WNT218" s="630"/>
      <c r="WNU218" s="630"/>
      <c r="WNV218" s="630"/>
      <c r="WNW218" s="630"/>
      <c r="WNX218" s="630"/>
      <c r="WNY218" s="630"/>
      <c r="WNZ218" s="630"/>
      <c r="WOA218" s="630"/>
      <c r="WOB218" s="630"/>
      <c r="WOC218" s="630"/>
      <c r="WOD218" s="630"/>
      <c r="WOE218" s="630"/>
      <c r="WOF218" s="630"/>
      <c r="WOG218" s="630"/>
      <c r="WOH218" s="630"/>
      <c r="WOI218" s="630"/>
      <c r="WOJ218" s="630"/>
      <c r="WOK218" s="630"/>
      <c r="WOL218" s="630"/>
      <c r="WOM218" s="630"/>
      <c r="WON218" s="630"/>
      <c r="WOO218" s="630"/>
      <c r="WOP218" s="630"/>
      <c r="WOQ218" s="630"/>
      <c r="WOR218" s="630"/>
      <c r="WOS218" s="630"/>
      <c r="WOT218" s="630"/>
      <c r="WOU218" s="630"/>
      <c r="WOV218" s="630"/>
      <c r="WOW218" s="630"/>
      <c r="WOX218" s="630"/>
      <c r="WOY218" s="630"/>
      <c r="WOZ218" s="630"/>
      <c r="WPA218" s="630"/>
      <c r="WPB218" s="630"/>
      <c r="WPC218" s="630"/>
      <c r="WPD218" s="630"/>
      <c r="WPE218" s="630"/>
      <c r="WPF218" s="630"/>
      <c r="WPG218" s="630"/>
      <c r="WPH218" s="630"/>
      <c r="WPI218" s="630"/>
      <c r="WPJ218" s="630"/>
      <c r="WPK218" s="630"/>
      <c r="WPL218" s="630"/>
      <c r="WPM218" s="630"/>
      <c r="WPN218" s="630"/>
      <c r="WPO218" s="630"/>
      <c r="WPP218" s="630"/>
      <c r="WPQ218" s="630"/>
      <c r="WPR218" s="630"/>
      <c r="WPS218" s="630"/>
      <c r="WPT218" s="630"/>
      <c r="WPU218" s="630"/>
      <c r="WPV218" s="630"/>
      <c r="WPW218" s="630"/>
      <c r="WPX218" s="630"/>
      <c r="WPY218" s="630"/>
      <c r="WPZ218" s="630"/>
      <c r="WQA218" s="630"/>
      <c r="WQB218" s="630"/>
      <c r="WQC218" s="630"/>
      <c r="WQD218" s="630"/>
      <c r="WQE218" s="630"/>
      <c r="WQF218" s="630"/>
      <c r="WQG218" s="630"/>
      <c r="WQH218" s="630"/>
      <c r="WQI218" s="630"/>
      <c r="WQJ218" s="630"/>
      <c r="WQK218" s="630"/>
      <c r="WQL218" s="630"/>
      <c r="WQM218" s="630"/>
      <c r="WQN218" s="630"/>
      <c r="WQO218" s="630"/>
      <c r="WQP218" s="630"/>
      <c r="WQQ218" s="630"/>
      <c r="WQR218" s="630"/>
      <c r="WQS218" s="630"/>
      <c r="WQT218" s="630"/>
      <c r="WQU218" s="630"/>
      <c r="WQV218" s="630"/>
      <c r="WQW218" s="630"/>
      <c r="WQX218" s="630"/>
      <c r="WQY218" s="630"/>
      <c r="WQZ218" s="630"/>
      <c r="WRA218" s="630"/>
      <c r="WRB218" s="630"/>
      <c r="WRC218" s="630"/>
      <c r="WRD218" s="630"/>
      <c r="WRE218" s="630"/>
      <c r="WRF218" s="630"/>
      <c r="WRG218" s="630"/>
      <c r="WRH218" s="630"/>
      <c r="WRI218" s="630"/>
      <c r="WRJ218" s="630"/>
      <c r="WRK218" s="630"/>
      <c r="WRL218" s="630"/>
      <c r="WRM218" s="630"/>
      <c r="WRN218" s="630"/>
      <c r="WRO218" s="630"/>
      <c r="WRP218" s="630"/>
      <c r="WRQ218" s="630"/>
      <c r="WRR218" s="630"/>
      <c r="WRS218" s="630"/>
      <c r="WRT218" s="630"/>
      <c r="WRU218" s="630"/>
      <c r="WRV218" s="630"/>
      <c r="WRW218" s="630"/>
      <c r="WRX218" s="630"/>
      <c r="WRY218" s="630"/>
      <c r="WRZ218" s="630"/>
      <c r="WSA218" s="630"/>
      <c r="WSB218" s="630"/>
      <c r="WSC218" s="630"/>
      <c r="WSD218" s="630"/>
      <c r="WSE218" s="630"/>
      <c r="WSF218" s="630"/>
      <c r="WSG218" s="630"/>
      <c r="WSH218" s="630"/>
      <c r="WSI218" s="630"/>
      <c r="WSJ218" s="630"/>
      <c r="WSK218" s="630"/>
      <c r="WSL218" s="630"/>
      <c r="WSM218" s="630"/>
      <c r="WSN218" s="630"/>
      <c r="WSO218" s="630"/>
      <c r="WSP218" s="630"/>
      <c r="WSQ218" s="630"/>
      <c r="WSR218" s="630"/>
      <c r="WSS218" s="630"/>
      <c r="WST218" s="630"/>
      <c r="WSU218" s="630"/>
      <c r="WSV218" s="630"/>
      <c r="WSW218" s="630"/>
      <c r="WSX218" s="630"/>
      <c r="WSY218" s="630"/>
      <c r="WSZ218" s="630"/>
      <c r="WTA218" s="630"/>
      <c r="WTB218" s="630"/>
      <c r="WTC218" s="630"/>
      <c r="WTD218" s="630"/>
      <c r="WTE218" s="630"/>
      <c r="WTF218" s="630"/>
      <c r="WTG218" s="630"/>
      <c r="WTH218" s="630"/>
      <c r="WTI218" s="630"/>
      <c r="WTJ218" s="630"/>
      <c r="WTK218" s="630"/>
      <c r="WTL218" s="630"/>
      <c r="WTM218" s="630"/>
      <c r="WTN218" s="630"/>
      <c r="WTO218" s="630"/>
      <c r="WTP218" s="630"/>
      <c r="WTQ218" s="630"/>
      <c r="WTR218" s="630"/>
      <c r="WTS218" s="630"/>
      <c r="WTT218" s="630"/>
      <c r="WTU218" s="630"/>
      <c r="WTV218" s="630"/>
      <c r="WTW218" s="630"/>
      <c r="WTX218" s="630"/>
      <c r="WTY218" s="630"/>
      <c r="WTZ218" s="630"/>
      <c r="WUA218" s="630"/>
      <c r="WUB218" s="630"/>
      <c r="WUC218" s="630"/>
      <c r="WUD218" s="630"/>
      <c r="WUE218" s="630"/>
      <c r="WUF218" s="630"/>
      <c r="WUG218" s="630"/>
      <c r="WUH218" s="630"/>
      <c r="WUI218" s="630"/>
      <c r="WUJ218" s="630"/>
      <c r="WUK218" s="630"/>
      <c r="WUL218" s="630"/>
      <c r="WUM218" s="630"/>
      <c r="WUN218" s="630"/>
      <c r="WUO218" s="630"/>
      <c r="WUP218" s="630"/>
      <c r="WUQ218" s="630"/>
      <c r="WUR218" s="630"/>
      <c r="WUS218" s="630"/>
      <c r="WUT218" s="630"/>
      <c r="WUU218" s="630"/>
      <c r="WUV218" s="630"/>
      <c r="WUW218" s="630"/>
      <c r="WUX218" s="630"/>
      <c r="WUY218" s="630"/>
      <c r="WUZ218" s="630"/>
      <c r="WVA218" s="630"/>
      <c r="WVB218" s="630"/>
      <c r="WVC218" s="630"/>
      <c r="WVD218" s="630"/>
      <c r="WVE218" s="630"/>
      <c r="WVF218" s="630"/>
      <c r="WVG218" s="630"/>
      <c r="WVH218" s="630"/>
      <c r="WVI218" s="630"/>
      <c r="WVJ218" s="630"/>
      <c r="WVK218" s="630"/>
      <c r="WVL218" s="630"/>
      <c r="WVM218" s="630"/>
      <c r="WVN218" s="630"/>
      <c r="WVO218" s="630"/>
    </row>
    <row r="219" spans="1:16135" customFormat="1" x14ac:dyDescent="0.25">
      <c r="A219" s="630"/>
      <c r="B219" s="630"/>
      <c r="C219" s="630"/>
      <c r="D219" s="630"/>
      <c r="E219" s="630"/>
      <c r="F219" s="49"/>
      <c r="G219" s="49"/>
      <c r="I219" s="628"/>
      <c r="BY219" s="630"/>
      <c r="BZ219" s="630"/>
      <c r="CA219" s="630"/>
      <c r="CB219" s="630"/>
      <c r="CC219" s="630"/>
      <c r="CD219" s="630"/>
      <c r="CE219" s="630"/>
      <c r="CF219" s="630"/>
      <c r="CG219" s="630"/>
      <c r="CH219" s="630"/>
      <c r="CI219" s="630"/>
      <c r="CJ219" s="630"/>
      <c r="CK219" s="630"/>
      <c r="CL219" s="630"/>
      <c r="CM219" s="630"/>
      <c r="CN219" s="630"/>
      <c r="CO219" s="630"/>
      <c r="CP219" s="630"/>
      <c r="CQ219" s="630"/>
      <c r="CR219" s="630"/>
      <c r="CS219" s="630"/>
      <c r="CT219" s="630"/>
      <c r="CU219" s="630"/>
      <c r="CV219" s="630"/>
      <c r="CW219" s="630"/>
      <c r="CX219" s="630"/>
      <c r="CY219" s="630"/>
      <c r="CZ219" s="630"/>
      <c r="DA219" s="630"/>
      <c r="DB219" s="630"/>
      <c r="DC219" s="630"/>
      <c r="DD219" s="630"/>
      <c r="DE219" s="630"/>
      <c r="DF219" s="630"/>
      <c r="DG219" s="630"/>
      <c r="DH219" s="630"/>
      <c r="DI219" s="630"/>
      <c r="DJ219" s="630"/>
      <c r="DK219" s="630"/>
      <c r="DL219" s="630"/>
      <c r="DM219" s="630"/>
      <c r="DN219" s="630"/>
      <c r="DO219" s="630"/>
      <c r="DP219" s="630"/>
      <c r="DQ219" s="630"/>
      <c r="DR219" s="630"/>
      <c r="DS219" s="630"/>
      <c r="DT219" s="630"/>
      <c r="DU219" s="630"/>
      <c r="DV219" s="630"/>
      <c r="DW219" s="630"/>
      <c r="DX219" s="630"/>
      <c r="DY219" s="630"/>
      <c r="DZ219" s="630"/>
      <c r="EA219" s="630"/>
      <c r="EB219" s="630"/>
      <c r="EC219" s="630"/>
      <c r="ED219" s="630"/>
      <c r="EE219" s="630"/>
      <c r="EF219" s="630"/>
      <c r="EG219" s="630"/>
      <c r="EH219" s="630"/>
      <c r="EI219" s="630"/>
      <c r="EJ219" s="630"/>
      <c r="EK219" s="630"/>
      <c r="EL219" s="630"/>
      <c r="EM219" s="630"/>
      <c r="EN219" s="630"/>
      <c r="EO219" s="630"/>
      <c r="EP219" s="630"/>
      <c r="EQ219" s="630"/>
      <c r="ER219" s="630"/>
      <c r="ES219" s="630"/>
      <c r="ET219" s="630"/>
      <c r="EU219" s="630"/>
      <c r="EV219" s="630"/>
      <c r="EW219" s="630"/>
      <c r="EX219" s="630"/>
      <c r="EY219" s="630"/>
      <c r="EZ219" s="630"/>
      <c r="FA219" s="630"/>
      <c r="FB219" s="630"/>
      <c r="FC219" s="630"/>
      <c r="FD219" s="630"/>
      <c r="FE219" s="630"/>
      <c r="FF219" s="630"/>
      <c r="FG219" s="630"/>
      <c r="FH219" s="630"/>
      <c r="FI219" s="630"/>
      <c r="FJ219" s="630"/>
      <c r="FK219" s="630"/>
      <c r="FL219" s="630"/>
      <c r="FM219" s="630"/>
      <c r="FN219" s="630"/>
      <c r="FO219" s="630"/>
      <c r="FP219" s="630"/>
      <c r="FQ219" s="630"/>
      <c r="FR219" s="630"/>
      <c r="FS219" s="630"/>
      <c r="FT219" s="630"/>
      <c r="FU219" s="630"/>
      <c r="FV219" s="630"/>
      <c r="FW219" s="630"/>
      <c r="FX219" s="630"/>
      <c r="FY219" s="630"/>
      <c r="FZ219" s="630"/>
      <c r="GA219" s="630"/>
      <c r="GB219" s="630"/>
      <c r="GC219" s="630"/>
      <c r="GD219" s="630"/>
      <c r="GE219" s="630"/>
      <c r="GF219" s="630"/>
      <c r="GG219" s="630"/>
      <c r="GH219" s="630"/>
      <c r="GI219" s="630"/>
      <c r="GJ219" s="630"/>
      <c r="GK219" s="630"/>
      <c r="GL219" s="630"/>
      <c r="GM219" s="630"/>
      <c r="GN219" s="630"/>
      <c r="GO219" s="630"/>
      <c r="GP219" s="630"/>
      <c r="GQ219" s="630"/>
      <c r="GR219" s="630"/>
      <c r="GS219" s="630"/>
      <c r="GT219" s="630"/>
      <c r="GU219" s="630"/>
      <c r="GV219" s="630"/>
      <c r="GW219" s="630"/>
      <c r="GX219" s="630"/>
      <c r="GY219" s="630"/>
      <c r="GZ219" s="630"/>
      <c r="HA219" s="630"/>
      <c r="HB219" s="630"/>
      <c r="HC219" s="630"/>
      <c r="HD219" s="630"/>
      <c r="HE219" s="630"/>
      <c r="HF219" s="630"/>
      <c r="HG219" s="630"/>
      <c r="HH219" s="630"/>
      <c r="HI219" s="630"/>
      <c r="HJ219" s="630"/>
      <c r="HK219" s="630"/>
      <c r="HL219" s="630"/>
      <c r="HM219" s="630"/>
      <c r="HN219" s="630"/>
      <c r="HO219" s="630"/>
      <c r="HP219" s="630"/>
      <c r="HQ219" s="630"/>
      <c r="HR219" s="630"/>
      <c r="HS219" s="630"/>
      <c r="HT219" s="630"/>
      <c r="HU219" s="630"/>
      <c r="HV219" s="630"/>
      <c r="HW219" s="630"/>
      <c r="HX219" s="630"/>
      <c r="HY219" s="630"/>
      <c r="HZ219" s="630"/>
      <c r="IA219" s="630"/>
      <c r="IB219" s="630"/>
      <c r="IC219" s="630"/>
      <c r="ID219" s="630"/>
      <c r="IE219" s="630"/>
      <c r="IF219" s="630"/>
      <c r="IG219" s="630"/>
      <c r="IH219" s="630"/>
      <c r="II219" s="630"/>
      <c r="IJ219" s="630"/>
      <c r="IK219" s="630"/>
      <c r="IL219" s="630"/>
      <c r="IM219" s="630"/>
      <c r="IN219" s="630"/>
      <c r="IO219" s="630"/>
      <c r="IP219" s="630"/>
      <c r="IQ219" s="630"/>
      <c r="IR219" s="630"/>
      <c r="IS219" s="630"/>
      <c r="IT219" s="630"/>
      <c r="IU219" s="630"/>
      <c r="IV219" s="630"/>
      <c r="IW219" s="630"/>
      <c r="IX219" s="630"/>
      <c r="IY219" s="630"/>
      <c r="IZ219" s="630"/>
      <c r="JA219" s="630"/>
      <c r="JB219" s="630"/>
      <c r="JC219" s="630"/>
      <c r="JD219" s="630"/>
      <c r="JE219" s="630"/>
      <c r="JF219" s="630"/>
      <c r="JG219" s="630"/>
      <c r="JH219" s="630"/>
      <c r="JI219" s="630"/>
      <c r="JJ219" s="630"/>
      <c r="JK219" s="630"/>
      <c r="JL219" s="630"/>
      <c r="JM219" s="630"/>
      <c r="JN219" s="630"/>
      <c r="JO219" s="630"/>
      <c r="JP219" s="630"/>
      <c r="JQ219" s="630"/>
      <c r="JR219" s="630"/>
      <c r="JS219" s="630"/>
      <c r="JT219" s="630"/>
      <c r="JU219" s="630"/>
      <c r="JV219" s="630"/>
      <c r="JW219" s="630"/>
      <c r="JX219" s="630"/>
      <c r="JY219" s="630"/>
      <c r="JZ219" s="630"/>
      <c r="KA219" s="630"/>
      <c r="KB219" s="630"/>
      <c r="KC219" s="630"/>
      <c r="KD219" s="630"/>
      <c r="KE219" s="630"/>
      <c r="KF219" s="630"/>
      <c r="KG219" s="630"/>
      <c r="KH219" s="630"/>
      <c r="KI219" s="630"/>
      <c r="KJ219" s="630"/>
      <c r="KK219" s="630"/>
      <c r="KL219" s="630"/>
      <c r="KM219" s="630"/>
      <c r="KN219" s="630"/>
      <c r="KO219" s="630"/>
      <c r="KP219" s="630"/>
      <c r="KQ219" s="630"/>
      <c r="KR219" s="630"/>
      <c r="KS219" s="630"/>
      <c r="KT219" s="630"/>
      <c r="KU219" s="630"/>
      <c r="KV219" s="630"/>
      <c r="KW219" s="630"/>
      <c r="KX219" s="630"/>
      <c r="KY219" s="630"/>
      <c r="KZ219" s="630"/>
      <c r="LA219" s="630"/>
      <c r="LB219" s="630"/>
      <c r="LC219" s="630"/>
      <c r="LD219" s="630"/>
      <c r="LE219" s="630"/>
      <c r="LF219" s="630"/>
      <c r="LG219" s="630"/>
      <c r="LH219" s="630"/>
      <c r="LI219" s="630"/>
      <c r="LJ219" s="630"/>
      <c r="LK219" s="630"/>
      <c r="LL219" s="630"/>
      <c r="LM219" s="630"/>
      <c r="LN219" s="630"/>
      <c r="LO219" s="630"/>
      <c r="LP219" s="630"/>
      <c r="LQ219" s="630"/>
      <c r="LR219" s="630"/>
      <c r="LS219" s="630"/>
      <c r="LT219" s="630"/>
      <c r="LU219" s="630"/>
      <c r="LV219" s="630"/>
      <c r="LW219" s="630"/>
      <c r="LX219" s="630"/>
      <c r="LY219" s="630"/>
      <c r="LZ219" s="630"/>
      <c r="MA219" s="630"/>
      <c r="MB219" s="630"/>
      <c r="MC219" s="630"/>
      <c r="MD219" s="630"/>
      <c r="ME219" s="630"/>
      <c r="MF219" s="630"/>
      <c r="MG219" s="630"/>
      <c r="MH219" s="630"/>
      <c r="MI219" s="630"/>
      <c r="MJ219" s="630"/>
      <c r="MK219" s="630"/>
      <c r="ML219" s="630"/>
      <c r="MM219" s="630"/>
      <c r="MN219" s="630"/>
      <c r="MO219" s="630"/>
      <c r="MP219" s="630"/>
      <c r="MQ219" s="630"/>
      <c r="MR219" s="630"/>
      <c r="MS219" s="630"/>
      <c r="MT219" s="630"/>
      <c r="MU219" s="630"/>
      <c r="MV219" s="630"/>
      <c r="MW219" s="630"/>
      <c r="MX219" s="630"/>
      <c r="MY219" s="630"/>
      <c r="MZ219" s="630"/>
      <c r="NA219" s="630"/>
      <c r="NB219" s="630"/>
      <c r="NC219" s="630"/>
      <c r="ND219" s="630"/>
      <c r="NE219" s="630"/>
      <c r="NF219" s="630"/>
      <c r="NG219" s="630"/>
      <c r="NH219" s="630"/>
      <c r="NI219" s="630"/>
      <c r="NJ219" s="630"/>
      <c r="NK219" s="630"/>
      <c r="NL219" s="630"/>
      <c r="NM219" s="630"/>
      <c r="NN219" s="630"/>
      <c r="NO219" s="630"/>
      <c r="NP219" s="630"/>
      <c r="NQ219" s="630"/>
      <c r="NR219" s="630"/>
      <c r="NS219" s="630"/>
      <c r="NT219" s="630"/>
      <c r="NU219" s="630"/>
      <c r="NV219" s="630"/>
      <c r="NW219" s="630"/>
      <c r="NX219" s="630"/>
      <c r="NY219" s="630"/>
      <c r="NZ219" s="630"/>
      <c r="OA219" s="630"/>
      <c r="OB219" s="630"/>
      <c r="OC219" s="630"/>
      <c r="OD219" s="630"/>
      <c r="OE219" s="630"/>
      <c r="OF219" s="630"/>
      <c r="OG219" s="630"/>
      <c r="OH219" s="630"/>
      <c r="OI219" s="630"/>
      <c r="OJ219" s="630"/>
      <c r="OK219" s="630"/>
      <c r="OL219" s="630"/>
      <c r="OM219" s="630"/>
      <c r="ON219" s="630"/>
      <c r="OO219" s="630"/>
      <c r="OP219" s="630"/>
      <c r="OQ219" s="630"/>
      <c r="OR219" s="630"/>
      <c r="OS219" s="630"/>
      <c r="OT219" s="630"/>
      <c r="OU219" s="630"/>
      <c r="OV219" s="630"/>
      <c r="OW219" s="630"/>
      <c r="OX219" s="630"/>
      <c r="OY219" s="630"/>
      <c r="OZ219" s="630"/>
      <c r="PA219" s="630"/>
      <c r="PB219" s="630"/>
      <c r="PC219" s="630"/>
      <c r="PD219" s="630"/>
      <c r="PE219" s="630"/>
      <c r="PF219" s="630"/>
      <c r="PG219" s="630"/>
      <c r="PH219" s="630"/>
      <c r="PI219" s="630"/>
      <c r="PJ219" s="630"/>
      <c r="PK219" s="630"/>
      <c r="PL219" s="630"/>
      <c r="PM219" s="630"/>
      <c r="PN219" s="630"/>
      <c r="PO219" s="630"/>
      <c r="PP219" s="630"/>
      <c r="PQ219" s="630"/>
      <c r="PR219" s="630"/>
      <c r="PS219" s="630"/>
      <c r="PT219" s="630"/>
      <c r="PU219" s="630"/>
      <c r="PV219" s="630"/>
      <c r="PW219" s="630"/>
      <c r="PX219" s="630"/>
      <c r="PY219" s="630"/>
      <c r="PZ219" s="630"/>
      <c r="QA219" s="630"/>
      <c r="QB219" s="630"/>
      <c r="QC219" s="630"/>
      <c r="QD219" s="630"/>
      <c r="QE219" s="630"/>
      <c r="QF219" s="630"/>
      <c r="QG219" s="630"/>
      <c r="QH219" s="630"/>
      <c r="QI219" s="630"/>
      <c r="QJ219" s="630"/>
      <c r="QK219" s="630"/>
      <c r="QL219" s="630"/>
      <c r="QM219" s="630"/>
      <c r="QN219" s="630"/>
      <c r="QO219" s="630"/>
      <c r="QP219" s="630"/>
      <c r="QQ219" s="630"/>
      <c r="QR219" s="630"/>
      <c r="QS219" s="630"/>
      <c r="QT219" s="630"/>
      <c r="QU219" s="630"/>
      <c r="QV219" s="630"/>
      <c r="QW219" s="630"/>
      <c r="QX219" s="630"/>
      <c r="QY219" s="630"/>
      <c r="QZ219" s="630"/>
      <c r="RA219" s="630"/>
      <c r="RB219" s="630"/>
      <c r="RC219" s="630"/>
      <c r="RD219" s="630"/>
      <c r="RE219" s="630"/>
      <c r="RF219" s="630"/>
      <c r="RG219" s="630"/>
      <c r="RH219" s="630"/>
      <c r="RI219" s="630"/>
      <c r="RJ219" s="630"/>
      <c r="RK219" s="630"/>
      <c r="RL219" s="630"/>
      <c r="RM219" s="630"/>
      <c r="RN219" s="630"/>
      <c r="RO219" s="630"/>
      <c r="RP219" s="630"/>
      <c r="RQ219" s="630"/>
      <c r="RR219" s="630"/>
      <c r="RS219" s="630"/>
      <c r="RT219" s="630"/>
      <c r="RU219" s="630"/>
      <c r="RV219" s="630"/>
      <c r="RW219" s="630"/>
      <c r="RX219" s="630"/>
      <c r="RY219" s="630"/>
      <c r="RZ219" s="630"/>
      <c r="SA219" s="630"/>
      <c r="SB219" s="630"/>
      <c r="SC219" s="630"/>
      <c r="SD219" s="630"/>
      <c r="SE219" s="630"/>
      <c r="SF219" s="630"/>
      <c r="SG219" s="630"/>
      <c r="SH219" s="630"/>
      <c r="SI219" s="630"/>
      <c r="SJ219" s="630"/>
      <c r="SK219" s="630"/>
      <c r="SL219" s="630"/>
      <c r="SM219" s="630"/>
      <c r="SN219" s="630"/>
      <c r="SO219" s="630"/>
      <c r="SP219" s="630"/>
      <c r="SQ219" s="630"/>
      <c r="SR219" s="630"/>
      <c r="SS219" s="630"/>
      <c r="ST219" s="630"/>
      <c r="SU219" s="630"/>
      <c r="SV219" s="630"/>
      <c r="SW219" s="630"/>
      <c r="SX219" s="630"/>
      <c r="SY219" s="630"/>
      <c r="SZ219" s="630"/>
      <c r="TA219" s="630"/>
      <c r="TB219" s="630"/>
      <c r="TC219" s="630"/>
      <c r="TD219" s="630"/>
      <c r="TE219" s="630"/>
      <c r="TF219" s="630"/>
      <c r="TG219" s="630"/>
      <c r="TH219" s="630"/>
      <c r="TI219" s="630"/>
      <c r="TJ219" s="630"/>
      <c r="TK219" s="630"/>
      <c r="TL219" s="630"/>
      <c r="TM219" s="630"/>
      <c r="TN219" s="630"/>
      <c r="TO219" s="630"/>
      <c r="TP219" s="630"/>
      <c r="TQ219" s="630"/>
      <c r="TR219" s="630"/>
      <c r="TS219" s="630"/>
      <c r="TT219" s="630"/>
      <c r="TU219" s="630"/>
      <c r="TV219" s="630"/>
      <c r="TW219" s="630"/>
      <c r="TX219" s="630"/>
      <c r="TY219" s="630"/>
      <c r="TZ219" s="630"/>
      <c r="UA219" s="630"/>
      <c r="UB219" s="630"/>
      <c r="UC219" s="630"/>
      <c r="UD219" s="630"/>
      <c r="UE219" s="630"/>
      <c r="UF219" s="630"/>
      <c r="UG219" s="630"/>
      <c r="UH219" s="630"/>
      <c r="UI219" s="630"/>
      <c r="UJ219" s="630"/>
      <c r="UK219" s="630"/>
      <c r="UL219" s="630"/>
      <c r="UM219" s="630"/>
      <c r="UN219" s="630"/>
      <c r="UO219" s="630"/>
      <c r="UP219" s="630"/>
      <c r="UQ219" s="630"/>
      <c r="UR219" s="630"/>
      <c r="US219" s="630"/>
      <c r="UT219" s="630"/>
      <c r="UU219" s="630"/>
      <c r="UV219" s="630"/>
      <c r="UW219" s="630"/>
      <c r="UX219" s="630"/>
      <c r="UY219" s="630"/>
      <c r="UZ219" s="630"/>
      <c r="VA219" s="630"/>
      <c r="VB219" s="630"/>
      <c r="VC219" s="630"/>
      <c r="VD219" s="630"/>
      <c r="VE219" s="630"/>
      <c r="VF219" s="630"/>
      <c r="VG219" s="630"/>
      <c r="VH219" s="630"/>
      <c r="VI219" s="630"/>
      <c r="VJ219" s="630"/>
      <c r="VK219" s="630"/>
      <c r="VL219" s="630"/>
      <c r="VM219" s="630"/>
      <c r="VN219" s="630"/>
      <c r="VO219" s="630"/>
      <c r="VP219" s="630"/>
      <c r="VQ219" s="630"/>
      <c r="VR219" s="630"/>
      <c r="VS219" s="630"/>
      <c r="VT219" s="630"/>
      <c r="VU219" s="630"/>
      <c r="VV219" s="630"/>
      <c r="VW219" s="630"/>
      <c r="VX219" s="630"/>
      <c r="VY219" s="630"/>
      <c r="VZ219" s="630"/>
      <c r="WA219" s="630"/>
      <c r="WB219" s="630"/>
      <c r="WC219" s="630"/>
      <c r="WD219" s="630"/>
      <c r="WE219" s="630"/>
      <c r="WF219" s="630"/>
      <c r="WG219" s="630"/>
      <c r="WH219" s="630"/>
      <c r="WI219" s="630"/>
      <c r="WJ219" s="630"/>
      <c r="WK219" s="630"/>
      <c r="WL219" s="630"/>
      <c r="WM219" s="630"/>
      <c r="WN219" s="630"/>
      <c r="WO219" s="630"/>
      <c r="WP219" s="630"/>
      <c r="WQ219" s="630"/>
      <c r="WR219" s="630"/>
      <c r="WS219" s="630"/>
      <c r="WT219" s="630"/>
      <c r="WU219" s="630"/>
      <c r="WV219" s="630"/>
      <c r="WW219" s="630"/>
      <c r="WX219" s="630"/>
      <c r="WY219" s="630"/>
      <c r="WZ219" s="630"/>
      <c r="XA219" s="630"/>
      <c r="XB219" s="630"/>
      <c r="XC219" s="630"/>
      <c r="XD219" s="630"/>
      <c r="XE219" s="630"/>
      <c r="XF219" s="630"/>
      <c r="XG219" s="630"/>
      <c r="XH219" s="630"/>
      <c r="XI219" s="630"/>
      <c r="XJ219" s="630"/>
      <c r="XK219" s="630"/>
      <c r="XL219" s="630"/>
      <c r="XM219" s="630"/>
      <c r="XN219" s="630"/>
      <c r="XO219" s="630"/>
      <c r="XP219" s="630"/>
      <c r="XQ219" s="630"/>
      <c r="XR219" s="630"/>
      <c r="XS219" s="630"/>
      <c r="XT219" s="630"/>
      <c r="XU219" s="630"/>
      <c r="XV219" s="630"/>
      <c r="XW219" s="630"/>
      <c r="XX219" s="630"/>
      <c r="XY219" s="630"/>
      <c r="XZ219" s="630"/>
      <c r="YA219" s="630"/>
      <c r="YB219" s="630"/>
      <c r="YC219" s="630"/>
      <c r="YD219" s="630"/>
      <c r="YE219" s="630"/>
      <c r="YF219" s="630"/>
      <c r="YG219" s="630"/>
      <c r="YH219" s="630"/>
      <c r="YI219" s="630"/>
      <c r="YJ219" s="630"/>
      <c r="YK219" s="630"/>
      <c r="YL219" s="630"/>
      <c r="YM219" s="630"/>
      <c r="YN219" s="630"/>
      <c r="YO219" s="630"/>
      <c r="YP219" s="630"/>
      <c r="YQ219" s="630"/>
      <c r="YR219" s="630"/>
      <c r="YS219" s="630"/>
      <c r="YT219" s="630"/>
      <c r="YU219" s="630"/>
      <c r="YV219" s="630"/>
      <c r="YW219" s="630"/>
      <c r="YX219" s="630"/>
      <c r="YY219" s="630"/>
      <c r="YZ219" s="630"/>
      <c r="ZA219" s="630"/>
      <c r="ZB219" s="630"/>
      <c r="ZC219" s="630"/>
      <c r="ZD219" s="630"/>
      <c r="ZE219" s="630"/>
      <c r="ZF219" s="630"/>
      <c r="ZG219" s="630"/>
      <c r="ZH219" s="630"/>
      <c r="ZI219" s="630"/>
      <c r="ZJ219" s="630"/>
      <c r="ZK219" s="630"/>
      <c r="ZL219" s="630"/>
      <c r="ZM219" s="630"/>
      <c r="ZN219" s="630"/>
      <c r="ZO219" s="630"/>
      <c r="ZP219" s="630"/>
      <c r="ZQ219" s="630"/>
      <c r="ZR219" s="630"/>
      <c r="ZS219" s="630"/>
      <c r="ZT219" s="630"/>
      <c r="ZU219" s="630"/>
      <c r="ZV219" s="630"/>
      <c r="ZW219" s="630"/>
      <c r="ZX219" s="630"/>
      <c r="ZY219" s="630"/>
      <c r="ZZ219" s="630"/>
      <c r="AAA219" s="630"/>
      <c r="AAB219" s="630"/>
      <c r="AAC219" s="630"/>
      <c r="AAD219" s="630"/>
      <c r="AAE219" s="630"/>
      <c r="AAF219" s="630"/>
      <c r="AAG219" s="630"/>
      <c r="AAH219" s="630"/>
      <c r="AAI219" s="630"/>
      <c r="AAJ219" s="630"/>
      <c r="AAK219" s="630"/>
      <c r="AAL219" s="630"/>
      <c r="AAM219" s="630"/>
      <c r="AAN219" s="630"/>
      <c r="AAO219" s="630"/>
      <c r="AAP219" s="630"/>
      <c r="AAQ219" s="630"/>
      <c r="AAR219" s="630"/>
      <c r="AAS219" s="630"/>
      <c r="AAT219" s="630"/>
      <c r="AAU219" s="630"/>
      <c r="AAV219" s="630"/>
      <c r="AAW219" s="630"/>
      <c r="AAX219" s="630"/>
      <c r="AAY219" s="630"/>
      <c r="AAZ219" s="630"/>
      <c r="ABA219" s="630"/>
      <c r="ABB219" s="630"/>
      <c r="ABC219" s="630"/>
      <c r="ABD219" s="630"/>
      <c r="ABE219" s="630"/>
      <c r="ABF219" s="630"/>
      <c r="ABG219" s="630"/>
      <c r="ABH219" s="630"/>
      <c r="ABI219" s="630"/>
      <c r="ABJ219" s="630"/>
      <c r="ABK219" s="630"/>
      <c r="ABL219" s="630"/>
      <c r="ABM219" s="630"/>
      <c r="ABN219" s="630"/>
      <c r="ABO219" s="630"/>
      <c r="ABP219" s="630"/>
      <c r="ABQ219" s="630"/>
      <c r="ABR219" s="630"/>
      <c r="ABS219" s="630"/>
      <c r="ABT219" s="630"/>
      <c r="ABU219" s="630"/>
      <c r="ABV219" s="630"/>
      <c r="ABW219" s="630"/>
      <c r="ABX219" s="630"/>
      <c r="ABY219" s="630"/>
      <c r="ABZ219" s="630"/>
      <c r="ACA219" s="630"/>
      <c r="ACB219" s="630"/>
      <c r="ACC219" s="630"/>
      <c r="ACD219" s="630"/>
      <c r="ACE219" s="630"/>
      <c r="ACF219" s="630"/>
      <c r="ACG219" s="630"/>
      <c r="ACH219" s="630"/>
      <c r="ACI219" s="630"/>
      <c r="ACJ219" s="630"/>
      <c r="ACK219" s="630"/>
      <c r="ACL219" s="630"/>
      <c r="ACM219" s="630"/>
      <c r="ACN219" s="630"/>
      <c r="ACO219" s="630"/>
      <c r="ACP219" s="630"/>
      <c r="ACQ219" s="630"/>
      <c r="ACR219" s="630"/>
      <c r="ACS219" s="630"/>
      <c r="ACT219" s="630"/>
      <c r="ACU219" s="630"/>
      <c r="ACV219" s="630"/>
      <c r="ACW219" s="630"/>
      <c r="ACX219" s="630"/>
      <c r="ACY219" s="630"/>
      <c r="ACZ219" s="630"/>
      <c r="ADA219" s="630"/>
      <c r="ADB219" s="630"/>
      <c r="ADC219" s="630"/>
      <c r="ADD219" s="630"/>
      <c r="ADE219" s="630"/>
      <c r="ADF219" s="630"/>
      <c r="ADG219" s="630"/>
      <c r="ADH219" s="630"/>
      <c r="ADI219" s="630"/>
      <c r="ADJ219" s="630"/>
      <c r="ADK219" s="630"/>
      <c r="ADL219" s="630"/>
      <c r="ADM219" s="630"/>
      <c r="ADN219" s="630"/>
      <c r="ADO219" s="630"/>
      <c r="ADP219" s="630"/>
      <c r="ADQ219" s="630"/>
      <c r="ADR219" s="630"/>
      <c r="ADS219" s="630"/>
      <c r="ADT219" s="630"/>
      <c r="ADU219" s="630"/>
      <c r="ADV219" s="630"/>
      <c r="ADW219" s="630"/>
      <c r="ADX219" s="630"/>
      <c r="ADY219" s="630"/>
      <c r="ADZ219" s="630"/>
      <c r="AEA219" s="630"/>
      <c r="AEB219" s="630"/>
      <c r="AEC219" s="630"/>
      <c r="AED219" s="630"/>
      <c r="AEE219" s="630"/>
      <c r="AEF219" s="630"/>
      <c r="AEG219" s="630"/>
      <c r="AEH219" s="630"/>
      <c r="AEI219" s="630"/>
      <c r="AEJ219" s="630"/>
      <c r="AEK219" s="630"/>
      <c r="AEL219" s="630"/>
      <c r="AEM219" s="630"/>
      <c r="AEN219" s="630"/>
      <c r="AEO219" s="630"/>
      <c r="AEP219" s="630"/>
      <c r="AEQ219" s="630"/>
      <c r="AER219" s="630"/>
      <c r="AES219" s="630"/>
      <c r="AET219" s="630"/>
      <c r="AEU219" s="630"/>
      <c r="AEV219" s="630"/>
      <c r="AEW219" s="630"/>
      <c r="AEX219" s="630"/>
      <c r="AEY219" s="630"/>
      <c r="AEZ219" s="630"/>
      <c r="AFA219" s="630"/>
      <c r="AFB219" s="630"/>
      <c r="AFC219" s="630"/>
      <c r="AFD219" s="630"/>
      <c r="AFE219" s="630"/>
      <c r="AFF219" s="630"/>
      <c r="AFG219" s="630"/>
      <c r="AFH219" s="630"/>
      <c r="AFI219" s="630"/>
      <c r="AFJ219" s="630"/>
      <c r="AFK219" s="630"/>
      <c r="AFL219" s="630"/>
      <c r="AFM219" s="630"/>
      <c r="AFN219" s="630"/>
      <c r="AFO219" s="630"/>
      <c r="AFP219" s="630"/>
      <c r="AFQ219" s="630"/>
      <c r="AFR219" s="630"/>
      <c r="AFS219" s="630"/>
      <c r="AFT219" s="630"/>
      <c r="AFU219" s="630"/>
      <c r="AFV219" s="630"/>
      <c r="AFW219" s="630"/>
      <c r="AFX219" s="630"/>
      <c r="AFY219" s="630"/>
      <c r="AFZ219" s="630"/>
      <c r="AGA219" s="630"/>
      <c r="AGB219" s="630"/>
      <c r="AGC219" s="630"/>
      <c r="AGD219" s="630"/>
      <c r="AGE219" s="630"/>
      <c r="AGF219" s="630"/>
      <c r="AGG219" s="630"/>
      <c r="AGH219" s="630"/>
      <c r="AGI219" s="630"/>
      <c r="AGJ219" s="630"/>
      <c r="AGK219" s="630"/>
      <c r="AGL219" s="630"/>
      <c r="AGM219" s="630"/>
      <c r="AGN219" s="630"/>
      <c r="AGO219" s="630"/>
      <c r="AGP219" s="630"/>
      <c r="AGQ219" s="630"/>
      <c r="AGR219" s="630"/>
      <c r="AGS219" s="630"/>
      <c r="AGT219" s="630"/>
      <c r="AGU219" s="630"/>
      <c r="AGV219" s="630"/>
      <c r="AGW219" s="630"/>
      <c r="AGX219" s="630"/>
      <c r="AGY219" s="630"/>
      <c r="AGZ219" s="630"/>
      <c r="AHA219" s="630"/>
      <c r="AHB219" s="630"/>
      <c r="AHC219" s="630"/>
      <c r="AHD219" s="630"/>
      <c r="AHE219" s="630"/>
      <c r="AHF219" s="630"/>
      <c r="AHG219" s="630"/>
      <c r="AHH219" s="630"/>
      <c r="AHI219" s="630"/>
      <c r="AHJ219" s="630"/>
      <c r="AHK219" s="630"/>
      <c r="AHL219" s="630"/>
      <c r="AHM219" s="630"/>
      <c r="AHN219" s="630"/>
      <c r="AHO219" s="630"/>
      <c r="AHP219" s="630"/>
      <c r="AHQ219" s="630"/>
      <c r="AHR219" s="630"/>
      <c r="AHS219" s="630"/>
      <c r="AHT219" s="630"/>
      <c r="AHU219" s="630"/>
      <c r="AHV219" s="630"/>
      <c r="AHW219" s="630"/>
      <c r="AHX219" s="630"/>
      <c r="AHY219" s="630"/>
      <c r="AHZ219" s="630"/>
      <c r="AIA219" s="630"/>
      <c r="AIB219" s="630"/>
      <c r="AIC219" s="630"/>
      <c r="AID219" s="630"/>
      <c r="AIE219" s="630"/>
      <c r="AIF219" s="630"/>
      <c r="AIG219" s="630"/>
      <c r="AIH219" s="630"/>
      <c r="AII219" s="630"/>
      <c r="AIJ219" s="630"/>
      <c r="AIK219" s="630"/>
      <c r="AIL219" s="630"/>
      <c r="AIM219" s="630"/>
      <c r="AIN219" s="630"/>
      <c r="AIO219" s="630"/>
      <c r="AIP219" s="630"/>
      <c r="AIQ219" s="630"/>
      <c r="AIR219" s="630"/>
      <c r="AIS219" s="630"/>
      <c r="AIT219" s="630"/>
      <c r="AIU219" s="630"/>
      <c r="AIV219" s="630"/>
      <c r="AIW219" s="630"/>
      <c r="AIX219" s="630"/>
      <c r="AIY219" s="630"/>
      <c r="AIZ219" s="630"/>
      <c r="AJA219" s="630"/>
      <c r="AJB219" s="630"/>
      <c r="AJC219" s="630"/>
      <c r="AJD219" s="630"/>
      <c r="AJE219" s="630"/>
      <c r="AJF219" s="630"/>
      <c r="AJG219" s="630"/>
      <c r="AJH219" s="630"/>
      <c r="AJI219" s="630"/>
      <c r="AJJ219" s="630"/>
      <c r="AJK219" s="630"/>
      <c r="AJL219" s="630"/>
      <c r="AJM219" s="630"/>
      <c r="AJN219" s="630"/>
      <c r="AJO219" s="630"/>
      <c r="AJP219" s="630"/>
      <c r="AJQ219" s="630"/>
      <c r="AJR219" s="630"/>
      <c r="AJS219" s="630"/>
      <c r="AJT219" s="630"/>
      <c r="AJU219" s="630"/>
      <c r="AJV219" s="630"/>
      <c r="AJW219" s="630"/>
      <c r="AJX219" s="630"/>
      <c r="AJY219" s="630"/>
      <c r="AJZ219" s="630"/>
      <c r="AKA219" s="630"/>
      <c r="AKB219" s="630"/>
      <c r="AKC219" s="630"/>
      <c r="AKD219" s="630"/>
      <c r="AKE219" s="630"/>
      <c r="AKF219" s="630"/>
      <c r="AKG219" s="630"/>
      <c r="AKH219" s="630"/>
      <c r="AKI219" s="630"/>
      <c r="AKJ219" s="630"/>
      <c r="AKK219" s="630"/>
      <c r="AKL219" s="630"/>
      <c r="AKM219" s="630"/>
      <c r="AKN219" s="630"/>
      <c r="AKO219" s="630"/>
      <c r="AKP219" s="630"/>
      <c r="AKQ219" s="630"/>
      <c r="AKR219" s="630"/>
      <c r="AKS219" s="630"/>
      <c r="AKT219" s="630"/>
      <c r="AKU219" s="630"/>
      <c r="AKV219" s="630"/>
      <c r="AKW219" s="630"/>
      <c r="AKX219" s="630"/>
      <c r="AKY219" s="630"/>
      <c r="AKZ219" s="630"/>
      <c r="ALA219" s="630"/>
      <c r="ALB219" s="630"/>
      <c r="ALC219" s="630"/>
      <c r="ALD219" s="630"/>
      <c r="ALE219" s="630"/>
      <c r="ALF219" s="630"/>
      <c r="ALG219" s="630"/>
      <c r="ALH219" s="630"/>
      <c r="ALI219" s="630"/>
      <c r="ALJ219" s="630"/>
      <c r="ALK219" s="630"/>
      <c r="ALL219" s="630"/>
      <c r="ALM219" s="630"/>
      <c r="ALN219" s="630"/>
      <c r="ALO219" s="630"/>
      <c r="ALP219" s="630"/>
      <c r="ALQ219" s="630"/>
      <c r="ALR219" s="630"/>
      <c r="ALS219" s="630"/>
      <c r="ALT219" s="630"/>
      <c r="ALU219" s="630"/>
      <c r="ALV219" s="630"/>
      <c r="ALW219" s="630"/>
      <c r="ALX219" s="630"/>
      <c r="ALY219" s="630"/>
      <c r="ALZ219" s="630"/>
      <c r="AMA219" s="630"/>
      <c r="AMB219" s="630"/>
      <c r="AMC219" s="630"/>
      <c r="AMD219" s="630"/>
      <c r="AME219" s="630"/>
      <c r="AMF219" s="630"/>
      <c r="AMG219" s="630"/>
      <c r="AMH219" s="630"/>
      <c r="AMI219" s="630"/>
      <c r="AMJ219" s="630"/>
      <c r="AMK219" s="630"/>
      <c r="AML219" s="630"/>
      <c r="AMM219" s="630"/>
      <c r="AMN219" s="630"/>
      <c r="AMO219" s="630"/>
      <c r="AMP219" s="630"/>
      <c r="AMQ219" s="630"/>
      <c r="AMR219" s="630"/>
      <c r="AMS219" s="630"/>
      <c r="AMT219" s="630"/>
      <c r="AMU219" s="630"/>
      <c r="AMV219" s="630"/>
      <c r="AMW219" s="630"/>
      <c r="AMX219" s="630"/>
      <c r="AMY219" s="630"/>
      <c r="AMZ219" s="630"/>
      <c r="ANA219" s="630"/>
      <c r="ANB219" s="630"/>
      <c r="ANC219" s="630"/>
      <c r="AND219" s="630"/>
      <c r="ANE219" s="630"/>
      <c r="ANF219" s="630"/>
      <c r="ANG219" s="630"/>
      <c r="ANH219" s="630"/>
      <c r="ANI219" s="630"/>
      <c r="ANJ219" s="630"/>
      <c r="ANK219" s="630"/>
      <c r="ANL219" s="630"/>
      <c r="ANM219" s="630"/>
      <c r="ANN219" s="630"/>
      <c r="ANO219" s="630"/>
      <c r="ANP219" s="630"/>
      <c r="ANQ219" s="630"/>
      <c r="ANR219" s="630"/>
      <c r="ANS219" s="630"/>
      <c r="ANT219" s="630"/>
      <c r="ANU219" s="630"/>
      <c r="ANV219" s="630"/>
      <c r="ANW219" s="630"/>
      <c r="ANX219" s="630"/>
      <c r="ANY219" s="630"/>
      <c r="ANZ219" s="630"/>
      <c r="AOA219" s="630"/>
      <c r="AOB219" s="630"/>
      <c r="AOC219" s="630"/>
      <c r="AOD219" s="630"/>
      <c r="AOE219" s="630"/>
      <c r="AOF219" s="630"/>
      <c r="AOG219" s="630"/>
      <c r="AOH219" s="630"/>
      <c r="AOI219" s="630"/>
      <c r="AOJ219" s="630"/>
      <c r="AOK219" s="630"/>
      <c r="AOL219" s="630"/>
      <c r="AOM219" s="630"/>
      <c r="AON219" s="630"/>
      <c r="AOO219" s="630"/>
      <c r="AOP219" s="630"/>
      <c r="AOQ219" s="630"/>
      <c r="AOR219" s="630"/>
      <c r="AOS219" s="630"/>
      <c r="AOT219" s="630"/>
      <c r="AOU219" s="630"/>
      <c r="AOV219" s="630"/>
      <c r="AOW219" s="630"/>
      <c r="AOX219" s="630"/>
      <c r="AOY219" s="630"/>
      <c r="AOZ219" s="630"/>
      <c r="APA219" s="630"/>
      <c r="APB219" s="630"/>
      <c r="APC219" s="630"/>
      <c r="APD219" s="630"/>
      <c r="APE219" s="630"/>
      <c r="APF219" s="630"/>
      <c r="APG219" s="630"/>
      <c r="APH219" s="630"/>
      <c r="API219" s="630"/>
      <c r="APJ219" s="630"/>
      <c r="APK219" s="630"/>
      <c r="APL219" s="630"/>
      <c r="APM219" s="630"/>
      <c r="APN219" s="630"/>
      <c r="APO219" s="630"/>
      <c r="APP219" s="630"/>
      <c r="APQ219" s="630"/>
      <c r="APR219" s="630"/>
      <c r="APS219" s="630"/>
      <c r="APT219" s="630"/>
      <c r="APU219" s="630"/>
      <c r="APV219" s="630"/>
      <c r="APW219" s="630"/>
      <c r="APX219" s="630"/>
      <c r="APY219" s="630"/>
      <c r="APZ219" s="630"/>
      <c r="AQA219" s="630"/>
      <c r="AQB219" s="630"/>
      <c r="AQC219" s="630"/>
      <c r="AQD219" s="630"/>
      <c r="AQE219" s="630"/>
      <c r="AQF219" s="630"/>
      <c r="AQG219" s="630"/>
      <c r="AQH219" s="630"/>
      <c r="AQI219" s="630"/>
      <c r="AQJ219" s="630"/>
      <c r="AQK219" s="630"/>
      <c r="AQL219" s="630"/>
      <c r="AQM219" s="630"/>
      <c r="AQN219" s="630"/>
      <c r="AQO219" s="630"/>
      <c r="AQP219" s="630"/>
      <c r="AQQ219" s="630"/>
      <c r="AQR219" s="630"/>
      <c r="AQS219" s="630"/>
      <c r="AQT219" s="630"/>
      <c r="AQU219" s="630"/>
      <c r="AQV219" s="630"/>
      <c r="AQW219" s="630"/>
      <c r="AQX219" s="630"/>
      <c r="AQY219" s="630"/>
      <c r="AQZ219" s="630"/>
      <c r="ARA219" s="630"/>
      <c r="ARB219" s="630"/>
      <c r="ARC219" s="630"/>
      <c r="ARD219" s="630"/>
      <c r="ARE219" s="630"/>
      <c r="ARF219" s="630"/>
      <c r="ARG219" s="630"/>
      <c r="ARH219" s="630"/>
      <c r="ARI219" s="630"/>
      <c r="ARJ219" s="630"/>
      <c r="ARK219" s="630"/>
      <c r="ARL219" s="630"/>
      <c r="ARM219" s="630"/>
      <c r="ARN219" s="630"/>
      <c r="ARO219" s="630"/>
      <c r="ARP219" s="630"/>
      <c r="ARQ219" s="630"/>
      <c r="ARR219" s="630"/>
      <c r="ARS219" s="630"/>
      <c r="ART219" s="630"/>
      <c r="ARU219" s="630"/>
      <c r="ARV219" s="630"/>
      <c r="ARW219" s="630"/>
      <c r="ARX219" s="630"/>
      <c r="ARY219" s="630"/>
      <c r="ARZ219" s="630"/>
      <c r="ASA219" s="630"/>
      <c r="ASB219" s="630"/>
      <c r="ASC219" s="630"/>
      <c r="ASD219" s="630"/>
      <c r="ASE219" s="630"/>
      <c r="ASF219" s="630"/>
      <c r="ASG219" s="630"/>
      <c r="ASH219" s="630"/>
      <c r="ASI219" s="630"/>
      <c r="ASJ219" s="630"/>
      <c r="ASK219" s="630"/>
      <c r="ASL219" s="630"/>
      <c r="ASM219" s="630"/>
      <c r="ASN219" s="630"/>
      <c r="ASO219" s="630"/>
      <c r="ASP219" s="630"/>
      <c r="ASQ219" s="630"/>
      <c r="ASR219" s="630"/>
      <c r="ASS219" s="630"/>
      <c r="AST219" s="630"/>
      <c r="ASU219" s="630"/>
      <c r="ASV219" s="630"/>
      <c r="ASW219" s="630"/>
      <c r="ASX219" s="630"/>
      <c r="ASY219" s="630"/>
      <c r="ASZ219" s="630"/>
      <c r="ATA219" s="630"/>
      <c r="ATB219" s="630"/>
      <c r="ATC219" s="630"/>
      <c r="ATD219" s="630"/>
      <c r="ATE219" s="630"/>
      <c r="ATF219" s="630"/>
      <c r="ATG219" s="630"/>
      <c r="ATH219" s="630"/>
      <c r="ATI219" s="630"/>
      <c r="ATJ219" s="630"/>
      <c r="ATK219" s="630"/>
      <c r="ATL219" s="630"/>
      <c r="ATM219" s="630"/>
      <c r="ATN219" s="630"/>
      <c r="ATO219" s="630"/>
      <c r="ATP219" s="630"/>
      <c r="ATQ219" s="630"/>
      <c r="ATR219" s="630"/>
      <c r="ATS219" s="630"/>
      <c r="ATT219" s="630"/>
      <c r="ATU219" s="630"/>
      <c r="ATV219" s="630"/>
      <c r="ATW219" s="630"/>
      <c r="ATX219" s="630"/>
      <c r="ATY219" s="630"/>
      <c r="ATZ219" s="630"/>
      <c r="AUA219" s="630"/>
      <c r="AUB219" s="630"/>
      <c r="AUC219" s="630"/>
      <c r="AUD219" s="630"/>
      <c r="AUE219" s="630"/>
      <c r="AUF219" s="630"/>
      <c r="AUG219" s="630"/>
      <c r="AUH219" s="630"/>
      <c r="AUI219" s="630"/>
      <c r="AUJ219" s="630"/>
      <c r="AUK219" s="630"/>
      <c r="AUL219" s="630"/>
      <c r="AUM219" s="630"/>
      <c r="AUN219" s="630"/>
      <c r="AUO219" s="630"/>
      <c r="AUP219" s="630"/>
      <c r="AUQ219" s="630"/>
      <c r="AUR219" s="630"/>
      <c r="AUS219" s="630"/>
      <c r="AUT219" s="630"/>
      <c r="AUU219" s="630"/>
      <c r="AUV219" s="630"/>
      <c r="AUW219" s="630"/>
      <c r="AUX219" s="630"/>
      <c r="AUY219" s="630"/>
      <c r="AUZ219" s="630"/>
      <c r="AVA219" s="630"/>
      <c r="AVB219" s="630"/>
      <c r="AVC219" s="630"/>
      <c r="AVD219" s="630"/>
      <c r="AVE219" s="630"/>
      <c r="AVF219" s="630"/>
      <c r="AVG219" s="630"/>
      <c r="AVH219" s="630"/>
      <c r="AVI219" s="630"/>
      <c r="AVJ219" s="630"/>
      <c r="AVK219" s="630"/>
      <c r="AVL219" s="630"/>
      <c r="AVM219" s="630"/>
      <c r="AVN219" s="630"/>
      <c r="AVO219" s="630"/>
      <c r="AVP219" s="630"/>
      <c r="AVQ219" s="630"/>
      <c r="AVR219" s="630"/>
      <c r="AVS219" s="630"/>
      <c r="AVT219" s="630"/>
      <c r="AVU219" s="630"/>
      <c r="AVV219" s="630"/>
      <c r="AVW219" s="630"/>
      <c r="AVX219" s="630"/>
      <c r="AVY219" s="630"/>
      <c r="AVZ219" s="630"/>
      <c r="AWA219" s="630"/>
      <c r="AWB219" s="630"/>
      <c r="AWC219" s="630"/>
      <c r="AWD219" s="630"/>
      <c r="AWE219" s="630"/>
      <c r="AWF219" s="630"/>
      <c r="AWG219" s="630"/>
      <c r="AWH219" s="630"/>
      <c r="AWI219" s="630"/>
      <c r="AWJ219" s="630"/>
      <c r="AWK219" s="630"/>
      <c r="AWL219" s="630"/>
      <c r="AWM219" s="630"/>
      <c r="AWN219" s="630"/>
      <c r="AWO219" s="630"/>
      <c r="AWP219" s="630"/>
      <c r="AWQ219" s="630"/>
      <c r="AWR219" s="630"/>
      <c r="AWS219" s="630"/>
      <c r="AWT219" s="630"/>
      <c r="AWU219" s="630"/>
      <c r="AWV219" s="630"/>
      <c r="AWW219" s="630"/>
      <c r="AWX219" s="630"/>
      <c r="AWY219" s="630"/>
      <c r="AWZ219" s="630"/>
      <c r="AXA219" s="630"/>
      <c r="AXB219" s="630"/>
      <c r="AXC219" s="630"/>
      <c r="AXD219" s="630"/>
      <c r="AXE219" s="630"/>
      <c r="AXF219" s="630"/>
      <c r="AXG219" s="630"/>
      <c r="AXH219" s="630"/>
      <c r="AXI219" s="630"/>
      <c r="AXJ219" s="630"/>
      <c r="AXK219" s="630"/>
      <c r="AXL219" s="630"/>
      <c r="AXM219" s="630"/>
      <c r="AXN219" s="630"/>
      <c r="AXO219" s="630"/>
      <c r="AXP219" s="630"/>
      <c r="AXQ219" s="630"/>
      <c r="AXR219" s="630"/>
      <c r="AXS219" s="630"/>
      <c r="AXT219" s="630"/>
      <c r="AXU219" s="630"/>
      <c r="AXV219" s="630"/>
      <c r="AXW219" s="630"/>
      <c r="AXX219" s="630"/>
      <c r="AXY219" s="630"/>
      <c r="AXZ219" s="630"/>
      <c r="AYA219" s="630"/>
      <c r="AYB219" s="630"/>
      <c r="AYC219" s="630"/>
      <c r="AYD219" s="630"/>
      <c r="AYE219" s="630"/>
      <c r="AYF219" s="630"/>
      <c r="AYG219" s="630"/>
      <c r="AYH219" s="630"/>
      <c r="AYI219" s="630"/>
      <c r="AYJ219" s="630"/>
      <c r="AYK219" s="630"/>
      <c r="AYL219" s="630"/>
      <c r="AYM219" s="630"/>
      <c r="AYN219" s="630"/>
      <c r="AYO219" s="630"/>
      <c r="AYP219" s="630"/>
      <c r="AYQ219" s="630"/>
      <c r="AYR219" s="630"/>
      <c r="AYS219" s="630"/>
      <c r="AYT219" s="630"/>
      <c r="AYU219" s="630"/>
      <c r="AYV219" s="630"/>
      <c r="AYW219" s="630"/>
      <c r="AYX219" s="630"/>
      <c r="AYY219" s="630"/>
      <c r="AYZ219" s="630"/>
      <c r="AZA219" s="630"/>
      <c r="AZB219" s="630"/>
      <c r="AZC219" s="630"/>
      <c r="AZD219" s="630"/>
      <c r="AZE219" s="630"/>
      <c r="AZF219" s="630"/>
      <c r="AZG219" s="630"/>
      <c r="AZH219" s="630"/>
      <c r="AZI219" s="630"/>
      <c r="AZJ219" s="630"/>
      <c r="AZK219" s="630"/>
      <c r="AZL219" s="630"/>
      <c r="AZM219" s="630"/>
      <c r="AZN219" s="630"/>
      <c r="AZO219" s="630"/>
      <c r="AZP219" s="630"/>
      <c r="AZQ219" s="630"/>
      <c r="AZR219" s="630"/>
      <c r="AZS219" s="630"/>
      <c r="AZT219" s="630"/>
      <c r="AZU219" s="630"/>
      <c r="AZV219" s="630"/>
      <c r="AZW219" s="630"/>
      <c r="AZX219" s="630"/>
      <c r="AZY219" s="630"/>
      <c r="AZZ219" s="630"/>
      <c r="BAA219" s="630"/>
      <c r="BAB219" s="630"/>
      <c r="BAC219" s="630"/>
      <c r="BAD219" s="630"/>
      <c r="BAE219" s="630"/>
      <c r="BAF219" s="630"/>
      <c r="BAG219" s="630"/>
      <c r="BAH219" s="630"/>
      <c r="BAI219" s="630"/>
      <c r="BAJ219" s="630"/>
      <c r="BAK219" s="630"/>
      <c r="BAL219" s="630"/>
      <c r="BAM219" s="630"/>
      <c r="BAN219" s="630"/>
      <c r="BAO219" s="630"/>
      <c r="BAP219" s="630"/>
      <c r="BAQ219" s="630"/>
      <c r="BAR219" s="630"/>
      <c r="BAS219" s="630"/>
      <c r="BAT219" s="630"/>
      <c r="BAU219" s="630"/>
      <c r="BAV219" s="630"/>
      <c r="BAW219" s="630"/>
      <c r="BAX219" s="630"/>
      <c r="BAY219" s="630"/>
      <c r="BAZ219" s="630"/>
      <c r="BBA219" s="630"/>
      <c r="BBB219" s="630"/>
      <c r="BBC219" s="630"/>
      <c r="BBD219" s="630"/>
      <c r="BBE219" s="630"/>
      <c r="BBF219" s="630"/>
      <c r="BBG219" s="630"/>
      <c r="BBH219" s="630"/>
      <c r="BBI219" s="630"/>
      <c r="BBJ219" s="630"/>
      <c r="BBK219" s="630"/>
      <c r="BBL219" s="630"/>
      <c r="BBM219" s="630"/>
      <c r="BBN219" s="630"/>
      <c r="BBO219" s="630"/>
      <c r="BBP219" s="630"/>
      <c r="BBQ219" s="630"/>
      <c r="BBR219" s="630"/>
      <c r="BBS219" s="630"/>
      <c r="BBT219" s="630"/>
      <c r="BBU219" s="630"/>
      <c r="BBV219" s="630"/>
      <c r="BBW219" s="630"/>
      <c r="BBX219" s="630"/>
      <c r="BBY219" s="630"/>
      <c r="BBZ219" s="630"/>
      <c r="BCA219" s="630"/>
      <c r="BCB219" s="630"/>
      <c r="BCC219" s="630"/>
      <c r="BCD219" s="630"/>
      <c r="BCE219" s="630"/>
      <c r="BCF219" s="630"/>
      <c r="BCG219" s="630"/>
      <c r="BCH219" s="630"/>
      <c r="BCI219" s="630"/>
      <c r="BCJ219" s="630"/>
      <c r="BCK219" s="630"/>
      <c r="BCL219" s="630"/>
      <c r="BCM219" s="630"/>
      <c r="BCN219" s="630"/>
      <c r="BCO219" s="630"/>
      <c r="BCP219" s="630"/>
      <c r="BCQ219" s="630"/>
      <c r="BCR219" s="630"/>
      <c r="BCS219" s="630"/>
      <c r="BCT219" s="630"/>
      <c r="BCU219" s="630"/>
      <c r="BCV219" s="630"/>
      <c r="BCW219" s="630"/>
      <c r="BCX219" s="630"/>
      <c r="BCY219" s="630"/>
      <c r="BCZ219" s="630"/>
      <c r="BDA219" s="630"/>
      <c r="BDB219" s="630"/>
      <c r="BDC219" s="630"/>
      <c r="BDD219" s="630"/>
      <c r="BDE219" s="630"/>
      <c r="BDF219" s="630"/>
      <c r="BDG219" s="630"/>
      <c r="BDH219" s="630"/>
      <c r="BDI219" s="630"/>
      <c r="BDJ219" s="630"/>
      <c r="BDK219" s="630"/>
      <c r="BDL219" s="630"/>
      <c r="BDM219" s="630"/>
      <c r="BDN219" s="630"/>
      <c r="BDO219" s="630"/>
      <c r="BDP219" s="630"/>
      <c r="BDQ219" s="630"/>
      <c r="BDR219" s="630"/>
      <c r="BDS219" s="630"/>
      <c r="BDT219" s="630"/>
      <c r="BDU219" s="630"/>
      <c r="BDV219" s="630"/>
      <c r="BDW219" s="630"/>
      <c r="BDX219" s="630"/>
      <c r="BDY219" s="630"/>
      <c r="BDZ219" s="630"/>
      <c r="BEA219" s="630"/>
      <c r="BEB219" s="630"/>
      <c r="BEC219" s="630"/>
      <c r="BED219" s="630"/>
      <c r="BEE219" s="630"/>
      <c r="BEF219" s="630"/>
      <c r="BEG219" s="630"/>
      <c r="BEH219" s="630"/>
      <c r="BEI219" s="630"/>
      <c r="BEJ219" s="630"/>
      <c r="BEK219" s="630"/>
      <c r="BEL219" s="630"/>
      <c r="BEM219" s="630"/>
      <c r="BEN219" s="630"/>
      <c r="BEO219" s="630"/>
      <c r="BEP219" s="630"/>
      <c r="BEQ219" s="630"/>
      <c r="BER219" s="630"/>
      <c r="BES219" s="630"/>
      <c r="BET219" s="630"/>
      <c r="BEU219" s="630"/>
      <c r="BEV219" s="630"/>
      <c r="BEW219" s="630"/>
      <c r="BEX219" s="630"/>
      <c r="BEY219" s="630"/>
      <c r="BEZ219" s="630"/>
      <c r="BFA219" s="630"/>
      <c r="BFB219" s="630"/>
      <c r="BFC219" s="630"/>
      <c r="BFD219" s="630"/>
      <c r="BFE219" s="630"/>
      <c r="BFF219" s="630"/>
      <c r="BFG219" s="630"/>
      <c r="BFH219" s="630"/>
      <c r="BFI219" s="630"/>
      <c r="BFJ219" s="630"/>
      <c r="BFK219" s="630"/>
      <c r="BFL219" s="630"/>
      <c r="BFM219" s="630"/>
      <c r="BFN219" s="630"/>
      <c r="BFO219" s="630"/>
      <c r="BFP219" s="630"/>
      <c r="BFQ219" s="630"/>
      <c r="BFR219" s="630"/>
      <c r="BFS219" s="630"/>
      <c r="BFT219" s="630"/>
      <c r="BFU219" s="630"/>
      <c r="BFV219" s="630"/>
      <c r="BFW219" s="630"/>
      <c r="BFX219" s="630"/>
      <c r="BFY219" s="630"/>
      <c r="BFZ219" s="630"/>
      <c r="BGA219" s="630"/>
      <c r="BGB219" s="630"/>
      <c r="BGC219" s="630"/>
      <c r="BGD219" s="630"/>
      <c r="BGE219" s="630"/>
      <c r="BGF219" s="630"/>
      <c r="BGG219" s="630"/>
      <c r="BGH219" s="630"/>
      <c r="BGI219" s="630"/>
      <c r="BGJ219" s="630"/>
      <c r="BGK219" s="630"/>
      <c r="BGL219" s="630"/>
      <c r="BGM219" s="630"/>
      <c r="BGN219" s="630"/>
      <c r="BGO219" s="630"/>
      <c r="BGP219" s="630"/>
      <c r="BGQ219" s="630"/>
      <c r="BGR219" s="630"/>
      <c r="BGS219" s="630"/>
      <c r="BGT219" s="630"/>
      <c r="BGU219" s="630"/>
      <c r="BGV219" s="630"/>
      <c r="BGW219" s="630"/>
      <c r="BGX219" s="630"/>
      <c r="BGY219" s="630"/>
      <c r="BGZ219" s="630"/>
      <c r="BHA219" s="630"/>
      <c r="BHB219" s="630"/>
      <c r="BHC219" s="630"/>
      <c r="BHD219" s="630"/>
      <c r="BHE219" s="630"/>
      <c r="BHF219" s="630"/>
      <c r="BHG219" s="630"/>
      <c r="BHH219" s="630"/>
      <c r="BHI219" s="630"/>
      <c r="BHJ219" s="630"/>
      <c r="BHK219" s="630"/>
      <c r="BHL219" s="630"/>
      <c r="BHM219" s="630"/>
      <c r="BHN219" s="630"/>
      <c r="BHO219" s="630"/>
      <c r="BHP219" s="630"/>
      <c r="BHQ219" s="630"/>
      <c r="BHR219" s="630"/>
      <c r="BHS219" s="630"/>
      <c r="BHT219" s="630"/>
      <c r="BHU219" s="630"/>
      <c r="BHV219" s="630"/>
      <c r="BHW219" s="630"/>
      <c r="BHX219" s="630"/>
      <c r="BHY219" s="630"/>
      <c r="BHZ219" s="630"/>
      <c r="BIA219" s="630"/>
      <c r="BIB219" s="630"/>
      <c r="BIC219" s="630"/>
      <c r="BID219" s="630"/>
      <c r="BIE219" s="630"/>
      <c r="BIF219" s="630"/>
      <c r="BIG219" s="630"/>
      <c r="BIH219" s="630"/>
      <c r="BII219" s="630"/>
      <c r="BIJ219" s="630"/>
      <c r="BIK219" s="630"/>
      <c r="BIL219" s="630"/>
      <c r="BIM219" s="630"/>
      <c r="BIN219" s="630"/>
      <c r="BIO219" s="630"/>
      <c r="BIP219" s="630"/>
      <c r="BIQ219" s="630"/>
      <c r="BIR219" s="630"/>
      <c r="BIS219" s="630"/>
      <c r="BIT219" s="630"/>
      <c r="BIU219" s="630"/>
      <c r="BIV219" s="630"/>
      <c r="BIW219" s="630"/>
      <c r="BIX219" s="630"/>
      <c r="BIY219" s="630"/>
      <c r="BIZ219" s="630"/>
      <c r="BJA219" s="630"/>
      <c r="BJB219" s="630"/>
      <c r="BJC219" s="630"/>
      <c r="BJD219" s="630"/>
      <c r="BJE219" s="630"/>
      <c r="BJF219" s="630"/>
      <c r="BJG219" s="630"/>
      <c r="BJH219" s="630"/>
      <c r="BJI219" s="630"/>
      <c r="BJJ219" s="630"/>
      <c r="BJK219" s="630"/>
      <c r="BJL219" s="630"/>
      <c r="BJM219" s="630"/>
      <c r="BJN219" s="630"/>
      <c r="BJO219" s="630"/>
      <c r="BJP219" s="630"/>
      <c r="BJQ219" s="630"/>
      <c r="BJR219" s="630"/>
      <c r="BJS219" s="630"/>
      <c r="BJT219" s="630"/>
      <c r="BJU219" s="630"/>
      <c r="BJV219" s="630"/>
      <c r="BJW219" s="630"/>
      <c r="BJX219" s="630"/>
      <c r="BJY219" s="630"/>
      <c r="BJZ219" s="630"/>
      <c r="BKA219" s="630"/>
      <c r="BKB219" s="630"/>
      <c r="BKC219" s="630"/>
      <c r="BKD219" s="630"/>
      <c r="BKE219" s="630"/>
      <c r="BKF219" s="630"/>
      <c r="BKG219" s="630"/>
      <c r="BKH219" s="630"/>
      <c r="BKI219" s="630"/>
      <c r="BKJ219" s="630"/>
      <c r="BKK219" s="630"/>
      <c r="BKL219" s="630"/>
      <c r="BKM219" s="630"/>
      <c r="BKN219" s="630"/>
      <c r="BKO219" s="630"/>
      <c r="BKP219" s="630"/>
      <c r="BKQ219" s="630"/>
      <c r="BKR219" s="630"/>
      <c r="BKS219" s="630"/>
      <c r="BKT219" s="630"/>
      <c r="BKU219" s="630"/>
      <c r="BKV219" s="630"/>
      <c r="BKW219" s="630"/>
      <c r="BKX219" s="630"/>
      <c r="BKY219" s="630"/>
      <c r="BKZ219" s="630"/>
      <c r="BLA219" s="630"/>
      <c r="BLB219" s="630"/>
      <c r="BLC219" s="630"/>
      <c r="BLD219" s="630"/>
      <c r="BLE219" s="630"/>
      <c r="BLF219" s="630"/>
      <c r="BLG219" s="630"/>
      <c r="BLH219" s="630"/>
      <c r="BLI219" s="630"/>
      <c r="BLJ219" s="630"/>
      <c r="BLK219" s="630"/>
      <c r="BLL219" s="630"/>
      <c r="BLM219" s="630"/>
      <c r="BLN219" s="630"/>
      <c r="BLO219" s="630"/>
      <c r="BLP219" s="630"/>
      <c r="BLQ219" s="630"/>
      <c r="BLR219" s="630"/>
      <c r="BLS219" s="630"/>
      <c r="BLT219" s="630"/>
      <c r="BLU219" s="630"/>
      <c r="BLV219" s="630"/>
      <c r="BLW219" s="630"/>
      <c r="BLX219" s="630"/>
      <c r="BLY219" s="630"/>
      <c r="BLZ219" s="630"/>
      <c r="BMA219" s="630"/>
      <c r="BMB219" s="630"/>
      <c r="BMC219" s="630"/>
      <c r="BMD219" s="630"/>
      <c r="BME219" s="630"/>
      <c r="BMF219" s="630"/>
      <c r="BMG219" s="630"/>
      <c r="BMH219" s="630"/>
      <c r="BMI219" s="630"/>
      <c r="BMJ219" s="630"/>
      <c r="BMK219" s="630"/>
      <c r="BML219" s="630"/>
      <c r="BMM219" s="630"/>
      <c r="BMN219" s="630"/>
      <c r="BMO219" s="630"/>
      <c r="BMP219" s="630"/>
      <c r="BMQ219" s="630"/>
      <c r="BMR219" s="630"/>
      <c r="BMS219" s="630"/>
      <c r="BMT219" s="630"/>
      <c r="BMU219" s="630"/>
      <c r="BMV219" s="630"/>
      <c r="BMW219" s="630"/>
      <c r="BMX219" s="630"/>
      <c r="BMY219" s="630"/>
      <c r="BMZ219" s="630"/>
      <c r="BNA219" s="630"/>
      <c r="BNB219" s="630"/>
      <c r="BNC219" s="630"/>
      <c r="BND219" s="630"/>
      <c r="BNE219" s="630"/>
      <c r="BNF219" s="630"/>
      <c r="BNG219" s="630"/>
      <c r="BNH219" s="630"/>
      <c r="BNI219" s="630"/>
      <c r="BNJ219" s="630"/>
      <c r="BNK219" s="630"/>
      <c r="BNL219" s="630"/>
      <c r="BNM219" s="630"/>
      <c r="BNN219" s="630"/>
      <c r="BNO219" s="630"/>
      <c r="BNP219" s="630"/>
      <c r="BNQ219" s="630"/>
      <c r="BNR219" s="630"/>
      <c r="BNS219" s="630"/>
      <c r="BNT219" s="630"/>
      <c r="BNU219" s="630"/>
      <c r="BNV219" s="630"/>
      <c r="BNW219" s="630"/>
      <c r="BNX219" s="630"/>
      <c r="BNY219" s="630"/>
      <c r="BNZ219" s="630"/>
      <c r="BOA219" s="630"/>
      <c r="BOB219" s="630"/>
      <c r="BOC219" s="630"/>
      <c r="BOD219" s="630"/>
      <c r="BOE219" s="630"/>
      <c r="BOF219" s="630"/>
      <c r="BOG219" s="630"/>
      <c r="BOH219" s="630"/>
      <c r="BOI219" s="630"/>
      <c r="BOJ219" s="630"/>
      <c r="BOK219" s="630"/>
      <c r="BOL219" s="630"/>
      <c r="BOM219" s="630"/>
      <c r="BON219" s="630"/>
      <c r="BOO219" s="630"/>
      <c r="BOP219" s="630"/>
      <c r="BOQ219" s="630"/>
      <c r="BOR219" s="630"/>
      <c r="BOS219" s="630"/>
      <c r="BOT219" s="630"/>
      <c r="BOU219" s="630"/>
      <c r="BOV219" s="630"/>
      <c r="BOW219" s="630"/>
      <c r="BOX219" s="630"/>
      <c r="BOY219" s="630"/>
      <c r="BOZ219" s="630"/>
      <c r="BPA219" s="630"/>
      <c r="BPB219" s="630"/>
      <c r="BPC219" s="630"/>
      <c r="BPD219" s="630"/>
      <c r="BPE219" s="630"/>
      <c r="BPF219" s="630"/>
      <c r="BPG219" s="630"/>
      <c r="BPH219" s="630"/>
      <c r="BPI219" s="630"/>
      <c r="BPJ219" s="630"/>
      <c r="BPK219" s="630"/>
      <c r="BPL219" s="630"/>
      <c r="BPM219" s="630"/>
      <c r="BPN219" s="630"/>
      <c r="BPO219" s="630"/>
      <c r="BPP219" s="630"/>
      <c r="BPQ219" s="630"/>
      <c r="BPR219" s="630"/>
      <c r="BPS219" s="630"/>
      <c r="BPT219" s="630"/>
      <c r="BPU219" s="630"/>
      <c r="BPV219" s="630"/>
      <c r="BPW219" s="630"/>
      <c r="BPX219" s="630"/>
      <c r="BPY219" s="630"/>
      <c r="BPZ219" s="630"/>
      <c r="BQA219" s="630"/>
      <c r="BQB219" s="630"/>
      <c r="BQC219" s="630"/>
      <c r="BQD219" s="630"/>
      <c r="BQE219" s="630"/>
      <c r="BQF219" s="630"/>
      <c r="BQG219" s="630"/>
      <c r="BQH219" s="630"/>
      <c r="BQI219" s="630"/>
      <c r="BQJ219" s="630"/>
      <c r="BQK219" s="630"/>
      <c r="BQL219" s="630"/>
      <c r="BQM219" s="630"/>
      <c r="BQN219" s="630"/>
      <c r="BQO219" s="630"/>
      <c r="BQP219" s="630"/>
      <c r="BQQ219" s="630"/>
      <c r="BQR219" s="630"/>
      <c r="BQS219" s="630"/>
      <c r="BQT219" s="630"/>
      <c r="BQU219" s="630"/>
      <c r="BQV219" s="630"/>
      <c r="BQW219" s="630"/>
      <c r="BQX219" s="630"/>
      <c r="BQY219" s="630"/>
      <c r="BQZ219" s="630"/>
      <c r="BRA219" s="630"/>
      <c r="BRB219" s="630"/>
      <c r="BRC219" s="630"/>
      <c r="BRD219" s="630"/>
      <c r="BRE219" s="630"/>
      <c r="BRF219" s="630"/>
      <c r="BRG219" s="630"/>
      <c r="BRH219" s="630"/>
      <c r="BRI219" s="630"/>
      <c r="BRJ219" s="630"/>
      <c r="BRK219" s="630"/>
      <c r="BRL219" s="630"/>
      <c r="BRM219" s="630"/>
      <c r="BRN219" s="630"/>
      <c r="BRO219" s="630"/>
      <c r="BRP219" s="630"/>
      <c r="BRQ219" s="630"/>
      <c r="BRR219" s="630"/>
      <c r="BRS219" s="630"/>
      <c r="BRT219" s="630"/>
      <c r="BRU219" s="630"/>
      <c r="BRV219" s="630"/>
      <c r="BRW219" s="630"/>
      <c r="BRX219" s="630"/>
      <c r="BRY219" s="630"/>
      <c r="BRZ219" s="630"/>
      <c r="BSA219" s="630"/>
      <c r="BSB219" s="630"/>
      <c r="BSC219" s="630"/>
      <c r="BSD219" s="630"/>
      <c r="BSE219" s="630"/>
      <c r="BSF219" s="630"/>
      <c r="BSG219" s="630"/>
      <c r="BSH219" s="630"/>
      <c r="BSI219" s="630"/>
      <c r="BSJ219" s="630"/>
      <c r="BSK219" s="630"/>
      <c r="BSL219" s="630"/>
      <c r="BSM219" s="630"/>
      <c r="BSN219" s="630"/>
      <c r="BSO219" s="630"/>
      <c r="BSP219" s="630"/>
      <c r="BSQ219" s="630"/>
      <c r="BSR219" s="630"/>
      <c r="BSS219" s="630"/>
      <c r="BST219" s="630"/>
      <c r="BSU219" s="630"/>
      <c r="BSV219" s="630"/>
      <c r="BSW219" s="630"/>
      <c r="BSX219" s="630"/>
      <c r="BSY219" s="630"/>
      <c r="BSZ219" s="630"/>
      <c r="BTA219" s="630"/>
      <c r="BTB219" s="630"/>
      <c r="BTC219" s="630"/>
      <c r="BTD219" s="630"/>
      <c r="BTE219" s="630"/>
      <c r="BTF219" s="630"/>
      <c r="BTG219" s="630"/>
      <c r="BTH219" s="630"/>
      <c r="BTI219" s="630"/>
      <c r="BTJ219" s="630"/>
      <c r="BTK219" s="630"/>
      <c r="BTL219" s="630"/>
      <c r="BTM219" s="630"/>
      <c r="BTN219" s="630"/>
      <c r="BTO219" s="630"/>
      <c r="BTP219" s="630"/>
      <c r="BTQ219" s="630"/>
      <c r="BTR219" s="630"/>
      <c r="BTS219" s="630"/>
      <c r="BTT219" s="630"/>
      <c r="BTU219" s="630"/>
      <c r="BTV219" s="630"/>
      <c r="BTW219" s="630"/>
      <c r="BTX219" s="630"/>
      <c r="BTY219" s="630"/>
      <c r="BTZ219" s="630"/>
      <c r="BUA219" s="630"/>
      <c r="BUB219" s="630"/>
      <c r="BUC219" s="630"/>
      <c r="BUD219" s="630"/>
      <c r="BUE219" s="630"/>
      <c r="BUF219" s="630"/>
      <c r="BUG219" s="630"/>
      <c r="BUH219" s="630"/>
      <c r="BUI219" s="630"/>
      <c r="BUJ219" s="630"/>
      <c r="BUK219" s="630"/>
      <c r="BUL219" s="630"/>
      <c r="BUM219" s="630"/>
      <c r="BUN219" s="630"/>
      <c r="BUO219" s="630"/>
      <c r="BUP219" s="630"/>
      <c r="BUQ219" s="630"/>
      <c r="BUR219" s="630"/>
      <c r="BUS219" s="630"/>
      <c r="BUT219" s="630"/>
      <c r="BUU219" s="630"/>
      <c r="BUV219" s="630"/>
      <c r="BUW219" s="630"/>
      <c r="BUX219" s="630"/>
      <c r="BUY219" s="630"/>
      <c r="BUZ219" s="630"/>
      <c r="BVA219" s="630"/>
      <c r="BVB219" s="630"/>
      <c r="BVC219" s="630"/>
      <c r="BVD219" s="630"/>
      <c r="BVE219" s="630"/>
      <c r="BVF219" s="630"/>
      <c r="BVG219" s="630"/>
      <c r="BVH219" s="630"/>
      <c r="BVI219" s="630"/>
      <c r="BVJ219" s="630"/>
      <c r="BVK219" s="630"/>
      <c r="BVL219" s="630"/>
      <c r="BVM219" s="630"/>
      <c r="BVN219" s="630"/>
      <c r="BVO219" s="630"/>
      <c r="BVP219" s="630"/>
      <c r="BVQ219" s="630"/>
      <c r="BVR219" s="630"/>
      <c r="BVS219" s="630"/>
      <c r="BVT219" s="630"/>
      <c r="BVU219" s="630"/>
      <c r="BVV219" s="630"/>
      <c r="BVW219" s="630"/>
      <c r="BVX219" s="630"/>
      <c r="BVY219" s="630"/>
      <c r="BVZ219" s="630"/>
      <c r="BWA219" s="630"/>
      <c r="BWB219" s="630"/>
      <c r="BWC219" s="630"/>
      <c r="BWD219" s="630"/>
      <c r="BWE219" s="630"/>
      <c r="BWF219" s="630"/>
      <c r="BWG219" s="630"/>
      <c r="BWH219" s="630"/>
      <c r="BWI219" s="630"/>
      <c r="BWJ219" s="630"/>
      <c r="BWK219" s="630"/>
      <c r="BWL219" s="630"/>
      <c r="BWM219" s="630"/>
      <c r="BWN219" s="630"/>
      <c r="BWO219" s="630"/>
      <c r="BWP219" s="630"/>
      <c r="BWQ219" s="630"/>
      <c r="BWR219" s="630"/>
      <c r="BWS219" s="630"/>
      <c r="BWT219" s="630"/>
      <c r="BWU219" s="630"/>
      <c r="BWV219" s="630"/>
      <c r="BWW219" s="630"/>
      <c r="BWX219" s="630"/>
      <c r="BWY219" s="630"/>
      <c r="BWZ219" s="630"/>
      <c r="BXA219" s="630"/>
      <c r="BXB219" s="630"/>
      <c r="BXC219" s="630"/>
      <c r="BXD219" s="630"/>
      <c r="BXE219" s="630"/>
      <c r="BXF219" s="630"/>
      <c r="BXG219" s="630"/>
      <c r="BXH219" s="630"/>
      <c r="BXI219" s="630"/>
      <c r="BXJ219" s="630"/>
      <c r="BXK219" s="630"/>
      <c r="BXL219" s="630"/>
      <c r="BXM219" s="630"/>
      <c r="BXN219" s="630"/>
      <c r="BXO219" s="630"/>
      <c r="BXP219" s="630"/>
      <c r="BXQ219" s="630"/>
      <c r="BXR219" s="630"/>
      <c r="BXS219" s="630"/>
      <c r="BXT219" s="630"/>
      <c r="BXU219" s="630"/>
      <c r="BXV219" s="630"/>
      <c r="BXW219" s="630"/>
      <c r="BXX219" s="630"/>
      <c r="BXY219" s="630"/>
      <c r="BXZ219" s="630"/>
      <c r="BYA219" s="630"/>
      <c r="BYB219" s="630"/>
      <c r="BYC219" s="630"/>
      <c r="BYD219" s="630"/>
      <c r="BYE219" s="630"/>
      <c r="BYF219" s="630"/>
      <c r="BYG219" s="630"/>
      <c r="BYH219" s="630"/>
      <c r="BYI219" s="630"/>
      <c r="BYJ219" s="630"/>
      <c r="BYK219" s="630"/>
      <c r="BYL219" s="630"/>
      <c r="BYM219" s="630"/>
      <c r="BYN219" s="630"/>
      <c r="BYO219" s="630"/>
      <c r="BYP219" s="630"/>
      <c r="BYQ219" s="630"/>
      <c r="BYR219" s="630"/>
      <c r="BYS219" s="630"/>
      <c r="BYT219" s="630"/>
      <c r="BYU219" s="630"/>
      <c r="BYV219" s="630"/>
      <c r="BYW219" s="630"/>
      <c r="BYX219" s="630"/>
      <c r="BYY219" s="630"/>
      <c r="BYZ219" s="630"/>
      <c r="BZA219" s="630"/>
      <c r="BZB219" s="630"/>
      <c r="BZC219" s="630"/>
      <c r="BZD219" s="630"/>
      <c r="BZE219" s="630"/>
      <c r="BZF219" s="630"/>
      <c r="BZG219" s="630"/>
      <c r="BZH219" s="630"/>
      <c r="BZI219" s="630"/>
      <c r="BZJ219" s="630"/>
      <c r="BZK219" s="630"/>
      <c r="BZL219" s="630"/>
      <c r="BZM219" s="630"/>
      <c r="BZN219" s="630"/>
      <c r="BZO219" s="630"/>
      <c r="BZP219" s="630"/>
      <c r="BZQ219" s="630"/>
      <c r="BZR219" s="630"/>
      <c r="BZS219" s="630"/>
      <c r="BZT219" s="630"/>
      <c r="BZU219" s="630"/>
      <c r="BZV219" s="630"/>
      <c r="BZW219" s="630"/>
      <c r="BZX219" s="630"/>
      <c r="BZY219" s="630"/>
      <c r="BZZ219" s="630"/>
      <c r="CAA219" s="630"/>
      <c r="CAB219" s="630"/>
      <c r="CAC219" s="630"/>
      <c r="CAD219" s="630"/>
      <c r="CAE219" s="630"/>
      <c r="CAF219" s="630"/>
      <c r="CAG219" s="630"/>
      <c r="CAH219" s="630"/>
      <c r="CAI219" s="630"/>
      <c r="CAJ219" s="630"/>
      <c r="CAK219" s="630"/>
      <c r="CAL219" s="630"/>
      <c r="CAM219" s="630"/>
      <c r="CAN219" s="630"/>
      <c r="CAO219" s="630"/>
      <c r="CAP219" s="630"/>
      <c r="CAQ219" s="630"/>
      <c r="CAR219" s="630"/>
      <c r="CAS219" s="630"/>
      <c r="CAT219" s="630"/>
      <c r="CAU219" s="630"/>
      <c r="CAV219" s="630"/>
      <c r="CAW219" s="630"/>
      <c r="CAX219" s="630"/>
      <c r="CAY219" s="630"/>
      <c r="CAZ219" s="630"/>
      <c r="CBA219" s="630"/>
      <c r="CBB219" s="630"/>
      <c r="CBC219" s="630"/>
      <c r="CBD219" s="630"/>
      <c r="CBE219" s="630"/>
      <c r="CBF219" s="630"/>
      <c r="CBG219" s="630"/>
      <c r="CBH219" s="630"/>
      <c r="CBI219" s="630"/>
      <c r="CBJ219" s="630"/>
      <c r="CBK219" s="630"/>
      <c r="CBL219" s="630"/>
      <c r="CBM219" s="630"/>
      <c r="CBN219" s="630"/>
      <c r="CBO219" s="630"/>
      <c r="CBP219" s="630"/>
      <c r="CBQ219" s="630"/>
      <c r="CBR219" s="630"/>
      <c r="CBS219" s="630"/>
      <c r="CBT219" s="630"/>
      <c r="CBU219" s="630"/>
      <c r="CBV219" s="630"/>
      <c r="CBW219" s="630"/>
      <c r="CBX219" s="630"/>
      <c r="CBY219" s="630"/>
      <c r="CBZ219" s="630"/>
      <c r="CCA219" s="630"/>
      <c r="CCB219" s="630"/>
      <c r="CCC219" s="630"/>
      <c r="CCD219" s="630"/>
      <c r="CCE219" s="630"/>
      <c r="CCF219" s="630"/>
      <c r="CCG219" s="630"/>
      <c r="CCH219" s="630"/>
      <c r="CCI219" s="630"/>
      <c r="CCJ219" s="630"/>
      <c r="CCK219" s="630"/>
      <c r="CCL219" s="630"/>
      <c r="CCM219" s="630"/>
      <c r="CCN219" s="630"/>
      <c r="CCO219" s="630"/>
      <c r="CCP219" s="630"/>
      <c r="CCQ219" s="630"/>
      <c r="CCR219" s="630"/>
      <c r="CCS219" s="630"/>
      <c r="CCT219" s="630"/>
      <c r="CCU219" s="630"/>
      <c r="CCV219" s="630"/>
      <c r="CCW219" s="630"/>
      <c r="CCX219" s="630"/>
      <c r="CCY219" s="630"/>
      <c r="CCZ219" s="630"/>
      <c r="CDA219" s="630"/>
      <c r="CDB219" s="630"/>
      <c r="CDC219" s="630"/>
      <c r="CDD219" s="630"/>
      <c r="CDE219" s="630"/>
      <c r="CDF219" s="630"/>
      <c r="CDG219" s="630"/>
      <c r="CDH219" s="630"/>
      <c r="CDI219" s="630"/>
      <c r="CDJ219" s="630"/>
      <c r="CDK219" s="630"/>
      <c r="CDL219" s="630"/>
      <c r="CDM219" s="630"/>
      <c r="CDN219" s="630"/>
      <c r="CDO219" s="630"/>
      <c r="CDP219" s="630"/>
      <c r="CDQ219" s="630"/>
      <c r="CDR219" s="630"/>
      <c r="CDS219" s="630"/>
      <c r="CDT219" s="630"/>
      <c r="CDU219" s="630"/>
      <c r="CDV219" s="630"/>
      <c r="CDW219" s="630"/>
      <c r="CDX219" s="630"/>
      <c r="CDY219" s="630"/>
      <c r="CDZ219" s="630"/>
      <c r="CEA219" s="630"/>
      <c r="CEB219" s="630"/>
      <c r="CEC219" s="630"/>
      <c r="CED219" s="630"/>
      <c r="CEE219" s="630"/>
      <c r="CEF219" s="630"/>
      <c r="CEG219" s="630"/>
      <c r="CEH219" s="630"/>
      <c r="CEI219" s="630"/>
      <c r="CEJ219" s="630"/>
      <c r="CEK219" s="630"/>
      <c r="CEL219" s="630"/>
      <c r="CEM219" s="630"/>
      <c r="CEN219" s="630"/>
      <c r="CEO219" s="630"/>
      <c r="CEP219" s="630"/>
      <c r="CEQ219" s="630"/>
      <c r="CER219" s="630"/>
      <c r="CES219" s="630"/>
      <c r="CET219" s="630"/>
      <c r="CEU219" s="630"/>
      <c r="CEV219" s="630"/>
      <c r="CEW219" s="630"/>
      <c r="CEX219" s="630"/>
      <c r="CEY219" s="630"/>
      <c r="CEZ219" s="630"/>
      <c r="CFA219" s="630"/>
      <c r="CFB219" s="630"/>
      <c r="CFC219" s="630"/>
      <c r="CFD219" s="630"/>
      <c r="CFE219" s="630"/>
      <c r="CFF219" s="630"/>
      <c r="CFG219" s="630"/>
      <c r="CFH219" s="630"/>
      <c r="CFI219" s="630"/>
      <c r="CFJ219" s="630"/>
      <c r="CFK219" s="630"/>
      <c r="CFL219" s="630"/>
      <c r="CFM219" s="630"/>
      <c r="CFN219" s="630"/>
      <c r="CFO219" s="630"/>
      <c r="CFP219" s="630"/>
      <c r="CFQ219" s="630"/>
      <c r="CFR219" s="630"/>
      <c r="CFS219" s="630"/>
      <c r="CFT219" s="630"/>
      <c r="CFU219" s="630"/>
      <c r="CFV219" s="630"/>
      <c r="CFW219" s="630"/>
      <c r="CFX219" s="630"/>
      <c r="CFY219" s="630"/>
      <c r="CFZ219" s="630"/>
      <c r="CGA219" s="630"/>
      <c r="CGB219" s="630"/>
      <c r="CGC219" s="630"/>
      <c r="CGD219" s="630"/>
      <c r="CGE219" s="630"/>
      <c r="CGF219" s="630"/>
      <c r="CGG219" s="630"/>
      <c r="CGH219" s="630"/>
      <c r="CGI219" s="630"/>
      <c r="CGJ219" s="630"/>
      <c r="CGK219" s="630"/>
      <c r="CGL219" s="630"/>
      <c r="CGM219" s="630"/>
      <c r="CGN219" s="630"/>
      <c r="CGO219" s="630"/>
      <c r="CGP219" s="630"/>
      <c r="CGQ219" s="630"/>
      <c r="CGR219" s="630"/>
      <c r="CGS219" s="630"/>
      <c r="CGT219" s="630"/>
      <c r="CGU219" s="630"/>
      <c r="CGV219" s="630"/>
      <c r="CGW219" s="630"/>
      <c r="CGX219" s="630"/>
      <c r="CGY219" s="630"/>
      <c r="CGZ219" s="630"/>
      <c r="CHA219" s="630"/>
      <c r="CHB219" s="630"/>
      <c r="CHC219" s="630"/>
      <c r="CHD219" s="630"/>
      <c r="CHE219" s="630"/>
      <c r="CHF219" s="630"/>
      <c r="CHG219" s="630"/>
      <c r="CHH219" s="630"/>
      <c r="CHI219" s="630"/>
      <c r="CHJ219" s="630"/>
      <c r="CHK219" s="630"/>
      <c r="CHL219" s="630"/>
      <c r="CHM219" s="630"/>
      <c r="CHN219" s="630"/>
      <c r="CHO219" s="630"/>
      <c r="CHP219" s="630"/>
      <c r="CHQ219" s="630"/>
      <c r="CHR219" s="630"/>
      <c r="CHS219" s="630"/>
      <c r="CHT219" s="630"/>
      <c r="CHU219" s="630"/>
      <c r="CHV219" s="630"/>
      <c r="CHW219" s="630"/>
      <c r="CHX219" s="630"/>
      <c r="CHY219" s="630"/>
      <c r="CHZ219" s="630"/>
      <c r="CIA219" s="630"/>
      <c r="CIB219" s="630"/>
      <c r="CIC219" s="630"/>
      <c r="CID219" s="630"/>
      <c r="CIE219" s="630"/>
      <c r="CIF219" s="630"/>
      <c r="CIG219" s="630"/>
      <c r="CIH219" s="630"/>
      <c r="CII219" s="630"/>
      <c r="CIJ219" s="630"/>
      <c r="CIK219" s="630"/>
      <c r="CIL219" s="630"/>
      <c r="CIM219" s="630"/>
      <c r="CIN219" s="630"/>
      <c r="CIO219" s="630"/>
      <c r="CIP219" s="630"/>
      <c r="CIQ219" s="630"/>
      <c r="CIR219" s="630"/>
      <c r="CIS219" s="630"/>
      <c r="CIT219" s="630"/>
      <c r="CIU219" s="630"/>
      <c r="CIV219" s="630"/>
      <c r="CIW219" s="630"/>
      <c r="CIX219" s="630"/>
      <c r="CIY219" s="630"/>
      <c r="CIZ219" s="630"/>
      <c r="CJA219" s="630"/>
      <c r="CJB219" s="630"/>
      <c r="CJC219" s="630"/>
      <c r="CJD219" s="630"/>
      <c r="CJE219" s="630"/>
      <c r="CJF219" s="630"/>
      <c r="CJG219" s="630"/>
      <c r="CJH219" s="630"/>
      <c r="CJI219" s="630"/>
      <c r="CJJ219" s="630"/>
      <c r="CJK219" s="630"/>
      <c r="CJL219" s="630"/>
      <c r="CJM219" s="630"/>
      <c r="CJN219" s="630"/>
      <c r="CJO219" s="630"/>
      <c r="CJP219" s="630"/>
      <c r="CJQ219" s="630"/>
      <c r="CJR219" s="630"/>
      <c r="CJS219" s="630"/>
      <c r="CJT219" s="630"/>
      <c r="CJU219" s="630"/>
      <c r="CJV219" s="630"/>
      <c r="CJW219" s="630"/>
      <c r="CJX219" s="630"/>
      <c r="CJY219" s="630"/>
      <c r="CJZ219" s="630"/>
      <c r="CKA219" s="630"/>
      <c r="CKB219" s="630"/>
      <c r="CKC219" s="630"/>
      <c r="CKD219" s="630"/>
      <c r="CKE219" s="630"/>
      <c r="CKF219" s="630"/>
      <c r="CKG219" s="630"/>
      <c r="CKH219" s="630"/>
      <c r="CKI219" s="630"/>
      <c r="CKJ219" s="630"/>
      <c r="CKK219" s="630"/>
      <c r="CKL219" s="630"/>
      <c r="CKM219" s="630"/>
      <c r="CKN219" s="630"/>
      <c r="CKO219" s="630"/>
      <c r="CKP219" s="630"/>
      <c r="CKQ219" s="630"/>
      <c r="CKR219" s="630"/>
      <c r="CKS219" s="630"/>
      <c r="CKT219" s="630"/>
      <c r="CKU219" s="630"/>
      <c r="CKV219" s="630"/>
      <c r="CKW219" s="630"/>
      <c r="CKX219" s="630"/>
      <c r="CKY219" s="630"/>
      <c r="CKZ219" s="630"/>
      <c r="CLA219" s="630"/>
      <c r="CLB219" s="630"/>
      <c r="CLC219" s="630"/>
      <c r="CLD219" s="630"/>
      <c r="CLE219" s="630"/>
      <c r="CLF219" s="630"/>
      <c r="CLG219" s="630"/>
      <c r="CLH219" s="630"/>
      <c r="CLI219" s="630"/>
      <c r="CLJ219" s="630"/>
      <c r="CLK219" s="630"/>
      <c r="CLL219" s="630"/>
      <c r="CLM219" s="630"/>
      <c r="CLN219" s="630"/>
      <c r="CLO219" s="630"/>
      <c r="CLP219" s="630"/>
      <c r="CLQ219" s="630"/>
      <c r="CLR219" s="630"/>
      <c r="CLS219" s="630"/>
      <c r="CLT219" s="630"/>
      <c r="CLU219" s="630"/>
      <c r="CLV219" s="630"/>
      <c r="CLW219" s="630"/>
      <c r="CLX219" s="630"/>
      <c r="CLY219" s="630"/>
      <c r="CLZ219" s="630"/>
      <c r="CMA219" s="630"/>
      <c r="CMB219" s="630"/>
      <c r="CMC219" s="630"/>
      <c r="CMD219" s="630"/>
      <c r="CME219" s="630"/>
      <c r="CMF219" s="630"/>
      <c r="CMG219" s="630"/>
      <c r="CMH219" s="630"/>
      <c r="CMI219" s="630"/>
      <c r="CMJ219" s="630"/>
      <c r="CMK219" s="630"/>
      <c r="CML219" s="630"/>
      <c r="CMM219" s="630"/>
      <c r="CMN219" s="630"/>
      <c r="CMO219" s="630"/>
      <c r="CMP219" s="630"/>
      <c r="CMQ219" s="630"/>
      <c r="CMR219" s="630"/>
      <c r="CMS219" s="630"/>
      <c r="CMT219" s="630"/>
      <c r="CMU219" s="630"/>
      <c r="CMV219" s="630"/>
      <c r="CMW219" s="630"/>
      <c r="CMX219" s="630"/>
      <c r="CMY219" s="630"/>
      <c r="CMZ219" s="630"/>
      <c r="CNA219" s="630"/>
      <c r="CNB219" s="630"/>
      <c r="CNC219" s="630"/>
      <c r="CND219" s="630"/>
      <c r="CNE219" s="630"/>
      <c r="CNF219" s="630"/>
      <c r="CNG219" s="630"/>
      <c r="CNH219" s="630"/>
      <c r="CNI219" s="630"/>
      <c r="CNJ219" s="630"/>
      <c r="CNK219" s="630"/>
      <c r="CNL219" s="630"/>
      <c r="CNM219" s="630"/>
      <c r="CNN219" s="630"/>
      <c r="CNO219" s="630"/>
      <c r="CNP219" s="630"/>
      <c r="CNQ219" s="630"/>
      <c r="CNR219" s="630"/>
      <c r="CNS219" s="630"/>
      <c r="CNT219" s="630"/>
      <c r="CNU219" s="630"/>
      <c r="CNV219" s="630"/>
      <c r="CNW219" s="630"/>
      <c r="CNX219" s="630"/>
      <c r="CNY219" s="630"/>
      <c r="CNZ219" s="630"/>
      <c r="COA219" s="630"/>
      <c r="COB219" s="630"/>
      <c r="COC219" s="630"/>
      <c r="COD219" s="630"/>
      <c r="COE219" s="630"/>
      <c r="COF219" s="630"/>
      <c r="COG219" s="630"/>
      <c r="COH219" s="630"/>
      <c r="COI219" s="630"/>
      <c r="COJ219" s="630"/>
      <c r="COK219" s="630"/>
      <c r="COL219" s="630"/>
      <c r="COM219" s="630"/>
      <c r="CON219" s="630"/>
      <c r="COO219" s="630"/>
      <c r="COP219" s="630"/>
      <c r="COQ219" s="630"/>
      <c r="COR219" s="630"/>
      <c r="COS219" s="630"/>
      <c r="COT219" s="630"/>
      <c r="COU219" s="630"/>
      <c r="COV219" s="630"/>
      <c r="COW219" s="630"/>
      <c r="COX219" s="630"/>
      <c r="COY219" s="630"/>
      <c r="COZ219" s="630"/>
      <c r="CPA219" s="630"/>
      <c r="CPB219" s="630"/>
      <c r="CPC219" s="630"/>
      <c r="CPD219" s="630"/>
      <c r="CPE219" s="630"/>
      <c r="CPF219" s="630"/>
      <c r="CPG219" s="630"/>
      <c r="CPH219" s="630"/>
      <c r="CPI219" s="630"/>
      <c r="CPJ219" s="630"/>
      <c r="CPK219" s="630"/>
      <c r="CPL219" s="630"/>
      <c r="CPM219" s="630"/>
      <c r="CPN219" s="630"/>
      <c r="CPO219" s="630"/>
      <c r="CPP219" s="630"/>
      <c r="CPQ219" s="630"/>
      <c r="CPR219" s="630"/>
      <c r="CPS219" s="630"/>
      <c r="CPT219" s="630"/>
      <c r="CPU219" s="630"/>
      <c r="CPV219" s="630"/>
      <c r="CPW219" s="630"/>
      <c r="CPX219" s="630"/>
      <c r="CPY219" s="630"/>
      <c r="CPZ219" s="630"/>
      <c r="CQA219" s="630"/>
      <c r="CQB219" s="630"/>
      <c r="CQC219" s="630"/>
      <c r="CQD219" s="630"/>
      <c r="CQE219" s="630"/>
      <c r="CQF219" s="630"/>
      <c r="CQG219" s="630"/>
      <c r="CQH219" s="630"/>
      <c r="CQI219" s="630"/>
      <c r="CQJ219" s="630"/>
      <c r="CQK219" s="630"/>
      <c r="CQL219" s="630"/>
      <c r="CQM219" s="630"/>
      <c r="CQN219" s="630"/>
      <c r="CQO219" s="630"/>
      <c r="CQP219" s="630"/>
      <c r="CQQ219" s="630"/>
      <c r="CQR219" s="630"/>
      <c r="CQS219" s="630"/>
      <c r="CQT219" s="630"/>
      <c r="CQU219" s="630"/>
      <c r="CQV219" s="630"/>
      <c r="CQW219" s="630"/>
      <c r="CQX219" s="630"/>
      <c r="CQY219" s="630"/>
      <c r="CQZ219" s="630"/>
      <c r="CRA219" s="630"/>
      <c r="CRB219" s="630"/>
      <c r="CRC219" s="630"/>
      <c r="CRD219" s="630"/>
      <c r="CRE219" s="630"/>
      <c r="CRF219" s="630"/>
      <c r="CRG219" s="630"/>
      <c r="CRH219" s="630"/>
      <c r="CRI219" s="630"/>
      <c r="CRJ219" s="630"/>
      <c r="CRK219" s="630"/>
      <c r="CRL219" s="630"/>
      <c r="CRM219" s="630"/>
      <c r="CRN219" s="630"/>
      <c r="CRO219" s="630"/>
      <c r="CRP219" s="630"/>
      <c r="CRQ219" s="630"/>
      <c r="CRR219" s="630"/>
      <c r="CRS219" s="630"/>
      <c r="CRT219" s="630"/>
      <c r="CRU219" s="630"/>
      <c r="CRV219" s="630"/>
      <c r="CRW219" s="630"/>
      <c r="CRX219" s="630"/>
      <c r="CRY219" s="630"/>
      <c r="CRZ219" s="630"/>
      <c r="CSA219" s="630"/>
      <c r="CSB219" s="630"/>
      <c r="CSC219" s="630"/>
      <c r="CSD219" s="630"/>
      <c r="CSE219" s="630"/>
      <c r="CSF219" s="630"/>
      <c r="CSG219" s="630"/>
      <c r="CSH219" s="630"/>
      <c r="CSI219" s="630"/>
      <c r="CSJ219" s="630"/>
      <c r="CSK219" s="630"/>
      <c r="CSL219" s="630"/>
      <c r="CSM219" s="630"/>
      <c r="CSN219" s="630"/>
      <c r="CSO219" s="630"/>
      <c r="CSP219" s="630"/>
      <c r="CSQ219" s="630"/>
      <c r="CSR219" s="630"/>
      <c r="CSS219" s="630"/>
      <c r="CST219" s="630"/>
      <c r="CSU219" s="630"/>
      <c r="CSV219" s="630"/>
      <c r="CSW219" s="630"/>
      <c r="CSX219" s="630"/>
      <c r="CSY219" s="630"/>
      <c r="CSZ219" s="630"/>
      <c r="CTA219" s="630"/>
      <c r="CTB219" s="630"/>
      <c r="CTC219" s="630"/>
      <c r="CTD219" s="630"/>
      <c r="CTE219" s="630"/>
      <c r="CTF219" s="630"/>
      <c r="CTG219" s="630"/>
      <c r="CTH219" s="630"/>
      <c r="CTI219" s="630"/>
      <c r="CTJ219" s="630"/>
      <c r="CTK219" s="630"/>
      <c r="CTL219" s="630"/>
      <c r="CTM219" s="630"/>
      <c r="CTN219" s="630"/>
      <c r="CTO219" s="630"/>
      <c r="CTP219" s="630"/>
      <c r="CTQ219" s="630"/>
      <c r="CTR219" s="630"/>
      <c r="CTS219" s="630"/>
      <c r="CTT219" s="630"/>
      <c r="CTU219" s="630"/>
      <c r="CTV219" s="630"/>
      <c r="CTW219" s="630"/>
      <c r="CTX219" s="630"/>
      <c r="CTY219" s="630"/>
      <c r="CTZ219" s="630"/>
      <c r="CUA219" s="630"/>
      <c r="CUB219" s="630"/>
      <c r="CUC219" s="630"/>
      <c r="CUD219" s="630"/>
      <c r="CUE219" s="630"/>
      <c r="CUF219" s="630"/>
      <c r="CUG219" s="630"/>
      <c r="CUH219" s="630"/>
      <c r="CUI219" s="630"/>
      <c r="CUJ219" s="630"/>
      <c r="CUK219" s="630"/>
      <c r="CUL219" s="630"/>
      <c r="CUM219" s="630"/>
      <c r="CUN219" s="630"/>
      <c r="CUO219" s="630"/>
      <c r="CUP219" s="630"/>
      <c r="CUQ219" s="630"/>
      <c r="CUR219" s="630"/>
      <c r="CUS219" s="630"/>
      <c r="CUT219" s="630"/>
      <c r="CUU219" s="630"/>
      <c r="CUV219" s="630"/>
      <c r="CUW219" s="630"/>
      <c r="CUX219" s="630"/>
      <c r="CUY219" s="630"/>
      <c r="CUZ219" s="630"/>
      <c r="CVA219" s="630"/>
      <c r="CVB219" s="630"/>
      <c r="CVC219" s="630"/>
      <c r="CVD219" s="630"/>
      <c r="CVE219" s="630"/>
      <c r="CVF219" s="630"/>
      <c r="CVG219" s="630"/>
      <c r="CVH219" s="630"/>
      <c r="CVI219" s="630"/>
      <c r="CVJ219" s="630"/>
      <c r="CVK219" s="630"/>
      <c r="CVL219" s="630"/>
      <c r="CVM219" s="630"/>
      <c r="CVN219" s="630"/>
      <c r="CVO219" s="630"/>
      <c r="CVP219" s="630"/>
      <c r="CVQ219" s="630"/>
      <c r="CVR219" s="630"/>
      <c r="CVS219" s="630"/>
      <c r="CVT219" s="630"/>
      <c r="CVU219" s="630"/>
      <c r="CVV219" s="630"/>
      <c r="CVW219" s="630"/>
      <c r="CVX219" s="630"/>
      <c r="CVY219" s="630"/>
      <c r="CVZ219" s="630"/>
      <c r="CWA219" s="630"/>
      <c r="CWB219" s="630"/>
      <c r="CWC219" s="630"/>
      <c r="CWD219" s="630"/>
      <c r="CWE219" s="630"/>
      <c r="CWF219" s="630"/>
      <c r="CWG219" s="630"/>
      <c r="CWH219" s="630"/>
      <c r="CWI219" s="630"/>
      <c r="CWJ219" s="630"/>
      <c r="CWK219" s="630"/>
      <c r="CWL219" s="630"/>
      <c r="CWM219" s="630"/>
      <c r="CWN219" s="630"/>
      <c r="CWO219" s="630"/>
      <c r="CWP219" s="630"/>
      <c r="CWQ219" s="630"/>
      <c r="CWR219" s="630"/>
      <c r="CWS219" s="630"/>
      <c r="CWT219" s="630"/>
      <c r="CWU219" s="630"/>
      <c r="CWV219" s="630"/>
      <c r="CWW219" s="630"/>
      <c r="CWX219" s="630"/>
      <c r="CWY219" s="630"/>
      <c r="CWZ219" s="630"/>
      <c r="CXA219" s="630"/>
      <c r="CXB219" s="630"/>
      <c r="CXC219" s="630"/>
      <c r="CXD219" s="630"/>
      <c r="CXE219" s="630"/>
      <c r="CXF219" s="630"/>
      <c r="CXG219" s="630"/>
      <c r="CXH219" s="630"/>
      <c r="CXI219" s="630"/>
      <c r="CXJ219" s="630"/>
      <c r="CXK219" s="630"/>
      <c r="CXL219" s="630"/>
      <c r="CXM219" s="630"/>
      <c r="CXN219" s="630"/>
      <c r="CXO219" s="630"/>
      <c r="CXP219" s="630"/>
      <c r="CXQ219" s="630"/>
      <c r="CXR219" s="630"/>
      <c r="CXS219" s="630"/>
      <c r="CXT219" s="630"/>
      <c r="CXU219" s="630"/>
      <c r="CXV219" s="630"/>
      <c r="CXW219" s="630"/>
      <c r="CXX219" s="630"/>
      <c r="CXY219" s="630"/>
      <c r="CXZ219" s="630"/>
      <c r="CYA219" s="630"/>
      <c r="CYB219" s="630"/>
      <c r="CYC219" s="630"/>
      <c r="CYD219" s="630"/>
      <c r="CYE219" s="630"/>
      <c r="CYF219" s="630"/>
      <c r="CYG219" s="630"/>
      <c r="CYH219" s="630"/>
      <c r="CYI219" s="630"/>
      <c r="CYJ219" s="630"/>
      <c r="CYK219" s="630"/>
      <c r="CYL219" s="630"/>
      <c r="CYM219" s="630"/>
      <c r="CYN219" s="630"/>
      <c r="CYO219" s="630"/>
      <c r="CYP219" s="630"/>
      <c r="CYQ219" s="630"/>
      <c r="CYR219" s="630"/>
      <c r="CYS219" s="630"/>
      <c r="CYT219" s="630"/>
      <c r="CYU219" s="630"/>
      <c r="CYV219" s="630"/>
      <c r="CYW219" s="630"/>
      <c r="CYX219" s="630"/>
      <c r="CYY219" s="630"/>
      <c r="CYZ219" s="630"/>
      <c r="CZA219" s="630"/>
      <c r="CZB219" s="630"/>
      <c r="CZC219" s="630"/>
      <c r="CZD219" s="630"/>
      <c r="CZE219" s="630"/>
      <c r="CZF219" s="630"/>
      <c r="CZG219" s="630"/>
      <c r="CZH219" s="630"/>
      <c r="CZI219" s="630"/>
      <c r="CZJ219" s="630"/>
      <c r="CZK219" s="630"/>
      <c r="CZL219" s="630"/>
      <c r="CZM219" s="630"/>
      <c r="CZN219" s="630"/>
      <c r="CZO219" s="630"/>
      <c r="CZP219" s="630"/>
      <c r="CZQ219" s="630"/>
      <c r="CZR219" s="630"/>
      <c r="CZS219" s="630"/>
      <c r="CZT219" s="630"/>
      <c r="CZU219" s="630"/>
      <c r="CZV219" s="630"/>
      <c r="CZW219" s="630"/>
      <c r="CZX219" s="630"/>
      <c r="CZY219" s="630"/>
      <c r="CZZ219" s="630"/>
      <c r="DAA219" s="630"/>
      <c r="DAB219" s="630"/>
      <c r="DAC219" s="630"/>
      <c r="DAD219" s="630"/>
      <c r="DAE219" s="630"/>
      <c r="DAF219" s="630"/>
      <c r="DAG219" s="630"/>
      <c r="DAH219" s="630"/>
      <c r="DAI219" s="630"/>
      <c r="DAJ219" s="630"/>
      <c r="DAK219" s="630"/>
      <c r="DAL219" s="630"/>
      <c r="DAM219" s="630"/>
      <c r="DAN219" s="630"/>
      <c r="DAO219" s="630"/>
      <c r="DAP219" s="630"/>
      <c r="DAQ219" s="630"/>
      <c r="DAR219" s="630"/>
      <c r="DAS219" s="630"/>
      <c r="DAT219" s="630"/>
      <c r="DAU219" s="630"/>
      <c r="DAV219" s="630"/>
      <c r="DAW219" s="630"/>
      <c r="DAX219" s="630"/>
      <c r="DAY219" s="630"/>
      <c r="DAZ219" s="630"/>
      <c r="DBA219" s="630"/>
      <c r="DBB219" s="630"/>
      <c r="DBC219" s="630"/>
      <c r="DBD219" s="630"/>
      <c r="DBE219" s="630"/>
      <c r="DBF219" s="630"/>
      <c r="DBG219" s="630"/>
      <c r="DBH219" s="630"/>
      <c r="DBI219" s="630"/>
      <c r="DBJ219" s="630"/>
      <c r="DBK219" s="630"/>
      <c r="DBL219" s="630"/>
      <c r="DBM219" s="630"/>
      <c r="DBN219" s="630"/>
      <c r="DBO219" s="630"/>
      <c r="DBP219" s="630"/>
      <c r="DBQ219" s="630"/>
      <c r="DBR219" s="630"/>
      <c r="DBS219" s="630"/>
      <c r="DBT219" s="630"/>
      <c r="DBU219" s="630"/>
      <c r="DBV219" s="630"/>
      <c r="DBW219" s="630"/>
      <c r="DBX219" s="630"/>
      <c r="DBY219" s="630"/>
      <c r="DBZ219" s="630"/>
      <c r="DCA219" s="630"/>
      <c r="DCB219" s="630"/>
      <c r="DCC219" s="630"/>
      <c r="DCD219" s="630"/>
      <c r="DCE219" s="630"/>
      <c r="DCF219" s="630"/>
      <c r="DCG219" s="630"/>
      <c r="DCH219" s="630"/>
      <c r="DCI219" s="630"/>
      <c r="DCJ219" s="630"/>
      <c r="DCK219" s="630"/>
      <c r="DCL219" s="630"/>
      <c r="DCM219" s="630"/>
      <c r="DCN219" s="630"/>
      <c r="DCO219" s="630"/>
      <c r="DCP219" s="630"/>
      <c r="DCQ219" s="630"/>
      <c r="DCR219" s="630"/>
      <c r="DCS219" s="630"/>
      <c r="DCT219" s="630"/>
      <c r="DCU219" s="630"/>
      <c r="DCV219" s="630"/>
      <c r="DCW219" s="630"/>
      <c r="DCX219" s="630"/>
      <c r="DCY219" s="630"/>
      <c r="DCZ219" s="630"/>
      <c r="DDA219" s="630"/>
      <c r="DDB219" s="630"/>
      <c r="DDC219" s="630"/>
      <c r="DDD219" s="630"/>
      <c r="DDE219" s="630"/>
      <c r="DDF219" s="630"/>
      <c r="DDG219" s="630"/>
      <c r="DDH219" s="630"/>
      <c r="DDI219" s="630"/>
      <c r="DDJ219" s="630"/>
      <c r="DDK219" s="630"/>
      <c r="DDL219" s="630"/>
      <c r="DDM219" s="630"/>
      <c r="DDN219" s="630"/>
      <c r="DDO219" s="630"/>
      <c r="DDP219" s="630"/>
      <c r="DDQ219" s="630"/>
      <c r="DDR219" s="630"/>
      <c r="DDS219" s="630"/>
      <c r="DDT219" s="630"/>
      <c r="DDU219" s="630"/>
      <c r="DDV219" s="630"/>
      <c r="DDW219" s="630"/>
      <c r="DDX219" s="630"/>
      <c r="DDY219" s="630"/>
      <c r="DDZ219" s="630"/>
      <c r="DEA219" s="630"/>
      <c r="DEB219" s="630"/>
      <c r="DEC219" s="630"/>
      <c r="DED219" s="630"/>
      <c r="DEE219" s="630"/>
      <c r="DEF219" s="630"/>
      <c r="DEG219" s="630"/>
      <c r="DEH219" s="630"/>
      <c r="DEI219" s="630"/>
      <c r="DEJ219" s="630"/>
      <c r="DEK219" s="630"/>
      <c r="DEL219" s="630"/>
      <c r="DEM219" s="630"/>
      <c r="DEN219" s="630"/>
      <c r="DEO219" s="630"/>
      <c r="DEP219" s="630"/>
      <c r="DEQ219" s="630"/>
      <c r="DER219" s="630"/>
      <c r="DES219" s="630"/>
      <c r="DET219" s="630"/>
      <c r="DEU219" s="630"/>
      <c r="DEV219" s="630"/>
      <c r="DEW219" s="630"/>
      <c r="DEX219" s="630"/>
      <c r="DEY219" s="630"/>
      <c r="DEZ219" s="630"/>
      <c r="DFA219" s="630"/>
      <c r="DFB219" s="630"/>
      <c r="DFC219" s="630"/>
      <c r="DFD219" s="630"/>
      <c r="DFE219" s="630"/>
      <c r="DFF219" s="630"/>
      <c r="DFG219" s="630"/>
      <c r="DFH219" s="630"/>
      <c r="DFI219" s="630"/>
      <c r="DFJ219" s="630"/>
      <c r="DFK219" s="630"/>
      <c r="DFL219" s="630"/>
      <c r="DFM219" s="630"/>
      <c r="DFN219" s="630"/>
      <c r="DFO219" s="630"/>
      <c r="DFP219" s="630"/>
      <c r="DFQ219" s="630"/>
      <c r="DFR219" s="630"/>
      <c r="DFS219" s="630"/>
      <c r="DFT219" s="630"/>
      <c r="DFU219" s="630"/>
      <c r="DFV219" s="630"/>
      <c r="DFW219" s="630"/>
      <c r="DFX219" s="630"/>
      <c r="DFY219" s="630"/>
      <c r="DFZ219" s="630"/>
      <c r="DGA219" s="630"/>
      <c r="DGB219" s="630"/>
      <c r="DGC219" s="630"/>
      <c r="DGD219" s="630"/>
      <c r="DGE219" s="630"/>
      <c r="DGF219" s="630"/>
      <c r="DGG219" s="630"/>
      <c r="DGH219" s="630"/>
      <c r="DGI219" s="630"/>
      <c r="DGJ219" s="630"/>
      <c r="DGK219" s="630"/>
      <c r="DGL219" s="630"/>
      <c r="DGM219" s="630"/>
      <c r="DGN219" s="630"/>
      <c r="DGO219" s="630"/>
      <c r="DGP219" s="630"/>
      <c r="DGQ219" s="630"/>
      <c r="DGR219" s="630"/>
      <c r="DGS219" s="630"/>
      <c r="DGT219" s="630"/>
      <c r="DGU219" s="630"/>
      <c r="DGV219" s="630"/>
      <c r="DGW219" s="630"/>
      <c r="DGX219" s="630"/>
      <c r="DGY219" s="630"/>
      <c r="DGZ219" s="630"/>
      <c r="DHA219" s="630"/>
      <c r="DHB219" s="630"/>
      <c r="DHC219" s="630"/>
      <c r="DHD219" s="630"/>
      <c r="DHE219" s="630"/>
      <c r="DHF219" s="630"/>
      <c r="DHG219" s="630"/>
      <c r="DHH219" s="630"/>
      <c r="DHI219" s="630"/>
      <c r="DHJ219" s="630"/>
      <c r="DHK219" s="630"/>
      <c r="DHL219" s="630"/>
      <c r="DHM219" s="630"/>
      <c r="DHN219" s="630"/>
      <c r="DHO219" s="630"/>
      <c r="DHP219" s="630"/>
      <c r="DHQ219" s="630"/>
      <c r="DHR219" s="630"/>
      <c r="DHS219" s="630"/>
      <c r="DHT219" s="630"/>
      <c r="DHU219" s="630"/>
      <c r="DHV219" s="630"/>
      <c r="DHW219" s="630"/>
      <c r="DHX219" s="630"/>
      <c r="DHY219" s="630"/>
      <c r="DHZ219" s="630"/>
      <c r="DIA219" s="630"/>
      <c r="DIB219" s="630"/>
      <c r="DIC219" s="630"/>
      <c r="DID219" s="630"/>
      <c r="DIE219" s="630"/>
      <c r="DIF219" s="630"/>
      <c r="DIG219" s="630"/>
      <c r="DIH219" s="630"/>
      <c r="DII219" s="630"/>
      <c r="DIJ219" s="630"/>
      <c r="DIK219" s="630"/>
      <c r="DIL219" s="630"/>
      <c r="DIM219" s="630"/>
      <c r="DIN219" s="630"/>
      <c r="DIO219" s="630"/>
      <c r="DIP219" s="630"/>
      <c r="DIQ219" s="630"/>
      <c r="DIR219" s="630"/>
      <c r="DIS219" s="630"/>
      <c r="DIT219" s="630"/>
      <c r="DIU219" s="630"/>
      <c r="DIV219" s="630"/>
      <c r="DIW219" s="630"/>
      <c r="DIX219" s="630"/>
      <c r="DIY219" s="630"/>
      <c r="DIZ219" s="630"/>
      <c r="DJA219" s="630"/>
      <c r="DJB219" s="630"/>
      <c r="DJC219" s="630"/>
      <c r="DJD219" s="630"/>
      <c r="DJE219" s="630"/>
      <c r="DJF219" s="630"/>
      <c r="DJG219" s="630"/>
      <c r="DJH219" s="630"/>
      <c r="DJI219" s="630"/>
      <c r="DJJ219" s="630"/>
      <c r="DJK219" s="630"/>
      <c r="DJL219" s="630"/>
      <c r="DJM219" s="630"/>
      <c r="DJN219" s="630"/>
      <c r="DJO219" s="630"/>
      <c r="DJP219" s="630"/>
      <c r="DJQ219" s="630"/>
      <c r="DJR219" s="630"/>
      <c r="DJS219" s="630"/>
      <c r="DJT219" s="630"/>
      <c r="DJU219" s="630"/>
      <c r="DJV219" s="630"/>
      <c r="DJW219" s="630"/>
      <c r="DJX219" s="630"/>
      <c r="DJY219" s="630"/>
      <c r="DJZ219" s="630"/>
      <c r="DKA219" s="630"/>
      <c r="DKB219" s="630"/>
      <c r="DKC219" s="630"/>
      <c r="DKD219" s="630"/>
      <c r="DKE219" s="630"/>
      <c r="DKF219" s="630"/>
      <c r="DKG219" s="630"/>
      <c r="DKH219" s="630"/>
      <c r="DKI219" s="630"/>
      <c r="DKJ219" s="630"/>
      <c r="DKK219" s="630"/>
      <c r="DKL219" s="630"/>
      <c r="DKM219" s="630"/>
      <c r="DKN219" s="630"/>
      <c r="DKO219" s="630"/>
      <c r="DKP219" s="630"/>
      <c r="DKQ219" s="630"/>
      <c r="DKR219" s="630"/>
      <c r="DKS219" s="630"/>
      <c r="DKT219" s="630"/>
      <c r="DKU219" s="630"/>
      <c r="DKV219" s="630"/>
      <c r="DKW219" s="630"/>
      <c r="DKX219" s="630"/>
      <c r="DKY219" s="630"/>
      <c r="DKZ219" s="630"/>
      <c r="DLA219" s="630"/>
      <c r="DLB219" s="630"/>
      <c r="DLC219" s="630"/>
      <c r="DLD219" s="630"/>
      <c r="DLE219" s="630"/>
      <c r="DLF219" s="630"/>
      <c r="DLG219" s="630"/>
      <c r="DLH219" s="630"/>
      <c r="DLI219" s="630"/>
      <c r="DLJ219" s="630"/>
      <c r="DLK219" s="630"/>
      <c r="DLL219" s="630"/>
      <c r="DLM219" s="630"/>
      <c r="DLN219" s="630"/>
      <c r="DLO219" s="630"/>
      <c r="DLP219" s="630"/>
      <c r="DLQ219" s="630"/>
      <c r="DLR219" s="630"/>
      <c r="DLS219" s="630"/>
      <c r="DLT219" s="630"/>
      <c r="DLU219" s="630"/>
      <c r="DLV219" s="630"/>
      <c r="DLW219" s="630"/>
      <c r="DLX219" s="630"/>
      <c r="DLY219" s="630"/>
      <c r="DLZ219" s="630"/>
      <c r="DMA219" s="630"/>
      <c r="DMB219" s="630"/>
      <c r="DMC219" s="630"/>
      <c r="DMD219" s="630"/>
      <c r="DME219" s="630"/>
      <c r="DMF219" s="630"/>
      <c r="DMG219" s="630"/>
      <c r="DMH219" s="630"/>
      <c r="DMI219" s="630"/>
      <c r="DMJ219" s="630"/>
      <c r="DMK219" s="630"/>
      <c r="DML219" s="630"/>
      <c r="DMM219" s="630"/>
      <c r="DMN219" s="630"/>
      <c r="DMO219" s="630"/>
      <c r="DMP219" s="630"/>
      <c r="DMQ219" s="630"/>
      <c r="DMR219" s="630"/>
      <c r="DMS219" s="630"/>
      <c r="DMT219" s="630"/>
      <c r="DMU219" s="630"/>
      <c r="DMV219" s="630"/>
      <c r="DMW219" s="630"/>
      <c r="DMX219" s="630"/>
      <c r="DMY219" s="630"/>
      <c r="DMZ219" s="630"/>
      <c r="DNA219" s="630"/>
      <c r="DNB219" s="630"/>
      <c r="DNC219" s="630"/>
      <c r="DND219" s="630"/>
      <c r="DNE219" s="630"/>
      <c r="DNF219" s="630"/>
      <c r="DNG219" s="630"/>
      <c r="DNH219" s="630"/>
      <c r="DNI219" s="630"/>
      <c r="DNJ219" s="630"/>
      <c r="DNK219" s="630"/>
      <c r="DNL219" s="630"/>
      <c r="DNM219" s="630"/>
      <c r="DNN219" s="630"/>
      <c r="DNO219" s="630"/>
      <c r="DNP219" s="630"/>
      <c r="DNQ219" s="630"/>
      <c r="DNR219" s="630"/>
      <c r="DNS219" s="630"/>
      <c r="DNT219" s="630"/>
      <c r="DNU219" s="630"/>
      <c r="DNV219" s="630"/>
      <c r="DNW219" s="630"/>
      <c r="DNX219" s="630"/>
      <c r="DNY219" s="630"/>
      <c r="DNZ219" s="630"/>
      <c r="DOA219" s="630"/>
      <c r="DOB219" s="630"/>
      <c r="DOC219" s="630"/>
      <c r="DOD219" s="630"/>
      <c r="DOE219" s="630"/>
      <c r="DOF219" s="630"/>
      <c r="DOG219" s="630"/>
      <c r="DOH219" s="630"/>
      <c r="DOI219" s="630"/>
      <c r="DOJ219" s="630"/>
      <c r="DOK219" s="630"/>
      <c r="DOL219" s="630"/>
      <c r="DOM219" s="630"/>
      <c r="DON219" s="630"/>
      <c r="DOO219" s="630"/>
      <c r="DOP219" s="630"/>
      <c r="DOQ219" s="630"/>
      <c r="DOR219" s="630"/>
      <c r="DOS219" s="630"/>
      <c r="DOT219" s="630"/>
      <c r="DOU219" s="630"/>
      <c r="DOV219" s="630"/>
      <c r="DOW219" s="630"/>
      <c r="DOX219" s="630"/>
      <c r="DOY219" s="630"/>
      <c r="DOZ219" s="630"/>
      <c r="DPA219" s="630"/>
      <c r="DPB219" s="630"/>
      <c r="DPC219" s="630"/>
      <c r="DPD219" s="630"/>
      <c r="DPE219" s="630"/>
      <c r="DPF219" s="630"/>
      <c r="DPG219" s="630"/>
      <c r="DPH219" s="630"/>
      <c r="DPI219" s="630"/>
      <c r="DPJ219" s="630"/>
      <c r="DPK219" s="630"/>
      <c r="DPL219" s="630"/>
      <c r="DPM219" s="630"/>
      <c r="DPN219" s="630"/>
      <c r="DPO219" s="630"/>
      <c r="DPP219" s="630"/>
      <c r="DPQ219" s="630"/>
      <c r="DPR219" s="630"/>
      <c r="DPS219" s="630"/>
      <c r="DPT219" s="630"/>
      <c r="DPU219" s="630"/>
      <c r="DPV219" s="630"/>
      <c r="DPW219" s="630"/>
      <c r="DPX219" s="630"/>
      <c r="DPY219" s="630"/>
      <c r="DPZ219" s="630"/>
      <c r="DQA219" s="630"/>
      <c r="DQB219" s="630"/>
      <c r="DQC219" s="630"/>
      <c r="DQD219" s="630"/>
      <c r="DQE219" s="630"/>
      <c r="DQF219" s="630"/>
      <c r="DQG219" s="630"/>
      <c r="DQH219" s="630"/>
      <c r="DQI219" s="630"/>
      <c r="DQJ219" s="630"/>
      <c r="DQK219" s="630"/>
      <c r="DQL219" s="630"/>
      <c r="DQM219" s="630"/>
      <c r="DQN219" s="630"/>
      <c r="DQO219" s="630"/>
      <c r="DQP219" s="630"/>
      <c r="DQQ219" s="630"/>
      <c r="DQR219" s="630"/>
      <c r="DQS219" s="630"/>
      <c r="DQT219" s="630"/>
      <c r="DQU219" s="630"/>
      <c r="DQV219" s="630"/>
      <c r="DQW219" s="630"/>
      <c r="DQX219" s="630"/>
      <c r="DQY219" s="630"/>
      <c r="DQZ219" s="630"/>
      <c r="DRA219" s="630"/>
      <c r="DRB219" s="630"/>
      <c r="DRC219" s="630"/>
      <c r="DRD219" s="630"/>
      <c r="DRE219" s="630"/>
      <c r="DRF219" s="630"/>
      <c r="DRG219" s="630"/>
      <c r="DRH219" s="630"/>
      <c r="DRI219" s="630"/>
      <c r="DRJ219" s="630"/>
      <c r="DRK219" s="630"/>
      <c r="DRL219" s="630"/>
      <c r="DRM219" s="630"/>
      <c r="DRN219" s="630"/>
      <c r="DRO219" s="630"/>
      <c r="DRP219" s="630"/>
      <c r="DRQ219" s="630"/>
      <c r="DRR219" s="630"/>
      <c r="DRS219" s="630"/>
      <c r="DRT219" s="630"/>
      <c r="DRU219" s="630"/>
      <c r="DRV219" s="630"/>
      <c r="DRW219" s="630"/>
      <c r="DRX219" s="630"/>
      <c r="DRY219" s="630"/>
      <c r="DRZ219" s="630"/>
      <c r="DSA219" s="630"/>
      <c r="DSB219" s="630"/>
      <c r="DSC219" s="630"/>
      <c r="DSD219" s="630"/>
      <c r="DSE219" s="630"/>
      <c r="DSF219" s="630"/>
      <c r="DSG219" s="630"/>
      <c r="DSH219" s="630"/>
      <c r="DSI219" s="630"/>
      <c r="DSJ219" s="630"/>
      <c r="DSK219" s="630"/>
      <c r="DSL219" s="630"/>
      <c r="DSM219" s="630"/>
      <c r="DSN219" s="630"/>
      <c r="DSO219" s="630"/>
      <c r="DSP219" s="630"/>
      <c r="DSQ219" s="630"/>
      <c r="DSR219" s="630"/>
      <c r="DSS219" s="630"/>
      <c r="DST219" s="630"/>
      <c r="DSU219" s="630"/>
      <c r="DSV219" s="630"/>
      <c r="DSW219" s="630"/>
      <c r="DSX219" s="630"/>
      <c r="DSY219" s="630"/>
      <c r="DSZ219" s="630"/>
      <c r="DTA219" s="630"/>
      <c r="DTB219" s="630"/>
      <c r="DTC219" s="630"/>
      <c r="DTD219" s="630"/>
      <c r="DTE219" s="630"/>
      <c r="DTF219" s="630"/>
      <c r="DTG219" s="630"/>
      <c r="DTH219" s="630"/>
      <c r="DTI219" s="630"/>
      <c r="DTJ219" s="630"/>
      <c r="DTK219" s="630"/>
      <c r="DTL219" s="630"/>
      <c r="DTM219" s="630"/>
      <c r="DTN219" s="630"/>
      <c r="DTO219" s="630"/>
      <c r="DTP219" s="630"/>
      <c r="DTQ219" s="630"/>
      <c r="DTR219" s="630"/>
      <c r="DTS219" s="630"/>
      <c r="DTT219" s="630"/>
      <c r="DTU219" s="630"/>
      <c r="DTV219" s="630"/>
      <c r="DTW219" s="630"/>
      <c r="DTX219" s="630"/>
      <c r="DTY219" s="630"/>
      <c r="DTZ219" s="630"/>
      <c r="DUA219" s="630"/>
      <c r="DUB219" s="630"/>
      <c r="DUC219" s="630"/>
      <c r="DUD219" s="630"/>
      <c r="DUE219" s="630"/>
      <c r="DUF219" s="630"/>
      <c r="DUG219" s="630"/>
      <c r="DUH219" s="630"/>
      <c r="DUI219" s="630"/>
      <c r="DUJ219" s="630"/>
      <c r="DUK219" s="630"/>
      <c r="DUL219" s="630"/>
      <c r="DUM219" s="630"/>
      <c r="DUN219" s="630"/>
      <c r="DUO219" s="630"/>
      <c r="DUP219" s="630"/>
      <c r="DUQ219" s="630"/>
      <c r="DUR219" s="630"/>
      <c r="DUS219" s="630"/>
      <c r="DUT219" s="630"/>
      <c r="DUU219" s="630"/>
      <c r="DUV219" s="630"/>
      <c r="DUW219" s="630"/>
      <c r="DUX219" s="630"/>
      <c r="DUY219" s="630"/>
      <c r="DUZ219" s="630"/>
      <c r="DVA219" s="630"/>
      <c r="DVB219" s="630"/>
      <c r="DVC219" s="630"/>
      <c r="DVD219" s="630"/>
      <c r="DVE219" s="630"/>
      <c r="DVF219" s="630"/>
      <c r="DVG219" s="630"/>
      <c r="DVH219" s="630"/>
      <c r="DVI219" s="630"/>
      <c r="DVJ219" s="630"/>
      <c r="DVK219" s="630"/>
      <c r="DVL219" s="630"/>
      <c r="DVM219" s="630"/>
      <c r="DVN219" s="630"/>
      <c r="DVO219" s="630"/>
      <c r="DVP219" s="630"/>
      <c r="DVQ219" s="630"/>
      <c r="DVR219" s="630"/>
      <c r="DVS219" s="630"/>
      <c r="DVT219" s="630"/>
      <c r="DVU219" s="630"/>
      <c r="DVV219" s="630"/>
      <c r="DVW219" s="630"/>
      <c r="DVX219" s="630"/>
      <c r="DVY219" s="630"/>
      <c r="DVZ219" s="630"/>
      <c r="DWA219" s="630"/>
      <c r="DWB219" s="630"/>
      <c r="DWC219" s="630"/>
      <c r="DWD219" s="630"/>
      <c r="DWE219" s="630"/>
      <c r="DWF219" s="630"/>
      <c r="DWG219" s="630"/>
      <c r="DWH219" s="630"/>
      <c r="DWI219" s="630"/>
      <c r="DWJ219" s="630"/>
      <c r="DWK219" s="630"/>
      <c r="DWL219" s="630"/>
      <c r="DWM219" s="630"/>
      <c r="DWN219" s="630"/>
      <c r="DWO219" s="630"/>
      <c r="DWP219" s="630"/>
      <c r="DWQ219" s="630"/>
      <c r="DWR219" s="630"/>
      <c r="DWS219" s="630"/>
      <c r="DWT219" s="630"/>
      <c r="DWU219" s="630"/>
      <c r="DWV219" s="630"/>
      <c r="DWW219" s="630"/>
      <c r="DWX219" s="630"/>
      <c r="DWY219" s="630"/>
      <c r="DWZ219" s="630"/>
      <c r="DXA219" s="630"/>
      <c r="DXB219" s="630"/>
      <c r="DXC219" s="630"/>
      <c r="DXD219" s="630"/>
      <c r="DXE219" s="630"/>
      <c r="DXF219" s="630"/>
      <c r="DXG219" s="630"/>
      <c r="DXH219" s="630"/>
      <c r="DXI219" s="630"/>
      <c r="DXJ219" s="630"/>
      <c r="DXK219" s="630"/>
      <c r="DXL219" s="630"/>
      <c r="DXM219" s="630"/>
      <c r="DXN219" s="630"/>
      <c r="DXO219" s="630"/>
      <c r="DXP219" s="630"/>
      <c r="DXQ219" s="630"/>
      <c r="DXR219" s="630"/>
      <c r="DXS219" s="630"/>
      <c r="DXT219" s="630"/>
      <c r="DXU219" s="630"/>
      <c r="DXV219" s="630"/>
      <c r="DXW219" s="630"/>
      <c r="DXX219" s="630"/>
      <c r="DXY219" s="630"/>
      <c r="DXZ219" s="630"/>
      <c r="DYA219" s="630"/>
      <c r="DYB219" s="630"/>
      <c r="DYC219" s="630"/>
      <c r="DYD219" s="630"/>
      <c r="DYE219" s="630"/>
      <c r="DYF219" s="630"/>
      <c r="DYG219" s="630"/>
      <c r="DYH219" s="630"/>
      <c r="DYI219" s="630"/>
      <c r="DYJ219" s="630"/>
      <c r="DYK219" s="630"/>
      <c r="DYL219" s="630"/>
      <c r="DYM219" s="630"/>
      <c r="DYN219" s="630"/>
      <c r="DYO219" s="630"/>
      <c r="DYP219" s="630"/>
      <c r="DYQ219" s="630"/>
      <c r="DYR219" s="630"/>
      <c r="DYS219" s="630"/>
      <c r="DYT219" s="630"/>
      <c r="DYU219" s="630"/>
      <c r="DYV219" s="630"/>
      <c r="DYW219" s="630"/>
      <c r="DYX219" s="630"/>
      <c r="DYY219" s="630"/>
      <c r="DYZ219" s="630"/>
      <c r="DZA219" s="630"/>
      <c r="DZB219" s="630"/>
      <c r="DZC219" s="630"/>
      <c r="DZD219" s="630"/>
      <c r="DZE219" s="630"/>
      <c r="DZF219" s="630"/>
      <c r="DZG219" s="630"/>
      <c r="DZH219" s="630"/>
      <c r="DZI219" s="630"/>
      <c r="DZJ219" s="630"/>
      <c r="DZK219" s="630"/>
      <c r="DZL219" s="630"/>
      <c r="DZM219" s="630"/>
      <c r="DZN219" s="630"/>
      <c r="DZO219" s="630"/>
      <c r="DZP219" s="630"/>
      <c r="DZQ219" s="630"/>
      <c r="DZR219" s="630"/>
      <c r="DZS219" s="630"/>
      <c r="DZT219" s="630"/>
      <c r="DZU219" s="630"/>
      <c r="DZV219" s="630"/>
      <c r="DZW219" s="630"/>
      <c r="DZX219" s="630"/>
      <c r="DZY219" s="630"/>
      <c r="DZZ219" s="630"/>
      <c r="EAA219" s="630"/>
      <c r="EAB219" s="630"/>
      <c r="EAC219" s="630"/>
      <c r="EAD219" s="630"/>
      <c r="EAE219" s="630"/>
      <c r="EAF219" s="630"/>
      <c r="EAG219" s="630"/>
      <c r="EAH219" s="630"/>
      <c r="EAI219" s="630"/>
      <c r="EAJ219" s="630"/>
      <c r="EAK219" s="630"/>
      <c r="EAL219" s="630"/>
      <c r="EAM219" s="630"/>
      <c r="EAN219" s="630"/>
      <c r="EAO219" s="630"/>
      <c r="EAP219" s="630"/>
      <c r="EAQ219" s="630"/>
      <c r="EAR219" s="630"/>
      <c r="EAS219" s="630"/>
      <c r="EAT219" s="630"/>
      <c r="EAU219" s="630"/>
      <c r="EAV219" s="630"/>
      <c r="EAW219" s="630"/>
      <c r="EAX219" s="630"/>
      <c r="EAY219" s="630"/>
      <c r="EAZ219" s="630"/>
      <c r="EBA219" s="630"/>
      <c r="EBB219" s="630"/>
      <c r="EBC219" s="630"/>
      <c r="EBD219" s="630"/>
      <c r="EBE219" s="630"/>
      <c r="EBF219" s="630"/>
      <c r="EBG219" s="630"/>
      <c r="EBH219" s="630"/>
      <c r="EBI219" s="630"/>
      <c r="EBJ219" s="630"/>
      <c r="EBK219" s="630"/>
      <c r="EBL219" s="630"/>
      <c r="EBM219" s="630"/>
      <c r="EBN219" s="630"/>
      <c r="EBO219" s="630"/>
      <c r="EBP219" s="630"/>
      <c r="EBQ219" s="630"/>
      <c r="EBR219" s="630"/>
      <c r="EBS219" s="630"/>
      <c r="EBT219" s="630"/>
      <c r="EBU219" s="630"/>
      <c r="EBV219" s="630"/>
      <c r="EBW219" s="630"/>
      <c r="EBX219" s="630"/>
      <c r="EBY219" s="630"/>
      <c r="EBZ219" s="630"/>
      <c r="ECA219" s="630"/>
      <c r="ECB219" s="630"/>
      <c r="ECC219" s="630"/>
      <c r="ECD219" s="630"/>
      <c r="ECE219" s="630"/>
      <c r="ECF219" s="630"/>
      <c r="ECG219" s="630"/>
      <c r="ECH219" s="630"/>
      <c r="ECI219" s="630"/>
      <c r="ECJ219" s="630"/>
      <c r="ECK219" s="630"/>
      <c r="ECL219" s="630"/>
      <c r="ECM219" s="630"/>
      <c r="ECN219" s="630"/>
      <c r="ECO219" s="630"/>
      <c r="ECP219" s="630"/>
      <c r="ECQ219" s="630"/>
      <c r="ECR219" s="630"/>
      <c r="ECS219" s="630"/>
      <c r="ECT219" s="630"/>
      <c r="ECU219" s="630"/>
      <c r="ECV219" s="630"/>
      <c r="ECW219" s="630"/>
      <c r="ECX219" s="630"/>
      <c r="ECY219" s="630"/>
      <c r="ECZ219" s="630"/>
      <c r="EDA219" s="630"/>
      <c r="EDB219" s="630"/>
      <c r="EDC219" s="630"/>
      <c r="EDD219" s="630"/>
      <c r="EDE219" s="630"/>
      <c r="EDF219" s="630"/>
      <c r="EDG219" s="630"/>
      <c r="EDH219" s="630"/>
      <c r="EDI219" s="630"/>
      <c r="EDJ219" s="630"/>
      <c r="EDK219" s="630"/>
      <c r="EDL219" s="630"/>
      <c r="EDM219" s="630"/>
      <c r="EDN219" s="630"/>
      <c r="EDO219" s="630"/>
      <c r="EDP219" s="630"/>
      <c r="EDQ219" s="630"/>
      <c r="EDR219" s="630"/>
      <c r="EDS219" s="630"/>
      <c r="EDT219" s="630"/>
      <c r="EDU219" s="630"/>
      <c r="EDV219" s="630"/>
      <c r="EDW219" s="630"/>
      <c r="EDX219" s="630"/>
      <c r="EDY219" s="630"/>
      <c r="EDZ219" s="630"/>
      <c r="EEA219" s="630"/>
      <c r="EEB219" s="630"/>
      <c r="EEC219" s="630"/>
      <c r="EED219" s="630"/>
      <c r="EEE219" s="630"/>
      <c r="EEF219" s="630"/>
      <c r="EEG219" s="630"/>
      <c r="EEH219" s="630"/>
      <c r="EEI219" s="630"/>
      <c r="EEJ219" s="630"/>
      <c r="EEK219" s="630"/>
      <c r="EEL219" s="630"/>
      <c r="EEM219" s="630"/>
      <c r="EEN219" s="630"/>
      <c r="EEO219" s="630"/>
      <c r="EEP219" s="630"/>
      <c r="EEQ219" s="630"/>
      <c r="EER219" s="630"/>
      <c r="EES219" s="630"/>
      <c r="EET219" s="630"/>
      <c r="EEU219" s="630"/>
      <c r="EEV219" s="630"/>
      <c r="EEW219" s="630"/>
      <c r="EEX219" s="630"/>
      <c r="EEY219" s="630"/>
      <c r="EEZ219" s="630"/>
      <c r="EFA219" s="630"/>
      <c r="EFB219" s="630"/>
      <c r="EFC219" s="630"/>
      <c r="EFD219" s="630"/>
      <c r="EFE219" s="630"/>
      <c r="EFF219" s="630"/>
      <c r="EFG219" s="630"/>
      <c r="EFH219" s="630"/>
      <c r="EFI219" s="630"/>
      <c r="EFJ219" s="630"/>
      <c r="EFK219" s="630"/>
      <c r="EFL219" s="630"/>
      <c r="EFM219" s="630"/>
      <c r="EFN219" s="630"/>
      <c r="EFO219" s="630"/>
      <c r="EFP219" s="630"/>
      <c r="EFQ219" s="630"/>
      <c r="EFR219" s="630"/>
      <c r="EFS219" s="630"/>
      <c r="EFT219" s="630"/>
      <c r="EFU219" s="630"/>
      <c r="EFV219" s="630"/>
      <c r="EFW219" s="630"/>
      <c r="EFX219" s="630"/>
      <c r="EFY219" s="630"/>
      <c r="EFZ219" s="630"/>
      <c r="EGA219" s="630"/>
      <c r="EGB219" s="630"/>
      <c r="EGC219" s="630"/>
      <c r="EGD219" s="630"/>
      <c r="EGE219" s="630"/>
      <c r="EGF219" s="630"/>
      <c r="EGG219" s="630"/>
      <c r="EGH219" s="630"/>
      <c r="EGI219" s="630"/>
      <c r="EGJ219" s="630"/>
      <c r="EGK219" s="630"/>
      <c r="EGL219" s="630"/>
      <c r="EGM219" s="630"/>
      <c r="EGN219" s="630"/>
      <c r="EGO219" s="630"/>
      <c r="EGP219" s="630"/>
      <c r="EGQ219" s="630"/>
      <c r="EGR219" s="630"/>
      <c r="EGS219" s="630"/>
      <c r="EGT219" s="630"/>
      <c r="EGU219" s="630"/>
      <c r="EGV219" s="630"/>
      <c r="EGW219" s="630"/>
      <c r="EGX219" s="630"/>
      <c r="EGY219" s="630"/>
      <c r="EGZ219" s="630"/>
      <c r="EHA219" s="630"/>
      <c r="EHB219" s="630"/>
      <c r="EHC219" s="630"/>
      <c r="EHD219" s="630"/>
      <c r="EHE219" s="630"/>
      <c r="EHF219" s="630"/>
      <c r="EHG219" s="630"/>
      <c r="EHH219" s="630"/>
      <c r="EHI219" s="630"/>
      <c r="EHJ219" s="630"/>
      <c r="EHK219" s="630"/>
      <c r="EHL219" s="630"/>
      <c r="EHM219" s="630"/>
      <c r="EHN219" s="630"/>
      <c r="EHO219" s="630"/>
      <c r="EHP219" s="630"/>
      <c r="EHQ219" s="630"/>
      <c r="EHR219" s="630"/>
      <c r="EHS219" s="630"/>
      <c r="EHT219" s="630"/>
      <c r="EHU219" s="630"/>
      <c r="EHV219" s="630"/>
      <c r="EHW219" s="630"/>
      <c r="EHX219" s="630"/>
      <c r="EHY219" s="630"/>
      <c r="EHZ219" s="630"/>
      <c r="EIA219" s="630"/>
      <c r="EIB219" s="630"/>
      <c r="EIC219" s="630"/>
      <c r="EID219" s="630"/>
      <c r="EIE219" s="630"/>
      <c r="EIF219" s="630"/>
      <c r="EIG219" s="630"/>
      <c r="EIH219" s="630"/>
      <c r="EII219" s="630"/>
      <c r="EIJ219" s="630"/>
      <c r="EIK219" s="630"/>
      <c r="EIL219" s="630"/>
      <c r="EIM219" s="630"/>
      <c r="EIN219" s="630"/>
      <c r="EIO219" s="630"/>
      <c r="EIP219" s="630"/>
      <c r="EIQ219" s="630"/>
      <c r="EIR219" s="630"/>
      <c r="EIS219" s="630"/>
      <c r="EIT219" s="630"/>
      <c r="EIU219" s="630"/>
      <c r="EIV219" s="630"/>
      <c r="EIW219" s="630"/>
      <c r="EIX219" s="630"/>
      <c r="EIY219" s="630"/>
      <c r="EIZ219" s="630"/>
      <c r="EJA219" s="630"/>
      <c r="EJB219" s="630"/>
      <c r="EJC219" s="630"/>
      <c r="EJD219" s="630"/>
      <c r="EJE219" s="630"/>
      <c r="EJF219" s="630"/>
      <c r="EJG219" s="630"/>
      <c r="EJH219" s="630"/>
      <c r="EJI219" s="630"/>
      <c r="EJJ219" s="630"/>
      <c r="EJK219" s="630"/>
      <c r="EJL219" s="630"/>
      <c r="EJM219" s="630"/>
      <c r="EJN219" s="630"/>
      <c r="EJO219" s="630"/>
      <c r="EJP219" s="630"/>
      <c r="EJQ219" s="630"/>
      <c r="EJR219" s="630"/>
      <c r="EJS219" s="630"/>
      <c r="EJT219" s="630"/>
      <c r="EJU219" s="630"/>
      <c r="EJV219" s="630"/>
      <c r="EJW219" s="630"/>
      <c r="EJX219" s="630"/>
      <c r="EJY219" s="630"/>
      <c r="EJZ219" s="630"/>
      <c r="EKA219" s="630"/>
      <c r="EKB219" s="630"/>
      <c r="EKC219" s="630"/>
      <c r="EKD219" s="630"/>
      <c r="EKE219" s="630"/>
      <c r="EKF219" s="630"/>
      <c r="EKG219" s="630"/>
      <c r="EKH219" s="630"/>
      <c r="EKI219" s="630"/>
      <c r="EKJ219" s="630"/>
      <c r="EKK219" s="630"/>
      <c r="EKL219" s="630"/>
      <c r="EKM219" s="630"/>
      <c r="EKN219" s="630"/>
      <c r="EKO219" s="630"/>
      <c r="EKP219" s="630"/>
      <c r="EKQ219" s="630"/>
      <c r="EKR219" s="630"/>
      <c r="EKS219" s="630"/>
      <c r="EKT219" s="630"/>
      <c r="EKU219" s="630"/>
      <c r="EKV219" s="630"/>
      <c r="EKW219" s="630"/>
      <c r="EKX219" s="630"/>
      <c r="EKY219" s="630"/>
      <c r="EKZ219" s="630"/>
      <c r="ELA219" s="630"/>
      <c r="ELB219" s="630"/>
      <c r="ELC219" s="630"/>
      <c r="ELD219" s="630"/>
      <c r="ELE219" s="630"/>
      <c r="ELF219" s="630"/>
      <c r="ELG219" s="630"/>
      <c r="ELH219" s="630"/>
      <c r="ELI219" s="630"/>
      <c r="ELJ219" s="630"/>
      <c r="ELK219" s="630"/>
      <c r="ELL219" s="630"/>
      <c r="ELM219" s="630"/>
      <c r="ELN219" s="630"/>
      <c r="ELO219" s="630"/>
      <c r="ELP219" s="630"/>
      <c r="ELQ219" s="630"/>
      <c r="ELR219" s="630"/>
      <c r="ELS219" s="630"/>
      <c r="ELT219" s="630"/>
      <c r="ELU219" s="630"/>
      <c r="ELV219" s="630"/>
      <c r="ELW219" s="630"/>
      <c r="ELX219" s="630"/>
      <c r="ELY219" s="630"/>
      <c r="ELZ219" s="630"/>
      <c r="EMA219" s="630"/>
      <c r="EMB219" s="630"/>
      <c r="EMC219" s="630"/>
      <c r="EMD219" s="630"/>
      <c r="EME219" s="630"/>
      <c r="EMF219" s="630"/>
      <c r="EMG219" s="630"/>
      <c r="EMH219" s="630"/>
      <c r="EMI219" s="630"/>
      <c r="EMJ219" s="630"/>
      <c r="EMK219" s="630"/>
      <c r="EML219" s="630"/>
      <c r="EMM219" s="630"/>
      <c r="EMN219" s="630"/>
      <c r="EMO219" s="630"/>
      <c r="EMP219" s="630"/>
      <c r="EMQ219" s="630"/>
      <c r="EMR219" s="630"/>
      <c r="EMS219" s="630"/>
      <c r="EMT219" s="630"/>
      <c r="EMU219" s="630"/>
      <c r="EMV219" s="630"/>
      <c r="EMW219" s="630"/>
      <c r="EMX219" s="630"/>
      <c r="EMY219" s="630"/>
      <c r="EMZ219" s="630"/>
      <c r="ENA219" s="630"/>
      <c r="ENB219" s="630"/>
      <c r="ENC219" s="630"/>
      <c r="END219" s="630"/>
      <c r="ENE219" s="630"/>
      <c r="ENF219" s="630"/>
      <c r="ENG219" s="630"/>
      <c r="ENH219" s="630"/>
      <c r="ENI219" s="630"/>
      <c r="ENJ219" s="630"/>
      <c r="ENK219" s="630"/>
      <c r="ENL219" s="630"/>
      <c r="ENM219" s="630"/>
      <c r="ENN219" s="630"/>
      <c r="ENO219" s="630"/>
      <c r="ENP219" s="630"/>
      <c r="ENQ219" s="630"/>
      <c r="ENR219" s="630"/>
      <c r="ENS219" s="630"/>
      <c r="ENT219" s="630"/>
      <c r="ENU219" s="630"/>
      <c r="ENV219" s="630"/>
      <c r="ENW219" s="630"/>
      <c r="ENX219" s="630"/>
      <c r="ENY219" s="630"/>
      <c r="ENZ219" s="630"/>
      <c r="EOA219" s="630"/>
      <c r="EOB219" s="630"/>
      <c r="EOC219" s="630"/>
      <c r="EOD219" s="630"/>
      <c r="EOE219" s="630"/>
      <c r="EOF219" s="630"/>
      <c r="EOG219" s="630"/>
      <c r="EOH219" s="630"/>
      <c r="EOI219" s="630"/>
      <c r="EOJ219" s="630"/>
      <c r="EOK219" s="630"/>
      <c r="EOL219" s="630"/>
      <c r="EOM219" s="630"/>
      <c r="EON219" s="630"/>
      <c r="EOO219" s="630"/>
      <c r="EOP219" s="630"/>
      <c r="EOQ219" s="630"/>
      <c r="EOR219" s="630"/>
      <c r="EOS219" s="630"/>
      <c r="EOT219" s="630"/>
      <c r="EOU219" s="630"/>
      <c r="EOV219" s="630"/>
      <c r="EOW219" s="630"/>
      <c r="EOX219" s="630"/>
      <c r="EOY219" s="630"/>
      <c r="EOZ219" s="630"/>
      <c r="EPA219" s="630"/>
      <c r="EPB219" s="630"/>
      <c r="EPC219" s="630"/>
      <c r="EPD219" s="630"/>
      <c r="EPE219" s="630"/>
      <c r="EPF219" s="630"/>
      <c r="EPG219" s="630"/>
      <c r="EPH219" s="630"/>
      <c r="EPI219" s="630"/>
      <c r="EPJ219" s="630"/>
      <c r="EPK219" s="630"/>
      <c r="EPL219" s="630"/>
      <c r="EPM219" s="630"/>
      <c r="EPN219" s="630"/>
      <c r="EPO219" s="630"/>
      <c r="EPP219" s="630"/>
      <c r="EPQ219" s="630"/>
      <c r="EPR219" s="630"/>
      <c r="EPS219" s="630"/>
      <c r="EPT219" s="630"/>
      <c r="EPU219" s="630"/>
      <c r="EPV219" s="630"/>
      <c r="EPW219" s="630"/>
      <c r="EPX219" s="630"/>
      <c r="EPY219" s="630"/>
      <c r="EPZ219" s="630"/>
      <c r="EQA219" s="630"/>
      <c r="EQB219" s="630"/>
      <c r="EQC219" s="630"/>
      <c r="EQD219" s="630"/>
      <c r="EQE219" s="630"/>
      <c r="EQF219" s="630"/>
      <c r="EQG219" s="630"/>
      <c r="EQH219" s="630"/>
      <c r="EQI219" s="630"/>
      <c r="EQJ219" s="630"/>
      <c r="EQK219" s="630"/>
      <c r="EQL219" s="630"/>
      <c r="EQM219" s="630"/>
      <c r="EQN219" s="630"/>
      <c r="EQO219" s="630"/>
      <c r="EQP219" s="630"/>
      <c r="EQQ219" s="630"/>
      <c r="EQR219" s="630"/>
      <c r="EQS219" s="630"/>
      <c r="EQT219" s="630"/>
      <c r="EQU219" s="630"/>
      <c r="EQV219" s="630"/>
      <c r="EQW219" s="630"/>
      <c r="EQX219" s="630"/>
      <c r="EQY219" s="630"/>
      <c r="EQZ219" s="630"/>
      <c r="ERA219" s="630"/>
      <c r="ERB219" s="630"/>
      <c r="ERC219" s="630"/>
      <c r="ERD219" s="630"/>
      <c r="ERE219" s="630"/>
      <c r="ERF219" s="630"/>
      <c r="ERG219" s="630"/>
      <c r="ERH219" s="630"/>
      <c r="ERI219" s="630"/>
      <c r="ERJ219" s="630"/>
      <c r="ERK219" s="630"/>
      <c r="ERL219" s="630"/>
      <c r="ERM219" s="630"/>
      <c r="ERN219" s="630"/>
      <c r="ERO219" s="630"/>
      <c r="ERP219" s="630"/>
      <c r="ERQ219" s="630"/>
      <c r="ERR219" s="630"/>
      <c r="ERS219" s="630"/>
      <c r="ERT219" s="630"/>
      <c r="ERU219" s="630"/>
      <c r="ERV219" s="630"/>
      <c r="ERW219" s="630"/>
      <c r="ERX219" s="630"/>
      <c r="ERY219" s="630"/>
      <c r="ERZ219" s="630"/>
      <c r="ESA219" s="630"/>
      <c r="ESB219" s="630"/>
      <c r="ESC219" s="630"/>
      <c r="ESD219" s="630"/>
      <c r="ESE219" s="630"/>
      <c r="ESF219" s="630"/>
      <c r="ESG219" s="630"/>
      <c r="ESH219" s="630"/>
      <c r="ESI219" s="630"/>
      <c r="ESJ219" s="630"/>
      <c r="ESK219" s="630"/>
      <c r="ESL219" s="630"/>
      <c r="ESM219" s="630"/>
      <c r="ESN219" s="630"/>
      <c r="ESO219" s="630"/>
      <c r="ESP219" s="630"/>
      <c r="ESQ219" s="630"/>
      <c r="ESR219" s="630"/>
      <c r="ESS219" s="630"/>
      <c r="EST219" s="630"/>
      <c r="ESU219" s="630"/>
      <c r="ESV219" s="630"/>
      <c r="ESW219" s="630"/>
      <c r="ESX219" s="630"/>
      <c r="ESY219" s="630"/>
      <c r="ESZ219" s="630"/>
      <c r="ETA219" s="630"/>
      <c r="ETB219" s="630"/>
      <c r="ETC219" s="630"/>
      <c r="ETD219" s="630"/>
      <c r="ETE219" s="630"/>
      <c r="ETF219" s="630"/>
      <c r="ETG219" s="630"/>
      <c r="ETH219" s="630"/>
      <c r="ETI219" s="630"/>
      <c r="ETJ219" s="630"/>
      <c r="ETK219" s="630"/>
      <c r="ETL219" s="630"/>
      <c r="ETM219" s="630"/>
      <c r="ETN219" s="630"/>
      <c r="ETO219" s="630"/>
      <c r="ETP219" s="630"/>
      <c r="ETQ219" s="630"/>
      <c r="ETR219" s="630"/>
      <c r="ETS219" s="630"/>
      <c r="ETT219" s="630"/>
      <c r="ETU219" s="630"/>
      <c r="ETV219" s="630"/>
      <c r="ETW219" s="630"/>
      <c r="ETX219" s="630"/>
      <c r="ETY219" s="630"/>
      <c r="ETZ219" s="630"/>
      <c r="EUA219" s="630"/>
      <c r="EUB219" s="630"/>
      <c r="EUC219" s="630"/>
      <c r="EUD219" s="630"/>
      <c r="EUE219" s="630"/>
      <c r="EUF219" s="630"/>
      <c r="EUG219" s="630"/>
      <c r="EUH219" s="630"/>
      <c r="EUI219" s="630"/>
      <c r="EUJ219" s="630"/>
      <c r="EUK219" s="630"/>
      <c r="EUL219" s="630"/>
      <c r="EUM219" s="630"/>
      <c r="EUN219" s="630"/>
      <c r="EUO219" s="630"/>
      <c r="EUP219" s="630"/>
      <c r="EUQ219" s="630"/>
      <c r="EUR219" s="630"/>
      <c r="EUS219" s="630"/>
      <c r="EUT219" s="630"/>
      <c r="EUU219" s="630"/>
      <c r="EUV219" s="630"/>
      <c r="EUW219" s="630"/>
      <c r="EUX219" s="630"/>
      <c r="EUY219" s="630"/>
      <c r="EUZ219" s="630"/>
      <c r="EVA219" s="630"/>
      <c r="EVB219" s="630"/>
      <c r="EVC219" s="630"/>
      <c r="EVD219" s="630"/>
      <c r="EVE219" s="630"/>
      <c r="EVF219" s="630"/>
      <c r="EVG219" s="630"/>
      <c r="EVH219" s="630"/>
      <c r="EVI219" s="630"/>
      <c r="EVJ219" s="630"/>
      <c r="EVK219" s="630"/>
      <c r="EVL219" s="630"/>
      <c r="EVM219" s="630"/>
      <c r="EVN219" s="630"/>
      <c r="EVO219" s="630"/>
      <c r="EVP219" s="630"/>
      <c r="EVQ219" s="630"/>
      <c r="EVR219" s="630"/>
      <c r="EVS219" s="630"/>
      <c r="EVT219" s="630"/>
      <c r="EVU219" s="630"/>
      <c r="EVV219" s="630"/>
      <c r="EVW219" s="630"/>
      <c r="EVX219" s="630"/>
      <c r="EVY219" s="630"/>
      <c r="EVZ219" s="630"/>
      <c r="EWA219" s="630"/>
      <c r="EWB219" s="630"/>
      <c r="EWC219" s="630"/>
      <c r="EWD219" s="630"/>
      <c r="EWE219" s="630"/>
      <c r="EWF219" s="630"/>
      <c r="EWG219" s="630"/>
      <c r="EWH219" s="630"/>
      <c r="EWI219" s="630"/>
      <c r="EWJ219" s="630"/>
      <c r="EWK219" s="630"/>
      <c r="EWL219" s="630"/>
      <c r="EWM219" s="630"/>
      <c r="EWN219" s="630"/>
      <c r="EWO219" s="630"/>
      <c r="EWP219" s="630"/>
      <c r="EWQ219" s="630"/>
      <c r="EWR219" s="630"/>
      <c r="EWS219" s="630"/>
      <c r="EWT219" s="630"/>
      <c r="EWU219" s="630"/>
      <c r="EWV219" s="630"/>
      <c r="EWW219" s="630"/>
      <c r="EWX219" s="630"/>
      <c r="EWY219" s="630"/>
      <c r="EWZ219" s="630"/>
      <c r="EXA219" s="630"/>
      <c r="EXB219" s="630"/>
      <c r="EXC219" s="630"/>
      <c r="EXD219" s="630"/>
      <c r="EXE219" s="630"/>
      <c r="EXF219" s="630"/>
      <c r="EXG219" s="630"/>
      <c r="EXH219" s="630"/>
      <c r="EXI219" s="630"/>
      <c r="EXJ219" s="630"/>
      <c r="EXK219" s="630"/>
      <c r="EXL219" s="630"/>
      <c r="EXM219" s="630"/>
      <c r="EXN219" s="630"/>
      <c r="EXO219" s="630"/>
      <c r="EXP219" s="630"/>
      <c r="EXQ219" s="630"/>
      <c r="EXR219" s="630"/>
      <c r="EXS219" s="630"/>
      <c r="EXT219" s="630"/>
      <c r="EXU219" s="630"/>
      <c r="EXV219" s="630"/>
      <c r="EXW219" s="630"/>
      <c r="EXX219" s="630"/>
      <c r="EXY219" s="630"/>
      <c r="EXZ219" s="630"/>
      <c r="EYA219" s="630"/>
      <c r="EYB219" s="630"/>
      <c r="EYC219" s="630"/>
      <c r="EYD219" s="630"/>
      <c r="EYE219" s="630"/>
      <c r="EYF219" s="630"/>
      <c r="EYG219" s="630"/>
      <c r="EYH219" s="630"/>
      <c r="EYI219" s="630"/>
      <c r="EYJ219" s="630"/>
      <c r="EYK219" s="630"/>
      <c r="EYL219" s="630"/>
      <c r="EYM219" s="630"/>
      <c r="EYN219" s="630"/>
      <c r="EYO219" s="630"/>
      <c r="EYP219" s="630"/>
      <c r="EYQ219" s="630"/>
      <c r="EYR219" s="630"/>
      <c r="EYS219" s="630"/>
      <c r="EYT219" s="630"/>
      <c r="EYU219" s="630"/>
      <c r="EYV219" s="630"/>
      <c r="EYW219" s="630"/>
      <c r="EYX219" s="630"/>
      <c r="EYY219" s="630"/>
      <c r="EYZ219" s="630"/>
      <c r="EZA219" s="630"/>
      <c r="EZB219" s="630"/>
      <c r="EZC219" s="630"/>
      <c r="EZD219" s="630"/>
      <c r="EZE219" s="630"/>
      <c r="EZF219" s="630"/>
      <c r="EZG219" s="630"/>
      <c r="EZH219" s="630"/>
      <c r="EZI219" s="630"/>
      <c r="EZJ219" s="630"/>
      <c r="EZK219" s="630"/>
      <c r="EZL219" s="630"/>
      <c r="EZM219" s="630"/>
      <c r="EZN219" s="630"/>
      <c r="EZO219" s="630"/>
      <c r="EZP219" s="630"/>
      <c r="EZQ219" s="630"/>
      <c r="EZR219" s="630"/>
      <c r="EZS219" s="630"/>
      <c r="EZT219" s="630"/>
      <c r="EZU219" s="630"/>
      <c r="EZV219" s="630"/>
      <c r="EZW219" s="630"/>
      <c r="EZX219" s="630"/>
      <c r="EZY219" s="630"/>
      <c r="EZZ219" s="630"/>
      <c r="FAA219" s="630"/>
      <c r="FAB219" s="630"/>
      <c r="FAC219" s="630"/>
      <c r="FAD219" s="630"/>
      <c r="FAE219" s="630"/>
      <c r="FAF219" s="630"/>
      <c r="FAG219" s="630"/>
      <c r="FAH219" s="630"/>
      <c r="FAI219" s="630"/>
      <c r="FAJ219" s="630"/>
      <c r="FAK219" s="630"/>
      <c r="FAL219" s="630"/>
      <c r="FAM219" s="630"/>
      <c r="FAN219" s="630"/>
      <c r="FAO219" s="630"/>
      <c r="FAP219" s="630"/>
      <c r="FAQ219" s="630"/>
      <c r="FAR219" s="630"/>
      <c r="FAS219" s="630"/>
      <c r="FAT219" s="630"/>
      <c r="FAU219" s="630"/>
      <c r="FAV219" s="630"/>
      <c r="FAW219" s="630"/>
      <c r="FAX219" s="630"/>
      <c r="FAY219" s="630"/>
      <c r="FAZ219" s="630"/>
      <c r="FBA219" s="630"/>
      <c r="FBB219" s="630"/>
      <c r="FBC219" s="630"/>
      <c r="FBD219" s="630"/>
      <c r="FBE219" s="630"/>
      <c r="FBF219" s="630"/>
      <c r="FBG219" s="630"/>
      <c r="FBH219" s="630"/>
      <c r="FBI219" s="630"/>
      <c r="FBJ219" s="630"/>
      <c r="FBK219" s="630"/>
      <c r="FBL219" s="630"/>
      <c r="FBM219" s="630"/>
      <c r="FBN219" s="630"/>
      <c r="FBO219" s="630"/>
      <c r="FBP219" s="630"/>
      <c r="FBQ219" s="630"/>
      <c r="FBR219" s="630"/>
      <c r="FBS219" s="630"/>
      <c r="FBT219" s="630"/>
      <c r="FBU219" s="630"/>
      <c r="FBV219" s="630"/>
      <c r="FBW219" s="630"/>
      <c r="FBX219" s="630"/>
      <c r="FBY219" s="630"/>
      <c r="FBZ219" s="630"/>
      <c r="FCA219" s="630"/>
      <c r="FCB219" s="630"/>
      <c r="FCC219" s="630"/>
      <c r="FCD219" s="630"/>
      <c r="FCE219" s="630"/>
      <c r="FCF219" s="630"/>
      <c r="FCG219" s="630"/>
      <c r="FCH219" s="630"/>
      <c r="FCI219" s="630"/>
      <c r="FCJ219" s="630"/>
      <c r="FCK219" s="630"/>
      <c r="FCL219" s="630"/>
      <c r="FCM219" s="630"/>
      <c r="FCN219" s="630"/>
      <c r="FCO219" s="630"/>
      <c r="FCP219" s="630"/>
      <c r="FCQ219" s="630"/>
      <c r="FCR219" s="630"/>
      <c r="FCS219" s="630"/>
      <c r="FCT219" s="630"/>
      <c r="FCU219" s="630"/>
      <c r="FCV219" s="630"/>
      <c r="FCW219" s="630"/>
      <c r="FCX219" s="630"/>
      <c r="FCY219" s="630"/>
      <c r="FCZ219" s="630"/>
      <c r="FDA219" s="630"/>
      <c r="FDB219" s="630"/>
      <c r="FDC219" s="630"/>
      <c r="FDD219" s="630"/>
      <c r="FDE219" s="630"/>
      <c r="FDF219" s="630"/>
      <c r="FDG219" s="630"/>
      <c r="FDH219" s="630"/>
      <c r="FDI219" s="630"/>
      <c r="FDJ219" s="630"/>
      <c r="FDK219" s="630"/>
      <c r="FDL219" s="630"/>
      <c r="FDM219" s="630"/>
      <c r="FDN219" s="630"/>
      <c r="FDO219" s="630"/>
      <c r="FDP219" s="630"/>
      <c r="FDQ219" s="630"/>
      <c r="FDR219" s="630"/>
      <c r="FDS219" s="630"/>
      <c r="FDT219" s="630"/>
      <c r="FDU219" s="630"/>
      <c r="FDV219" s="630"/>
      <c r="FDW219" s="630"/>
      <c r="FDX219" s="630"/>
      <c r="FDY219" s="630"/>
      <c r="FDZ219" s="630"/>
      <c r="FEA219" s="630"/>
      <c r="FEB219" s="630"/>
      <c r="FEC219" s="630"/>
      <c r="FED219" s="630"/>
      <c r="FEE219" s="630"/>
      <c r="FEF219" s="630"/>
      <c r="FEG219" s="630"/>
      <c r="FEH219" s="630"/>
      <c r="FEI219" s="630"/>
      <c r="FEJ219" s="630"/>
      <c r="FEK219" s="630"/>
      <c r="FEL219" s="630"/>
      <c r="FEM219" s="630"/>
      <c r="FEN219" s="630"/>
      <c r="FEO219" s="630"/>
      <c r="FEP219" s="630"/>
      <c r="FEQ219" s="630"/>
      <c r="FER219" s="630"/>
      <c r="FES219" s="630"/>
      <c r="FET219" s="630"/>
      <c r="FEU219" s="630"/>
      <c r="FEV219" s="630"/>
      <c r="FEW219" s="630"/>
      <c r="FEX219" s="630"/>
      <c r="FEY219" s="630"/>
      <c r="FEZ219" s="630"/>
      <c r="FFA219" s="630"/>
      <c r="FFB219" s="630"/>
      <c r="FFC219" s="630"/>
      <c r="FFD219" s="630"/>
      <c r="FFE219" s="630"/>
      <c r="FFF219" s="630"/>
      <c r="FFG219" s="630"/>
      <c r="FFH219" s="630"/>
      <c r="FFI219" s="630"/>
      <c r="FFJ219" s="630"/>
      <c r="FFK219" s="630"/>
      <c r="FFL219" s="630"/>
      <c r="FFM219" s="630"/>
      <c r="FFN219" s="630"/>
      <c r="FFO219" s="630"/>
      <c r="FFP219" s="630"/>
      <c r="FFQ219" s="630"/>
      <c r="FFR219" s="630"/>
      <c r="FFS219" s="630"/>
      <c r="FFT219" s="630"/>
      <c r="FFU219" s="630"/>
      <c r="FFV219" s="630"/>
      <c r="FFW219" s="630"/>
      <c r="FFX219" s="630"/>
      <c r="FFY219" s="630"/>
      <c r="FFZ219" s="630"/>
      <c r="FGA219" s="630"/>
      <c r="FGB219" s="630"/>
      <c r="FGC219" s="630"/>
      <c r="FGD219" s="630"/>
      <c r="FGE219" s="630"/>
      <c r="FGF219" s="630"/>
      <c r="FGG219" s="630"/>
      <c r="FGH219" s="630"/>
      <c r="FGI219" s="630"/>
      <c r="FGJ219" s="630"/>
      <c r="FGK219" s="630"/>
      <c r="FGL219" s="630"/>
      <c r="FGM219" s="630"/>
      <c r="FGN219" s="630"/>
      <c r="FGO219" s="630"/>
      <c r="FGP219" s="630"/>
      <c r="FGQ219" s="630"/>
      <c r="FGR219" s="630"/>
      <c r="FGS219" s="630"/>
      <c r="FGT219" s="630"/>
      <c r="FGU219" s="630"/>
      <c r="FGV219" s="630"/>
      <c r="FGW219" s="630"/>
      <c r="FGX219" s="630"/>
      <c r="FGY219" s="630"/>
      <c r="FGZ219" s="630"/>
      <c r="FHA219" s="630"/>
      <c r="FHB219" s="630"/>
      <c r="FHC219" s="630"/>
      <c r="FHD219" s="630"/>
      <c r="FHE219" s="630"/>
      <c r="FHF219" s="630"/>
      <c r="FHG219" s="630"/>
      <c r="FHH219" s="630"/>
      <c r="FHI219" s="630"/>
      <c r="FHJ219" s="630"/>
      <c r="FHK219" s="630"/>
      <c r="FHL219" s="630"/>
      <c r="FHM219" s="630"/>
      <c r="FHN219" s="630"/>
      <c r="FHO219" s="630"/>
      <c r="FHP219" s="630"/>
      <c r="FHQ219" s="630"/>
      <c r="FHR219" s="630"/>
      <c r="FHS219" s="630"/>
      <c r="FHT219" s="630"/>
      <c r="FHU219" s="630"/>
      <c r="FHV219" s="630"/>
      <c r="FHW219" s="630"/>
      <c r="FHX219" s="630"/>
      <c r="FHY219" s="630"/>
      <c r="FHZ219" s="630"/>
      <c r="FIA219" s="630"/>
      <c r="FIB219" s="630"/>
      <c r="FIC219" s="630"/>
      <c r="FID219" s="630"/>
      <c r="FIE219" s="630"/>
      <c r="FIF219" s="630"/>
      <c r="FIG219" s="630"/>
      <c r="FIH219" s="630"/>
      <c r="FII219" s="630"/>
      <c r="FIJ219" s="630"/>
      <c r="FIK219" s="630"/>
      <c r="FIL219" s="630"/>
      <c r="FIM219" s="630"/>
      <c r="FIN219" s="630"/>
      <c r="FIO219" s="630"/>
      <c r="FIP219" s="630"/>
      <c r="FIQ219" s="630"/>
      <c r="FIR219" s="630"/>
      <c r="FIS219" s="630"/>
      <c r="FIT219" s="630"/>
      <c r="FIU219" s="630"/>
      <c r="FIV219" s="630"/>
      <c r="FIW219" s="630"/>
      <c r="FIX219" s="630"/>
      <c r="FIY219" s="630"/>
      <c r="FIZ219" s="630"/>
      <c r="FJA219" s="630"/>
      <c r="FJB219" s="630"/>
      <c r="FJC219" s="630"/>
      <c r="FJD219" s="630"/>
      <c r="FJE219" s="630"/>
      <c r="FJF219" s="630"/>
      <c r="FJG219" s="630"/>
      <c r="FJH219" s="630"/>
      <c r="FJI219" s="630"/>
      <c r="FJJ219" s="630"/>
      <c r="FJK219" s="630"/>
      <c r="FJL219" s="630"/>
      <c r="FJM219" s="630"/>
      <c r="FJN219" s="630"/>
      <c r="FJO219" s="630"/>
      <c r="FJP219" s="630"/>
      <c r="FJQ219" s="630"/>
      <c r="FJR219" s="630"/>
      <c r="FJS219" s="630"/>
      <c r="FJT219" s="630"/>
      <c r="FJU219" s="630"/>
      <c r="FJV219" s="630"/>
      <c r="FJW219" s="630"/>
      <c r="FJX219" s="630"/>
      <c r="FJY219" s="630"/>
      <c r="FJZ219" s="630"/>
      <c r="FKA219" s="630"/>
      <c r="FKB219" s="630"/>
      <c r="FKC219" s="630"/>
      <c r="FKD219" s="630"/>
      <c r="FKE219" s="630"/>
      <c r="FKF219" s="630"/>
      <c r="FKG219" s="630"/>
      <c r="FKH219" s="630"/>
      <c r="FKI219" s="630"/>
      <c r="FKJ219" s="630"/>
      <c r="FKK219" s="630"/>
      <c r="FKL219" s="630"/>
      <c r="FKM219" s="630"/>
      <c r="FKN219" s="630"/>
      <c r="FKO219" s="630"/>
      <c r="FKP219" s="630"/>
      <c r="FKQ219" s="630"/>
      <c r="FKR219" s="630"/>
      <c r="FKS219" s="630"/>
      <c r="FKT219" s="630"/>
      <c r="FKU219" s="630"/>
      <c r="FKV219" s="630"/>
      <c r="FKW219" s="630"/>
      <c r="FKX219" s="630"/>
      <c r="FKY219" s="630"/>
      <c r="FKZ219" s="630"/>
      <c r="FLA219" s="630"/>
      <c r="FLB219" s="630"/>
      <c r="FLC219" s="630"/>
      <c r="FLD219" s="630"/>
      <c r="FLE219" s="630"/>
      <c r="FLF219" s="630"/>
      <c r="FLG219" s="630"/>
      <c r="FLH219" s="630"/>
      <c r="FLI219" s="630"/>
      <c r="FLJ219" s="630"/>
      <c r="FLK219" s="630"/>
      <c r="FLL219" s="630"/>
      <c r="FLM219" s="630"/>
      <c r="FLN219" s="630"/>
      <c r="FLO219" s="630"/>
      <c r="FLP219" s="630"/>
      <c r="FLQ219" s="630"/>
      <c r="FLR219" s="630"/>
      <c r="FLS219" s="630"/>
      <c r="FLT219" s="630"/>
      <c r="FLU219" s="630"/>
      <c r="FLV219" s="630"/>
      <c r="FLW219" s="630"/>
      <c r="FLX219" s="630"/>
      <c r="FLY219" s="630"/>
      <c r="FLZ219" s="630"/>
      <c r="FMA219" s="630"/>
      <c r="FMB219" s="630"/>
      <c r="FMC219" s="630"/>
      <c r="FMD219" s="630"/>
      <c r="FME219" s="630"/>
      <c r="FMF219" s="630"/>
      <c r="FMG219" s="630"/>
      <c r="FMH219" s="630"/>
      <c r="FMI219" s="630"/>
      <c r="FMJ219" s="630"/>
      <c r="FMK219" s="630"/>
      <c r="FML219" s="630"/>
      <c r="FMM219" s="630"/>
      <c r="FMN219" s="630"/>
      <c r="FMO219" s="630"/>
      <c r="FMP219" s="630"/>
      <c r="FMQ219" s="630"/>
      <c r="FMR219" s="630"/>
      <c r="FMS219" s="630"/>
      <c r="FMT219" s="630"/>
      <c r="FMU219" s="630"/>
      <c r="FMV219" s="630"/>
      <c r="FMW219" s="630"/>
      <c r="FMX219" s="630"/>
      <c r="FMY219" s="630"/>
      <c r="FMZ219" s="630"/>
      <c r="FNA219" s="630"/>
      <c r="FNB219" s="630"/>
      <c r="FNC219" s="630"/>
      <c r="FND219" s="630"/>
      <c r="FNE219" s="630"/>
      <c r="FNF219" s="630"/>
      <c r="FNG219" s="630"/>
      <c r="FNH219" s="630"/>
      <c r="FNI219" s="630"/>
      <c r="FNJ219" s="630"/>
      <c r="FNK219" s="630"/>
      <c r="FNL219" s="630"/>
      <c r="FNM219" s="630"/>
      <c r="FNN219" s="630"/>
      <c r="FNO219" s="630"/>
      <c r="FNP219" s="630"/>
      <c r="FNQ219" s="630"/>
      <c r="FNR219" s="630"/>
      <c r="FNS219" s="630"/>
      <c r="FNT219" s="630"/>
      <c r="FNU219" s="630"/>
      <c r="FNV219" s="630"/>
      <c r="FNW219" s="630"/>
      <c r="FNX219" s="630"/>
      <c r="FNY219" s="630"/>
      <c r="FNZ219" s="630"/>
      <c r="FOA219" s="630"/>
      <c r="FOB219" s="630"/>
      <c r="FOC219" s="630"/>
      <c r="FOD219" s="630"/>
      <c r="FOE219" s="630"/>
      <c r="FOF219" s="630"/>
      <c r="FOG219" s="630"/>
      <c r="FOH219" s="630"/>
      <c r="FOI219" s="630"/>
      <c r="FOJ219" s="630"/>
      <c r="FOK219" s="630"/>
      <c r="FOL219" s="630"/>
      <c r="FOM219" s="630"/>
      <c r="FON219" s="630"/>
      <c r="FOO219" s="630"/>
      <c r="FOP219" s="630"/>
      <c r="FOQ219" s="630"/>
      <c r="FOR219" s="630"/>
      <c r="FOS219" s="630"/>
      <c r="FOT219" s="630"/>
      <c r="FOU219" s="630"/>
      <c r="FOV219" s="630"/>
      <c r="FOW219" s="630"/>
      <c r="FOX219" s="630"/>
      <c r="FOY219" s="630"/>
      <c r="FOZ219" s="630"/>
      <c r="FPA219" s="630"/>
      <c r="FPB219" s="630"/>
      <c r="FPC219" s="630"/>
      <c r="FPD219" s="630"/>
      <c r="FPE219" s="630"/>
      <c r="FPF219" s="630"/>
      <c r="FPG219" s="630"/>
      <c r="FPH219" s="630"/>
      <c r="FPI219" s="630"/>
      <c r="FPJ219" s="630"/>
      <c r="FPK219" s="630"/>
      <c r="FPL219" s="630"/>
      <c r="FPM219" s="630"/>
      <c r="FPN219" s="630"/>
      <c r="FPO219" s="630"/>
      <c r="FPP219" s="630"/>
      <c r="FPQ219" s="630"/>
      <c r="FPR219" s="630"/>
      <c r="FPS219" s="630"/>
      <c r="FPT219" s="630"/>
      <c r="FPU219" s="630"/>
      <c r="FPV219" s="630"/>
      <c r="FPW219" s="630"/>
      <c r="FPX219" s="630"/>
      <c r="FPY219" s="630"/>
      <c r="FPZ219" s="630"/>
      <c r="FQA219" s="630"/>
      <c r="FQB219" s="630"/>
      <c r="FQC219" s="630"/>
      <c r="FQD219" s="630"/>
      <c r="FQE219" s="630"/>
      <c r="FQF219" s="630"/>
      <c r="FQG219" s="630"/>
      <c r="FQH219" s="630"/>
      <c r="FQI219" s="630"/>
      <c r="FQJ219" s="630"/>
      <c r="FQK219" s="630"/>
      <c r="FQL219" s="630"/>
      <c r="FQM219" s="630"/>
      <c r="FQN219" s="630"/>
      <c r="FQO219" s="630"/>
      <c r="FQP219" s="630"/>
      <c r="FQQ219" s="630"/>
      <c r="FQR219" s="630"/>
      <c r="FQS219" s="630"/>
      <c r="FQT219" s="630"/>
      <c r="FQU219" s="630"/>
      <c r="FQV219" s="630"/>
      <c r="FQW219" s="630"/>
      <c r="FQX219" s="630"/>
      <c r="FQY219" s="630"/>
      <c r="FQZ219" s="630"/>
      <c r="FRA219" s="630"/>
      <c r="FRB219" s="630"/>
      <c r="FRC219" s="630"/>
      <c r="FRD219" s="630"/>
      <c r="FRE219" s="630"/>
      <c r="FRF219" s="630"/>
      <c r="FRG219" s="630"/>
      <c r="FRH219" s="630"/>
      <c r="FRI219" s="630"/>
      <c r="FRJ219" s="630"/>
      <c r="FRK219" s="630"/>
      <c r="FRL219" s="630"/>
      <c r="FRM219" s="630"/>
      <c r="FRN219" s="630"/>
      <c r="FRO219" s="630"/>
      <c r="FRP219" s="630"/>
      <c r="FRQ219" s="630"/>
      <c r="FRR219" s="630"/>
      <c r="FRS219" s="630"/>
      <c r="FRT219" s="630"/>
      <c r="FRU219" s="630"/>
      <c r="FRV219" s="630"/>
      <c r="FRW219" s="630"/>
      <c r="FRX219" s="630"/>
      <c r="FRY219" s="630"/>
      <c r="FRZ219" s="630"/>
      <c r="FSA219" s="630"/>
      <c r="FSB219" s="630"/>
      <c r="FSC219" s="630"/>
      <c r="FSD219" s="630"/>
      <c r="FSE219" s="630"/>
      <c r="FSF219" s="630"/>
      <c r="FSG219" s="630"/>
      <c r="FSH219" s="630"/>
      <c r="FSI219" s="630"/>
      <c r="FSJ219" s="630"/>
      <c r="FSK219" s="630"/>
      <c r="FSL219" s="630"/>
      <c r="FSM219" s="630"/>
      <c r="FSN219" s="630"/>
      <c r="FSO219" s="630"/>
      <c r="FSP219" s="630"/>
      <c r="FSQ219" s="630"/>
      <c r="FSR219" s="630"/>
      <c r="FSS219" s="630"/>
      <c r="FST219" s="630"/>
      <c r="FSU219" s="630"/>
      <c r="FSV219" s="630"/>
      <c r="FSW219" s="630"/>
      <c r="FSX219" s="630"/>
      <c r="FSY219" s="630"/>
      <c r="FSZ219" s="630"/>
      <c r="FTA219" s="630"/>
      <c r="FTB219" s="630"/>
      <c r="FTC219" s="630"/>
      <c r="FTD219" s="630"/>
      <c r="FTE219" s="630"/>
      <c r="FTF219" s="630"/>
      <c r="FTG219" s="630"/>
      <c r="FTH219" s="630"/>
      <c r="FTI219" s="630"/>
      <c r="FTJ219" s="630"/>
      <c r="FTK219" s="630"/>
      <c r="FTL219" s="630"/>
      <c r="FTM219" s="630"/>
      <c r="FTN219" s="630"/>
      <c r="FTO219" s="630"/>
      <c r="FTP219" s="630"/>
      <c r="FTQ219" s="630"/>
      <c r="FTR219" s="630"/>
      <c r="FTS219" s="630"/>
      <c r="FTT219" s="630"/>
      <c r="FTU219" s="630"/>
      <c r="FTV219" s="630"/>
      <c r="FTW219" s="630"/>
      <c r="FTX219" s="630"/>
      <c r="FTY219" s="630"/>
      <c r="FTZ219" s="630"/>
      <c r="FUA219" s="630"/>
      <c r="FUB219" s="630"/>
      <c r="FUC219" s="630"/>
      <c r="FUD219" s="630"/>
      <c r="FUE219" s="630"/>
      <c r="FUF219" s="630"/>
      <c r="FUG219" s="630"/>
      <c r="FUH219" s="630"/>
      <c r="FUI219" s="630"/>
      <c r="FUJ219" s="630"/>
      <c r="FUK219" s="630"/>
      <c r="FUL219" s="630"/>
      <c r="FUM219" s="630"/>
      <c r="FUN219" s="630"/>
      <c r="FUO219" s="630"/>
      <c r="FUP219" s="630"/>
      <c r="FUQ219" s="630"/>
      <c r="FUR219" s="630"/>
      <c r="FUS219" s="630"/>
      <c r="FUT219" s="630"/>
      <c r="FUU219" s="630"/>
      <c r="FUV219" s="630"/>
      <c r="FUW219" s="630"/>
      <c r="FUX219" s="630"/>
      <c r="FUY219" s="630"/>
      <c r="FUZ219" s="630"/>
      <c r="FVA219" s="630"/>
      <c r="FVB219" s="630"/>
      <c r="FVC219" s="630"/>
      <c r="FVD219" s="630"/>
      <c r="FVE219" s="630"/>
      <c r="FVF219" s="630"/>
      <c r="FVG219" s="630"/>
      <c r="FVH219" s="630"/>
      <c r="FVI219" s="630"/>
      <c r="FVJ219" s="630"/>
      <c r="FVK219" s="630"/>
      <c r="FVL219" s="630"/>
      <c r="FVM219" s="630"/>
      <c r="FVN219" s="630"/>
      <c r="FVO219" s="630"/>
      <c r="FVP219" s="630"/>
      <c r="FVQ219" s="630"/>
      <c r="FVR219" s="630"/>
      <c r="FVS219" s="630"/>
      <c r="FVT219" s="630"/>
      <c r="FVU219" s="630"/>
      <c r="FVV219" s="630"/>
      <c r="FVW219" s="630"/>
      <c r="FVX219" s="630"/>
      <c r="FVY219" s="630"/>
      <c r="FVZ219" s="630"/>
      <c r="FWA219" s="630"/>
      <c r="FWB219" s="630"/>
      <c r="FWC219" s="630"/>
      <c r="FWD219" s="630"/>
      <c r="FWE219" s="630"/>
      <c r="FWF219" s="630"/>
      <c r="FWG219" s="630"/>
      <c r="FWH219" s="630"/>
      <c r="FWI219" s="630"/>
      <c r="FWJ219" s="630"/>
      <c r="FWK219" s="630"/>
      <c r="FWL219" s="630"/>
      <c r="FWM219" s="630"/>
      <c r="FWN219" s="630"/>
      <c r="FWO219" s="630"/>
      <c r="FWP219" s="630"/>
      <c r="FWQ219" s="630"/>
      <c r="FWR219" s="630"/>
      <c r="FWS219" s="630"/>
      <c r="FWT219" s="630"/>
      <c r="FWU219" s="630"/>
      <c r="FWV219" s="630"/>
      <c r="FWW219" s="630"/>
      <c r="FWX219" s="630"/>
      <c r="FWY219" s="630"/>
      <c r="FWZ219" s="630"/>
      <c r="FXA219" s="630"/>
      <c r="FXB219" s="630"/>
      <c r="FXC219" s="630"/>
      <c r="FXD219" s="630"/>
      <c r="FXE219" s="630"/>
      <c r="FXF219" s="630"/>
      <c r="FXG219" s="630"/>
      <c r="FXH219" s="630"/>
      <c r="FXI219" s="630"/>
      <c r="FXJ219" s="630"/>
      <c r="FXK219" s="630"/>
      <c r="FXL219" s="630"/>
      <c r="FXM219" s="630"/>
      <c r="FXN219" s="630"/>
      <c r="FXO219" s="630"/>
      <c r="FXP219" s="630"/>
      <c r="FXQ219" s="630"/>
      <c r="FXR219" s="630"/>
      <c r="FXS219" s="630"/>
      <c r="FXT219" s="630"/>
      <c r="FXU219" s="630"/>
      <c r="FXV219" s="630"/>
      <c r="FXW219" s="630"/>
      <c r="FXX219" s="630"/>
      <c r="FXY219" s="630"/>
      <c r="FXZ219" s="630"/>
      <c r="FYA219" s="630"/>
      <c r="FYB219" s="630"/>
      <c r="FYC219" s="630"/>
      <c r="FYD219" s="630"/>
      <c r="FYE219" s="630"/>
      <c r="FYF219" s="630"/>
      <c r="FYG219" s="630"/>
      <c r="FYH219" s="630"/>
      <c r="FYI219" s="630"/>
      <c r="FYJ219" s="630"/>
      <c r="FYK219" s="630"/>
      <c r="FYL219" s="630"/>
      <c r="FYM219" s="630"/>
      <c r="FYN219" s="630"/>
      <c r="FYO219" s="630"/>
      <c r="FYP219" s="630"/>
      <c r="FYQ219" s="630"/>
      <c r="FYR219" s="630"/>
      <c r="FYS219" s="630"/>
      <c r="FYT219" s="630"/>
      <c r="FYU219" s="630"/>
      <c r="FYV219" s="630"/>
      <c r="FYW219" s="630"/>
      <c r="FYX219" s="630"/>
      <c r="FYY219" s="630"/>
      <c r="FYZ219" s="630"/>
      <c r="FZA219" s="630"/>
      <c r="FZB219" s="630"/>
      <c r="FZC219" s="630"/>
      <c r="FZD219" s="630"/>
      <c r="FZE219" s="630"/>
      <c r="FZF219" s="630"/>
      <c r="FZG219" s="630"/>
      <c r="FZH219" s="630"/>
      <c r="FZI219" s="630"/>
      <c r="FZJ219" s="630"/>
      <c r="FZK219" s="630"/>
      <c r="FZL219" s="630"/>
      <c r="FZM219" s="630"/>
      <c r="FZN219" s="630"/>
      <c r="FZO219" s="630"/>
      <c r="FZP219" s="630"/>
      <c r="FZQ219" s="630"/>
      <c r="FZR219" s="630"/>
      <c r="FZS219" s="630"/>
      <c r="FZT219" s="630"/>
      <c r="FZU219" s="630"/>
      <c r="FZV219" s="630"/>
      <c r="FZW219" s="630"/>
      <c r="FZX219" s="630"/>
      <c r="FZY219" s="630"/>
      <c r="FZZ219" s="630"/>
      <c r="GAA219" s="630"/>
      <c r="GAB219" s="630"/>
      <c r="GAC219" s="630"/>
      <c r="GAD219" s="630"/>
      <c r="GAE219" s="630"/>
      <c r="GAF219" s="630"/>
      <c r="GAG219" s="630"/>
      <c r="GAH219" s="630"/>
      <c r="GAI219" s="630"/>
      <c r="GAJ219" s="630"/>
      <c r="GAK219" s="630"/>
      <c r="GAL219" s="630"/>
      <c r="GAM219" s="630"/>
      <c r="GAN219" s="630"/>
      <c r="GAO219" s="630"/>
      <c r="GAP219" s="630"/>
      <c r="GAQ219" s="630"/>
      <c r="GAR219" s="630"/>
      <c r="GAS219" s="630"/>
      <c r="GAT219" s="630"/>
      <c r="GAU219" s="630"/>
      <c r="GAV219" s="630"/>
      <c r="GAW219" s="630"/>
      <c r="GAX219" s="630"/>
      <c r="GAY219" s="630"/>
      <c r="GAZ219" s="630"/>
      <c r="GBA219" s="630"/>
      <c r="GBB219" s="630"/>
      <c r="GBC219" s="630"/>
      <c r="GBD219" s="630"/>
      <c r="GBE219" s="630"/>
      <c r="GBF219" s="630"/>
      <c r="GBG219" s="630"/>
      <c r="GBH219" s="630"/>
      <c r="GBI219" s="630"/>
      <c r="GBJ219" s="630"/>
      <c r="GBK219" s="630"/>
      <c r="GBL219" s="630"/>
      <c r="GBM219" s="630"/>
      <c r="GBN219" s="630"/>
      <c r="GBO219" s="630"/>
      <c r="GBP219" s="630"/>
      <c r="GBQ219" s="630"/>
      <c r="GBR219" s="630"/>
      <c r="GBS219" s="630"/>
      <c r="GBT219" s="630"/>
      <c r="GBU219" s="630"/>
      <c r="GBV219" s="630"/>
      <c r="GBW219" s="630"/>
      <c r="GBX219" s="630"/>
      <c r="GBY219" s="630"/>
      <c r="GBZ219" s="630"/>
      <c r="GCA219" s="630"/>
      <c r="GCB219" s="630"/>
      <c r="GCC219" s="630"/>
      <c r="GCD219" s="630"/>
      <c r="GCE219" s="630"/>
      <c r="GCF219" s="630"/>
      <c r="GCG219" s="630"/>
      <c r="GCH219" s="630"/>
      <c r="GCI219" s="630"/>
      <c r="GCJ219" s="630"/>
      <c r="GCK219" s="630"/>
      <c r="GCL219" s="630"/>
      <c r="GCM219" s="630"/>
      <c r="GCN219" s="630"/>
      <c r="GCO219" s="630"/>
      <c r="GCP219" s="630"/>
      <c r="GCQ219" s="630"/>
      <c r="GCR219" s="630"/>
      <c r="GCS219" s="630"/>
      <c r="GCT219" s="630"/>
      <c r="GCU219" s="630"/>
      <c r="GCV219" s="630"/>
      <c r="GCW219" s="630"/>
      <c r="GCX219" s="630"/>
      <c r="GCY219" s="630"/>
      <c r="GCZ219" s="630"/>
      <c r="GDA219" s="630"/>
      <c r="GDB219" s="630"/>
      <c r="GDC219" s="630"/>
      <c r="GDD219" s="630"/>
      <c r="GDE219" s="630"/>
      <c r="GDF219" s="630"/>
      <c r="GDG219" s="630"/>
      <c r="GDH219" s="630"/>
      <c r="GDI219" s="630"/>
      <c r="GDJ219" s="630"/>
      <c r="GDK219" s="630"/>
      <c r="GDL219" s="630"/>
      <c r="GDM219" s="630"/>
      <c r="GDN219" s="630"/>
      <c r="GDO219" s="630"/>
      <c r="GDP219" s="630"/>
      <c r="GDQ219" s="630"/>
      <c r="GDR219" s="630"/>
      <c r="GDS219" s="630"/>
      <c r="GDT219" s="630"/>
      <c r="GDU219" s="630"/>
      <c r="GDV219" s="630"/>
      <c r="GDW219" s="630"/>
      <c r="GDX219" s="630"/>
      <c r="GDY219" s="630"/>
      <c r="GDZ219" s="630"/>
      <c r="GEA219" s="630"/>
      <c r="GEB219" s="630"/>
      <c r="GEC219" s="630"/>
      <c r="GED219" s="630"/>
      <c r="GEE219" s="630"/>
      <c r="GEF219" s="630"/>
      <c r="GEG219" s="630"/>
      <c r="GEH219" s="630"/>
      <c r="GEI219" s="630"/>
      <c r="GEJ219" s="630"/>
      <c r="GEK219" s="630"/>
      <c r="GEL219" s="630"/>
      <c r="GEM219" s="630"/>
      <c r="GEN219" s="630"/>
      <c r="GEO219" s="630"/>
      <c r="GEP219" s="630"/>
      <c r="GEQ219" s="630"/>
      <c r="GER219" s="630"/>
      <c r="GES219" s="630"/>
      <c r="GET219" s="630"/>
      <c r="GEU219" s="630"/>
      <c r="GEV219" s="630"/>
      <c r="GEW219" s="630"/>
      <c r="GEX219" s="630"/>
      <c r="GEY219" s="630"/>
      <c r="GEZ219" s="630"/>
      <c r="GFA219" s="630"/>
      <c r="GFB219" s="630"/>
      <c r="GFC219" s="630"/>
      <c r="GFD219" s="630"/>
      <c r="GFE219" s="630"/>
      <c r="GFF219" s="630"/>
      <c r="GFG219" s="630"/>
      <c r="GFH219" s="630"/>
      <c r="GFI219" s="630"/>
      <c r="GFJ219" s="630"/>
      <c r="GFK219" s="630"/>
      <c r="GFL219" s="630"/>
      <c r="GFM219" s="630"/>
      <c r="GFN219" s="630"/>
      <c r="GFO219" s="630"/>
      <c r="GFP219" s="630"/>
      <c r="GFQ219" s="630"/>
      <c r="GFR219" s="630"/>
      <c r="GFS219" s="630"/>
      <c r="GFT219" s="630"/>
      <c r="GFU219" s="630"/>
      <c r="GFV219" s="630"/>
      <c r="GFW219" s="630"/>
      <c r="GFX219" s="630"/>
      <c r="GFY219" s="630"/>
      <c r="GFZ219" s="630"/>
      <c r="GGA219" s="630"/>
      <c r="GGB219" s="630"/>
      <c r="GGC219" s="630"/>
      <c r="GGD219" s="630"/>
      <c r="GGE219" s="630"/>
      <c r="GGF219" s="630"/>
      <c r="GGG219" s="630"/>
      <c r="GGH219" s="630"/>
      <c r="GGI219" s="630"/>
      <c r="GGJ219" s="630"/>
      <c r="GGK219" s="630"/>
      <c r="GGL219" s="630"/>
      <c r="GGM219" s="630"/>
      <c r="GGN219" s="630"/>
      <c r="GGO219" s="630"/>
      <c r="GGP219" s="630"/>
      <c r="GGQ219" s="630"/>
      <c r="GGR219" s="630"/>
      <c r="GGS219" s="630"/>
      <c r="GGT219" s="630"/>
      <c r="GGU219" s="630"/>
      <c r="GGV219" s="630"/>
      <c r="GGW219" s="630"/>
      <c r="GGX219" s="630"/>
      <c r="GGY219" s="630"/>
      <c r="GGZ219" s="630"/>
      <c r="GHA219" s="630"/>
      <c r="GHB219" s="630"/>
      <c r="GHC219" s="630"/>
      <c r="GHD219" s="630"/>
      <c r="GHE219" s="630"/>
      <c r="GHF219" s="630"/>
      <c r="GHG219" s="630"/>
      <c r="GHH219" s="630"/>
      <c r="GHI219" s="630"/>
      <c r="GHJ219" s="630"/>
      <c r="GHK219" s="630"/>
      <c r="GHL219" s="630"/>
      <c r="GHM219" s="630"/>
      <c r="GHN219" s="630"/>
      <c r="GHO219" s="630"/>
      <c r="GHP219" s="630"/>
      <c r="GHQ219" s="630"/>
      <c r="GHR219" s="630"/>
      <c r="GHS219" s="630"/>
      <c r="GHT219" s="630"/>
      <c r="GHU219" s="630"/>
      <c r="GHV219" s="630"/>
      <c r="GHW219" s="630"/>
      <c r="GHX219" s="630"/>
      <c r="GHY219" s="630"/>
      <c r="GHZ219" s="630"/>
      <c r="GIA219" s="630"/>
      <c r="GIB219" s="630"/>
      <c r="GIC219" s="630"/>
      <c r="GID219" s="630"/>
      <c r="GIE219" s="630"/>
      <c r="GIF219" s="630"/>
      <c r="GIG219" s="630"/>
      <c r="GIH219" s="630"/>
      <c r="GII219" s="630"/>
      <c r="GIJ219" s="630"/>
      <c r="GIK219" s="630"/>
      <c r="GIL219" s="630"/>
      <c r="GIM219" s="630"/>
      <c r="GIN219" s="630"/>
      <c r="GIO219" s="630"/>
      <c r="GIP219" s="630"/>
      <c r="GIQ219" s="630"/>
      <c r="GIR219" s="630"/>
      <c r="GIS219" s="630"/>
      <c r="GIT219" s="630"/>
      <c r="GIU219" s="630"/>
      <c r="GIV219" s="630"/>
      <c r="GIW219" s="630"/>
      <c r="GIX219" s="630"/>
      <c r="GIY219" s="630"/>
      <c r="GIZ219" s="630"/>
      <c r="GJA219" s="630"/>
      <c r="GJB219" s="630"/>
      <c r="GJC219" s="630"/>
      <c r="GJD219" s="630"/>
      <c r="GJE219" s="630"/>
      <c r="GJF219" s="630"/>
      <c r="GJG219" s="630"/>
      <c r="GJH219" s="630"/>
      <c r="GJI219" s="630"/>
      <c r="GJJ219" s="630"/>
      <c r="GJK219" s="630"/>
      <c r="GJL219" s="630"/>
      <c r="GJM219" s="630"/>
      <c r="GJN219" s="630"/>
      <c r="GJO219" s="630"/>
      <c r="GJP219" s="630"/>
      <c r="GJQ219" s="630"/>
      <c r="GJR219" s="630"/>
      <c r="GJS219" s="630"/>
      <c r="GJT219" s="630"/>
      <c r="GJU219" s="630"/>
      <c r="GJV219" s="630"/>
      <c r="GJW219" s="630"/>
      <c r="GJX219" s="630"/>
      <c r="GJY219" s="630"/>
      <c r="GJZ219" s="630"/>
      <c r="GKA219" s="630"/>
      <c r="GKB219" s="630"/>
      <c r="GKC219" s="630"/>
      <c r="GKD219" s="630"/>
      <c r="GKE219" s="630"/>
      <c r="GKF219" s="630"/>
      <c r="GKG219" s="630"/>
      <c r="GKH219" s="630"/>
      <c r="GKI219" s="630"/>
      <c r="GKJ219" s="630"/>
      <c r="GKK219" s="630"/>
      <c r="GKL219" s="630"/>
      <c r="GKM219" s="630"/>
      <c r="GKN219" s="630"/>
      <c r="GKO219" s="630"/>
      <c r="GKP219" s="630"/>
      <c r="GKQ219" s="630"/>
      <c r="GKR219" s="630"/>
      <c r="GKS219" s="630"/>
      <c r="GKT219" s="630"/>
      <c r="GKU219" s="630"/>
      <c r="GKV219" s="630"/>
      <c r="GKW219" s="630"/>
      <c r="GKX219" s="630"/>
      <c r="GKY219" s="630"/>
      <c r="GKZ219" s="630"/>
      <c r="GLA219" s="630"/>
      <c r="GLB219" s="630"/>
      <c r="GLC219" s="630"/>
      <c r="GLD219" s="630"/>
      <c r="GLE219" s="630"/>
      <c r="GLF219" s="630"/>
      <c r="GLG219" s="630"/>
      <c r="GLH219" s="630"/>
      <c r="GLI219" s="630"/>
      <c r="GLJ219" s="630"/>
      <c r="GLK219" s="630"/>
      <c r="GLL219" s="630"/>
      <c r="GLM219" s="630"/>
      <c r="GLN219" s="630"/>
      <c r="GLO219" s="630"/>
      <c r="GLP219" s="630"/>
      <c r="GLQ219" s="630"/>
      <c r="GLR219" s="630"/>
      <c r="GLS219" s="630"/>
      <c r="GLT219" s="630"/>
      <c r="GLU219" s="630"/>
      <c r="GLV219" s="630"/>
      <c r="GLW219" s="630"/>
      <c r="GLX219" s="630"/>
      <c r="GLY219" s="630"/>
      <c r="GLZ219" s="630"/>
      <c r="GMA219" s="630"/>
      <c r="GMB219" s="630"/>
      <c r="GMC219" s="630"/>
      <c r="GMD219" s="630"/>
      <c r="GME219" s="630"/>
      <c r="GMF219" s="630"/>
      <c r="GMG219" s="630"/>
      <c r="GMH219" s="630"/>
      <c r="GMI219" s="630"/>
      <c r="GMJ219" s="630"/>
      <c r="GMK219" s="630"/>
      <c r="GML219" s="630"/>
      <c r="GMM219" s="630"/>
      <c r="GMN219" s="630"/>
      <c r="GMO219" s="630"/>
      <c r="GMP219" s="630"/>
      <c r="GMQ219" s="630"/>
      <c r="GMR219" s="630"/>
      <c r="GMS219" s="630"/>
      <c r="GMT219" s="630"/>
      <c r="GMU219" s="630"/>
      <c r="GMV219" s="630"/>
      <c r="GMW219" s="630"/>
      <c r="GMX219" s="630"/>
      <c r="GMY219" s="630"/>
      <c r="GMZ219" s="630"/>
      <c r="GNA219" s="630"/>
      <c r="GNB219" s="630"/>
      <c r="GNC219" s="630"/>
      <c r="GND219" s="630"/>
      <c r="GNE219" s="630"/>
      <c r="GNF219" s="630"/>
      <c r="GNG219" s="630"/>
      <c r="GNH219" s="630"/>
      <c r="GNI219" s="630"/>
      <c r="GNJ219" s="630"/>
      <c r="GNK219" s="630"/>
      <c r="GNL219" s="630"/>
      <c r="GNM219" s="630"/>
      <c r="GNN219" s="630"/>
      <c r="GNO219" s="630"/>
      <c r="GNP219" s="630"/>
      <c r="GNQ219" s="630"/>
      <c r="GNR219" s="630"/>
      <c r="GNS219" s="630"/>
      <c r="GNT219" s="630"/>
      <c r="GNU219" s="630"/>
      <c r="GNV219" s="630"/>
      <c r="GNW219" s="630"/>
      <c r="GNX219" s="630"/>
      <c r="GNY219" s="630"/>
      <c r="GNZ219" s="630"/>
      <c r="GOA219" s="630"/>
      <c r="GOB219" s="630"/>
      <c r="GOC219" s="630"/>
      <c r="GOD219" s="630"/>
      <c r="GOE219" s="630"/>
      <c r="GOF219" s="630"/>
      <c r="GOG219" s="630"/>
      <c r="GOH219" s="630"/>
      <c r="GOI219" s="630"/>
      <c r="GOJ219" s="630"/>
      <c r="GOK219" s="630"/>
      <c r="GOL219" s="630"/>
      <c r="GOM219" s="630"/>
      <c r="GON219" s="630"/>
      <c r="GOO219" s="630"/>
      <c r="GOP219" s="630"/>
      <c r="GOQ219" s="630"/>
      <c r="GOR219" s="630"/>
      <c r="GOS219" s="630"/>
      <c r="GOT219" s="630"/>
      <c r="GOU219" s="630"/>
      <c r="GOV219" s="630"/>
      <c r="GOW219" s="630"/>
      <c r="GOX219" s="630"/>
      <c r="GOY219" s="630"/>
      <c r="GOZ219" s="630"/>
      <c r="GPA219" s="630"/>
      <c r="GPB219" s="630"/>
      <c r="GPC219" s="630"/>
      <c r="GPD219" s="630"/>
      <c r="GPE219" s="630"/>
      <c r="GPF219" s="630"/>
      <c r="GPG219" s="630"/>
      <c r="GPH219" s="630"/>
      <c r="GPI219" s="630"/>
      <c r="GPJ219" s="630"/>
      <c r="GPK219" s="630"/>
      <c r="GPL219" s="630"/>
      <c r="GPM219" s="630"/>
      <c r="GPN219" s="630"/>
      <c r="GPO219" s="630"/>
      <c r="GPP219" s="630"/>
      <c r="GPQ219" s="630"/>
      <c r="GPR219" s="630"/>
      <c r="GPS219" s="630"/>
      <c r="GPT219" s="630"/>
      <c r="GPU219" s="630"/>
      <c r="GPV219" s="630"/>
      <c r="GPW219" s="630"/>
      <c r="GPX219" s="630"/>
      <c r="GPY219" s="630"/>
      <c r="GPZ219" s="630"/>
      <c r="GQA219" s="630"/>
      <c r="GQB219" s="630"/>
      <c r="GQC219" s="630"/>
      <c r="GQD219" s="630"/>
      <c r="GQE219" s="630"/>
      <c r="GQF219" s="630"/>
      <c r="GQG219" s="630"/>
      <c r="GQH219" s="630"/>
      <c r="GQI219" s="630"/>
      <c r="GQJ219" s="630"/>
      <c r="GQK219" s="630"/>
      <c r="GQL219" s="630"/>
      <c r="GQM219" s="630"/>
      <c r="GQN219" s="630"/>
      <c r="GQO219" s="630"/>
      <c r="GQP219" s="630"/>
      <c r="GQQ219" s="630"/>
      <c r="GQR219" s="630"/>
      <c r="GQS219" s="630"/>
      <c r="GQT219" s="630"/>
      <c r="GQU219" s="630"/>
      <c r="GQV219" s="630"/>
      <c r="GQW219" s="630"/>
      <c r="GQX219" s="630"/>
      <c r="GQY219" s="630"/>
      <c r="GQZ219" s="630"/>
      <c r="GRA219" s="630"/>
      <c r="GRB219" s="630"/>
      <c r="GRC219" s="630"/>
      <c r="GRD219" s="630"/>
      <c r="GRE219" s="630"/>
      <c r="GRF219" s="630"/>
      <c r="GRG219" s="630"/>
      <c r="GRH219" s="630"/>
      <c r="GRI219" s="630"/>
      <c r="GRJ219" s="630"/>
      <c r="GRK219" s="630"/>
      <c r="GRL219" s="630"/>
      <c r="GRM219" s="630"/>
      <c r="GRN219" s="630"/>
      <c r="GRO219" s="630"/>
      <c r="GRP219" s="630"/>
      <c r="GRQ219" s="630"/>
      <c r="GRR219" s="630"/>
      <c r="GRS219" s="630"/>
      <c r="GRT219" s="630"/>
      <c r="GRU219" s="630"/>
      <c r="GRV219" s="630"/>
      <c r="GRW219" s="630"/>
      <c r="GRX219" s="630"/>
      <c r="GRY219" s="630"/>
      <c r="GRZ219" s="630"/>
      <c r="GSA219" s="630"/>
      <c r="GSB219" s="630"/>
      <c r="GSC219" s="630"/>
      <c r="GSD219" s="630"/>
      <c r="GSE219" s="630"/>
      <c r="GSF219" s="630"/>
      <c r="GSG219" s="630"/>
      <c r="GSH219" s="630"/>
      <c r="GSI219" s="630"/>
      <c r="GSJ219" s="630"/>
      <c r="GSK219" s="630"/>
      <c r="GSL219" s="630"/>
      <c r="GSM219" s="630"/>
      <c r="GSN219" s="630"/>
      <c r="GSO219" s="630"/>
      <c r="GSP219" s="630"/>
      <c r="GSQ219" s="630"/>
      <c r="GSR219" s="630"/>
      <c r="GSS219" s="630"/>
      <c r="GST219" s="630"/>
      <c r="GSU219" s="630"/>
      <c r="GSV219" s="630"/>
      <c r="GSW219" s="630"/>
      <c r="GSX219" s="630"/>
      <c r="GSY219" s="630"/>
      <c r="GSZ219" s="630"/>
      <c r="GTA219" s="630"/>
      <c r="GTB219" s="630"/>
      <c r="GTC219" s="630"/>
      <c r="GTD219" s="630"/>
      <c r="GTE219" s="630"/>
      <c r="GTF219" s="630"/>
      <c r="GTG219" s="630"/>
      <c r="GTH219" s="630"/>
      <c r="GTI219" s="630"/>
      <c r="GTJ219" s="630"/>
      <c r="GTK219" s="630"/>
      <c r="GTL219" s="630"/>
      <c r="GTM219" s="630"/>
      <c r="GTN219" s="630"/>
      <c r="GTO219" s="630"/>
      <c r="GTP219" s="630"/>
      <c r="GTQ219" s="630"/>
      <c r="GTR219" s="630"/>
      <c r="GTS219" s="630"/>
      <c r="GTT219" s="630"/>
      <c r="GTU219" s="630"/>
      <c r="GTV219" s="630"/>
      <c r="GTW219" s="630"/>
      <c r="GTX219" s="630"/>
      <c r="GTY219" s="630"/>
      <c r="GTZ219" s="630"/>
      <c r="GUA219" s="630"/>
      <c r="GUB219" s="630"/>
      <c r="GUC219" s="630"/>
      <c r="GUD219" s="630"/>
      <c r="GUE219" s="630"/>
      <c r="GUF219" s="630"/>
      <c r="GUG219" s="630"/>
      <c r="GUH219" s="630"/>
      <c r="GUI219" s="630"/>
      <c r="GUJ219" s="630"/>
      <c r="GUK219" s="630"/>
      <c r="GUL219" s="630"/>
      <c r="GUM219" s="630"/>
      <c r="GUN219" s="630"/>
      <c r="GUO219" s="630"/>
      <c r="GUP219" s="630"/>
      <c r="GUQ219" s="630"/>
      <c r="GUR219" s="630"/>
      <c r="GUS219" s="630"/>
      <c r="GUT219" s="630"/>
      <c r="GUU219" s="630"/>
      <c r="GUV219" s="630"/>
      <c r="GUW219" s="630"/>
      <c r="GUX219" s="630"/>
      <c r="GUY219" s="630"/>
      <c r="GUZ219" s="630"/>
      <c r="GVA219" s="630"/>
      <c r="GVB219" s="630"/>
      <c r="GVC219" s="630"/>
      <c r="GVD219" s="630"/>
      <c r="GVE219" s="630"/>
      <c r="GVF219" s="630"/>
      <c r="GVG219" s="630"/>
      <c r="GVH219" s="630"/>
      <c r="GVI219" s="630"/>
      <c r="GVJ219" s="630"/>
      <c r="GVK219" s="630"/>
      <c r="GVL219" s="630"/>
      <c r="GVM219" s="630"/>
      <c r="GVN219" s="630"/>
      <c r="GVO219" s="630"/>
      <c r="GVP219" s="630"/>
      <c r="GVQ219" s="630"/>
      <c r="GVR219" s="630"/>
      <c r="GVS219" s="630"/>
      <c r="GVT219" s="630"/>
      <c r="GVU219" s="630"/>
      <c r="GVV219" s="630"/>
      <c r="GVW219" s="630"/>
      <c r="GVX219" s="630"/>
      <c r="GVY219" s="630"/>
      <c r="GVZ219" s="630"/>
      <c r="GWA219" s="630"/>
      <c r="GWB219" s="630"/>
      <c r="GWC219" s="630"/>
      <c r="GWD219" s="630"/>
      <c r="GWE219" s="630"/>
      <c r="GWF219" s="630"/>
      <c r="GWG219" s="630"/>
      <c r="GWH219" s="630"/>
      <c r="GWI219" s="630"/>
      <c r="GWJ219" s="630"/>
      <c r="GWK219" s="630"/>
      <c r="GWL219" s="630"/>
      <c r="GWM219" s="630"/>
      <c r="GWN219" s="630"/>
      <c r="GWO219" s="630"/>
      <c r="GWP219" s="630"/>
      <c r="GWQ219" s="630"/>
      <c r="GWR219" s="630"/>
      <c r="GWS219" s="630"/>
      <c r="GWT219" s="630"/>
      <c r="GWU219" s="630"/>
      <c r="GWV219" s="630"/>
      <c r="GWW219" s="630"/>
      <c r="GWX219" s="630"/>
      <c r="GWY219" s="630"/>
      <c r="GWZ219" s="630"/>
      <c r="GXA219" s="630"/>
      <c r="GXB219" s="630"/>
      <c r="GXC219" s="630"/>
      <c r="GXD219" s="630"/>
      <c r="GXE219" s="630"/>
      <c r="GXF219" s="630"/>
      <c r="GXG219" s="630"/>
      <c r="GXH219" s="630"/>
      <c r="GXI219" s="630"/>
      <c r="GXJ219" s="630"/>
      <c r="GXK219" s="630"/>
      <c r="GXL219" s="630"/>
      <c r="GXM219" s="630"/>
      <c r="GXN219" s="630"/>
      <c r="GXO219" s="630"/>
      <c r="GXP219" s="630"/>
      <c r="GXQ219" s="630"/>
      <c r="GXR219" s="630"/>
      <c r="GXS219" s="630"/>
      <c r="GXT219" s="630"/>
      <c r="GXU219" s="630"/>
      <c r="GXV219" s="630"/>
      <c r="GXW219" s="630"/>
      <c r="GXX219" s="630"/>
      <c r="GXY219" s="630"/>
      <c r="GXZ219" s="630"/>
      <c r="GYA219" s="630"/>
      <c r="GYB219" s="630"/>
      <c r="GYC219" s="630"/>
      <c r="GYD219" s="630"/>
      <c r="GYE219" s="630"/>
      <c r="GYF219" s="630"/>
      <c r="GYG219" s="630"/>
      <c r="GYH219" s="630"/>
      <c r="GYI219" s="630"/>
      <c r="GYJ219" s="630"/>
      <c r="GYK219" s="630"/>
      <c r="GYL219" s="630"/>
      <c r="GYM219" s="630"/>
      <c r="GYN219" s="630"/>
      <c r="GYO219" s="630"/>
      <c r="GYP219" s="630"/>
      <c r="GYQ219" s="630"/>
      <c r="GYR219" s="630"/>
      <c r="GYS219" s="630"/>
      <c r="GYT219" s="630"/>
      <c r="GYU219" s="630"/>
      <c r="GYV219" s="630"/>
      <c r="GYW219" s="630"/>
      <c r="GYX219" s="630"/>
      <c r="GYY219" s="630"/>
      <c r="GYZ219" s="630"/>
      <c r="GZA219" s="630"/>
      <c r="GZB219" s="630"/>
      <c r="GZC219" s="630"/>
      <c r="GZD219" s="630"/>
      <c r="GZE219" s="630"/>
      <c r="GZF219" s="630"/>
      <c r="GZG219" s="630"/>
      <c r="GZH219" s="630"/>
      <c r="GZI219" s="630"/>
      <c r="GZJ219" s="630"/>
      <c r="GZK219" s="630"/>
      <c r="GZL219" s="630"/>
      <c r="GZM219" s="630"/>
      <c r="GZN219" s="630"/>
      <c r="GZO219" s="630"/>
      <c r="GZP219" s="630"/>
      <c r="GZQ219" s="630"/>
      <c r="GZR219" s="630"/>
      <c r="GZS219" s="630"/>
      <c r="GZT219" s="630"/>
      <c r="GZU219" s="630"/>
      <c r="GZV219" s="630"/>
      <c r="GZW219" s="630"/>
      <c r="GZX219" s="630"/>
      <c r="GZY219" s="630"/>
      <c r="GZZ219" s="630"/>
      <c r="HAA219" s="630"/>
      <c r="HAB219" s="630"/>
      <c r="HAC219" s="630"/>
      <c r="HAD219" s="630"/>
      <c r="HAE219" s="630"/>
      <c r="HAF219" s="630"/>
      <c r="HAG219" s="630"/>
      <c r="HAH219" s="630"/>
      <c r="HAI219" s="630"/>
      <c r="HAJ219" s="630"/>
      <c r="HAK219" s="630"/>
      <c r="HAL219" s="630"/>
      <c r="HAM219" s="630"/>
      <c r="HAN219" s="630"/>
      <c r="HAO219" s="630"/>
      <c r="HAP219" s="630"/>
      <c r="HAQ219" s="630"/>
      <c r="HAR219" s="630"/>
      <c r="HAS219" s="630"/>
      <c r="HAT219" s="630"/>
      <c r="HAU219" s="630"/>
      <c r="HAV219" s="630"/>
      <c r="HAW219" s="630"/>
      <c r="HAX219" s="630"/>
      <c r="HAY219" s="630"/>
      <c r="HAZ219" s="630"/>
      <c r="HBA219" s="630"/>
      <c r="HBB219" s="630"/>
      <c r="HBC219" s="630"/>
      <c r="HBD219" s="630"/>
      <c r="HBE219" s="630"/>
      <c r="HBF219" s="630"/>
      <c r="HBG219" s="630"/>
      <c r="HBH219" s="630"/>
      <c r="HBI219" s="630"/>
      <c r="HBJ219" s="630"/>
      <c r="HBK219" s="630"/>
      <c r="HBL219" s="630"/>
      <c r="HBM219" s="630"/>
      <c r="HBN219" s="630"/>
      <c r="HBO219" s="630"/>
      <c r="HBP219" s="630"/>
      <c r="HBQ219" s="630"/>
      <c r="HBR219" s="630"/>
      <c r="HBS219" s="630"/>
      <c r="HBT219" s="630"/>
      <c r="HBU219" s="630"/>
      <c r="HBV219" s="630"/>
      <c r="HBW219" s="630"/>
      <c r="HBX219" s="630"/>
      <c r="HBY219" s="630"/>
      <c r="HBZ219" s="630"/>
      <c r="HCA219" s="630"/>
      <c r="HCB219" s="630"/>
      <c r="HCC219" s="630"/>
      <c r="HCD219" s="630"/>
      <c r="HCE219" s="630"/>
      <c r="HCF219" s="630"/>
      <c r="HCG219" s="630"/>
      <c r="HCH219" s="630"/>
      <c r="HCI219" s="630"/>
      <c r="HCJ219" s="630"/>
      <c r="HCK219" s="630"/>
      <c r="HCL219" s="630"/>
      <c r="HCM219" s="630"/>
      <c r="HCN219" s="630"/>
      <c r="HCO219" s="630"/>
      <c r="HCP219" s="630"/>
      <c r="HCQ219" s="630"/>
      <c r="HCR219" s="630"/>
      <c r="HCS219" s="630"/>
      <c r="HCT219" s="630"/>
      <c r="HCU219" s="630"/>
      <c r="HCV219" s="630"/>
      <c r="HCW219" s="630"/>
      <c r="HCX219" s="630"/>
      <c r="HCY219" s="630"/>
      <c r="HCZ219" s="630"/>
      <c r="HDA219" s="630"/>
      <c r="HDB219" s="630"/>
      <c r="HDC219" s="630"/>
      <c r="HDD219" s="630"/>
      <c r="HDE219" s="630"/>
      <c r="HDF219" s="630"/>
      <c r="HDG219" s="630"/>
      <c r="HDH219" s="630"/>
      <c r="HDI219" s="630"/>
      <c r="HDJ219" s="630"/>
      <c r="HDK219" s="630"/>
      <c r="HDL219" s="630"/>
      <c r="HDM219" s="630"/>
      <c r="HDN219" s="630"/>
      <c r="HDO219" s="630"/>
      <c r="HDP219" s="630"/>
      <c r="HDQ219" s="630"/>
      <c r="HDR219" s="630"/>
      <c r="HDS219" s="630"/>
      <c r="HDT219" s="630"/>
      <c r="HDU219" s="630"/>
      <c r="HDV219" s="630"/>
      <c r="HDW219" s="630"/>
      <c r="HDX219" s="630"/>
      <c r="HDY219" s="630"/>
      <c r="HDZ219" s="630"/>
      <c r="HEA219" s="630"/>
      <c r="HEB219" s="630"/>
      <c r="HEC219" s="630"/>
      <c r="HED219" s="630"/>
      <c r="HEE219" s="630"/>
      <c r="HEF219" s="630"/>
      <c r="HEG219" s="630"/>
      <c r="HEH219" s="630"/>
      <c r="HEI219" s="630"/>
      <c r="HEJ219" s="630"/>
      <c r="HEK219" s="630"/>
      <c r="HEL219" s="630"/>
      <c r="HEM219" s="630"/>
      <c r="HEN219" s="630"/>
      <c r="HEO219" s="630"/>
      <c r="HEP219" s="630"/>
      <c r="HEQ219" s="630"/>
      <c r="HER219" s="630"/>
      <c r="HES219" s="630"/>
      <c r="HET219" s="630"/>
      <c r="HEU219" s="630"/>
      <c r="HEV219" s="630"/>
      <c r="HEW219" s="630"/>
      <c r="HEX219" s="630"/>
      <c r="HEY219" s="630"/>
      <c r="HEZ219" s="630"/>
      <c r="HFA219" s="630"/>
      <c r="HFB219" s="630"/>
      <c r="HFC219" s="630"/>
      <c r="HFD219" s="630"/>
      <c r="HFE219" s="630"/>
      <c r="HFF219" s="630"/>
      <c r="HFG219" s="630"/>
      <c r="HFH219" s="630"/>
      <c r="HFI219" s="630"/>
      <c r="HFJ219" s="630"/>
      <c r="HFK219" s="630"/>
      <c r="HFL219" s="630"/>
      <c r="HFM219" s="630"/>
      <c r="HFN219" s="630"/>
      <c r="HFO219" s="630"/>
      <c r="HFP219" s="630"/>
      <c r="HFQ219" s="630"/>
      <c r="HFR219" s="630"/>
      <c r="HFS219" s="630"/>
      <c r="HFT219" s="630"/>
      <c r="HFU219" s="630"/>
      <c r="HFV219" s="630"/>
      <c r="HFW219" s="630"/>
      <c r="HFX219" s="630"/>
      <c r="HFY219" s="630"/>
      <c r="HFZ219" s="630"/>
      <c r="HGA219" s="630"/>
      <c r="HGB219" s="630"/>
      <c r="HGC219" s="630"/>
      <c r="HGD219" s="630"/>
      <c r="HGE219" s="630"/>
      <c r="HGF219" s="630"/>
      <c r="HGG219" s="630"/>
      <c r="HGH219" s="630"/>
      <c r="HGI219" s="630"/>
      <c r="HGJ219" s="630"/>
      <c r="HGK219" s="630"/>
      <c r="HGL219" s="630"/>
      <c r="HGM219" s="630"/>
      <c r="HGN219" s="630"/>
      <c r="HGO219" s="630"/>
      <c r="HGP219" s="630"/>
      <c r="HGQ219" s="630"/>
      <c r="HGR219" s="630"/>
      <c r="HGS219" s="630"/>
      <c r="HGT219" s="630"/>
      <c r="HGU219" s="630"/>
      <c r="HGV219" s="630"/>
      <c r="HGW219" s="630"/>
      <c r="HGX219" s="630"/>
      <c r="HGY219" s="630"/>
      <c r="HGZ219" s="630"/>
      <c r="HHA219" s="630"/>
      <c r="HHB219" s="630"/>
      <c r="HHC219" s="630"/>
      <c r="HHD219" s="630"/>
      <c r="HHE219" s="630"/>
      <c r="HHF219" s="630"/>
      <c r="HHG219" s="630"/>
      <c r="HHH219" s="630"/>
      <c r="HHI219" s="630"/>
      <c r="HHJ219" s="630"/>
      <c r="HHK219" s="630"/>
      <c r="HHL219" s="630"/>
      <c r="HHM219" s="630"/>
      <c r="HHN219" s="630"/>
      <c r="HHO219" s="630"/>
      <c r="HHP219" s="630"/>
      <c r="HHQ219" s="630"/>
      <c r="HHR219" s="630"/>
      <c r="HHS219" s="630"/>
      <c r="HHT219" s="630"/>
      <c r="HHU219" s="630"/>
      <c r="HHV219" s="630"/>
      <c r="HHW219" s="630"/>
      <c r="HHX219" s="630"/>
      <c r="HHY219" s="630"/>
      <c r="HHZ219" s="630"/>
      <c r="HIA219" s="630"/>
      <c r="HIB219" s="630"/>
      <c r="HIC219" s="630"/>
      <c r="HID219" s="630"/>
      <c r="HIE219" s="630"/>
      <c r="HIF219" s="630"/>
      <c r="HIG219" s="630"/>
      <c r="HIH219" s="630"/>
      <c r="HII219" s="630"/>
      <c r="HIJ219" s="630"/>
      <c r="HIK219" s="630"/>
      <c r="HIL219" s="630"/>
      <c r="HIM219" s="630"/>
      <c r="HIN219" s="630"/>
      <c r="HIO219" s="630"/>
      <c r="HIP219" s="630"/>
      <c r="HIQ219" s="630"/>
      <c r="HIR219" s="630"/>
      <c r="HIS219" s="630"/>
      <c r="HIT219" s="630"/>
      <c r="HIU219" s="630"/>
      <c r="HIV219" s="630"/>
      <c r="HIW219" s="630"/>
      <c r="HIX219" s="630"/>
      <c r="HIY219" s="630"/>
      <c r="HIZ219" s="630"/>
      <c r="HJA219" s="630"/>
      <c r="HJB219" s="630"/>
      <c r="HJC219" s="630"/>
      <c r="HJD219" s="630"/>
      <c r="HJE219" s="630"/>
      <c r="HJF219" s="630"/>
      <c r="HJG219" s="630"/>
      <c r="HJH219" s="630"/>
      <c r="HJI219" s="630"/>
      <c r="HJJ219" s="630"/>
      <c r="HJK219" s="630"/>
      <c r="HJL219" s="630"/>
      <c r="HJM219" s="630"/>
      <c r="HJN219" s="630"/>
      <c r="HJO219" s="630"/>
      <c r="HJP219" s="630"/>
      <c r="HJQ219" s="630"/>
      <c r="HJR219" s="630"/>
      <c r="HJS219" s="630"/>
      <c r="HJT219" s="630"/>
      <c r="HJU219" s="630"/>
      <c r="HJV219" s="630"/>
      <c r="HJW219" s="630"/>
      <c r="HJX219" s="630"/>
      <c r="HJY219" s="630"/>
      <c r="HJZ219" s="630"/>
      <c r="HKA219" s="630"/>
      <c r="HKB219" s="630"/>
      <c r="HKC219" s="630"/>
      <c r="HKD219" s="630"/>
      <c r="HKE219" s="630"/>
      <c r="HKF219" s="630"/>
      <c r="HKG219" s="630"/>
      <c r="HKH219" s="630"/>
      <c r="HKI219" s="630"/>
      <c r="HKJ219" s="630"/>
      <c r="HKK219" s="630"/>
      <c r="HKL219" s="630"/>
      <c r="HKM219" s="630"/>
      <c r="HKN219" s="630"/>
      <c r="HKO219" s="630"/>
      <c r="HKP219" s="630"/>
      <c r="HKQ219" s="630"/>
      <c r="HKR219" s="630"/>
      <c r="HKS219" s="630"/>
      <c r="HKT219" s="630"/>
      <c r="HKU219" s="630"/>
      <c r="HKV219" s="630"/>
      <c r="HKW219" s="630"/>
      <c r="HKX219" s="630"/>
      <c r="HKY219" s="630"/>
      <c r="HKZ219" s="630"/>
      <c r="HLA219" s="630"/>
      <c r="HLB219" s="630"/>
      <c r="HLC219" s="630"/>
      <c r="HLD219" s="630"/>
      <c r="HLE219" s="630"/>
      <c r="HLF219" s="630"/>
      <c r="HLG219" s="630"/>
      <c r="HLH219" s="630"/>
      <c r="HLI219" s="630"/>
      <c r="HLJ219" s="630"/>
      <c r="HLK219" s="630"/>
      <c r="HLL219" s="630"/>
      <c r="HLM219" s="630"/>
      <c r="HLN219" s="630"/>
      <c r="HLO219" s="630"/>
      <c r="HLP219" s="630"/>
      <c r="HLQ219" s="630"/>
      <c r="HLR219" s="630"/>
      <c r="HLS219" s="630"/>
      <c r="HLT219" s="630"/>
      <c r="HLU219" s="630"/>
      <c r="HLV219" s="630"/>
      <c r="HLW219" s="630"/>
      <c r="HLX219" s="630"/>
      <c r="HLY219" s="630"/>
      <c r="HLZ219" s="630"/>
      <c r="HMA219" s="630"/>
      <c r="HMB219" s="630"/>
      <c r="HMC219" s="630"/>
      <c r="HMD219" s="630"/>
      <c r="HME219" s="630"/>
      <c r="HMF219" s="630"/>
      <c r="HMG219" s="630"/>
      <c r="HMH219" s="630"/>
      <c r="HMI219" s="630"/>
      <c r="HMJ219" s="630"/>
      <c r="HMK219" s="630"/>
      <c r="HML219" s="630"/>
      <c r="HMM219" s="630"/>
      <c r="HMN219" s="630"/>
      <c r="HMO219" s="630"/>
      <c r="HMP219" s="630"/>
      <c r="HMQ219" s="630"/>
      <c r="HMR219" s="630"/>
      <c r="HMS219" s="630"/>
      <c r="HMT219" s="630"/>
      <c r="HMU219" s="630"/>
      <c r="HMV219" s="630"/>
      <c r="HMW219" s="630"/>
      <c r="HMX219" s="630"/>
      <c r="HMY219" s="630"/>
      <c r="HMZ219" s="630"/>
      <c r="HNA219" s="630"/>
      <c r="HNB219" s="630"/>
      <c r="HNC219" s="630"/>
      <c r="HND219" s="630"/>
      <c r="HNE219" s="630"/>
      <c r="HNF219" s="630"/>
      <c r="HNG219" s="630"/>
      <c r="HNH219" s="630"/>
      <c r="HNI219" s="630"/>
      <c r="HNJ219" s="630"/>
      <c r="HNK219" s="630"/>
      <c r="HNL219" s="630"/>
      <c r="HNM219" s="630"/>
      <c r="HNN219" s="630"/>
      <c r="HNO219" s="630"/>
      <c r="HNP219" s="630"/>
      <c r="HNQ219" s="630"/>
      <c r="HNR219" s="630"/>
      <c r="HNS219" s="630"/>
      <c r="HNT219" s="630"/>
      <c r="HNU219" s="630"/>
      <c r="HNV219" s="630"/>
      <c r="HNW219" s="630"/>
      <c r="HNX219" s="630"/>
      <c r="HNY219" s="630"/>
      <c r="HNZ219" s="630"/>
      <c r="HOA219" s="630"/>
      <c r="HOB219" s="630"/>
      <c r="HOC219" s="630"/>
      <c r="HOD219" s="630"/>
      <c r="HOE219" s="630"/>
      <c r="HOF219" s="630"/>
      <c r="HOG219" s="630"/>
      <c r="HOH219" s="630"/>
      <c r="HOI219" s="630"/>
      <c r="HOJ219" s="630"/>
      <c r="HOK219" s="630"/>
      <c r="HOL219" s="630"/>
      <c r="HOM219" s="630"/>
      <c r="HON219" s="630"/>
      <c r="HOO219" s="630"/>
      <c r="HOP219" s="630"/>
      <c r="HOQ219" s="630"/>
      <c r="HOR219" s="630"/>
      <c r="HOS219" s="630"/>
      <c r="HOT219" s="630"/>
      <c r="HOU219" s="630"/>
      <c r="HOV219" s="630"/>
      <c r="HOW219" s="630"/>
      <c r="HOX219" s="630"/>
      <c r="HOY219" s="630"/>
      <c r="HOZ219" s="630"/>
      <c r="HPA219" s="630"/>
      <c r="HPB219" s="630"/>
      <c r="HPC219" s="630"/>
      <c r="HPD219" s="630"/>
      <c r="HPE219" s="630"/>
      <c r="HPF219" s="630"/>
      <c r="HPG219" s="630"/>
      <c r="HPH219" s="630"/>
      <c r="HPI219" s="630"/>
      <c r="HPJ219" s="630"/>
      <c r="HPK219" s="630"/>
      <c r="HPL219" s="630"/>
      <c r="HPM219" s="630"/>
      <c r="HPN219" s="630"/>
      <c r="HPO219" s="630"/>
      <c r="HPP219" s="630"/>
      <c r="HPQ219" s="630"/>
      <c r="HPR219" s="630"/>
      <c r="HPS219" s="630"/>
      <c r="HPT219" s="630"/>
      <c r="HPU219" s="630"/>
      <c r="HPV219" s="630"/>
      <c r="HPW219" s="630"/>
      <c r="HPX219" s="630"/>
      <c r="HPY219" s="630"/>
      <c r="HPZ219" s="630"/>
      <c r="HQA219" s="630"/>
      <c r="HQB219" s="630"/>
      <c r="HQC219" s="630"/>
      <c r="HQD219" s="630"/>
      <c r="HQE219" s="630"/>
      <c r="HQF219" s="630"/>
      <c r="HQG219" s="630"/>
      <c r="HQH219" s="630"/>
      <c r="HQI219" s="630"/>
      <c r="HQJ219" s="630"/>
      <c r="HQK219" s="630"/>
      <c r="HQL219" s="630"/>
      <c r="HQM219" s="630"/>
      <c r="HQN219" s="630"/>
      <c r="HQO219" s="630"/>
      <c r="HQP219" s="630"/>
      <c r="HQQ219" s="630"/>
      <c r="HQR219" s="630"/>
      <c r="HQS219" s="630"/>
      <c r="HQT219" s="630"/>
      <c r="HQU219" s="630"/>
      <c r="HQV219" s="630"/>
      <c r="HQW219" s="630"/>
      <c r="HQX219" s="630"/>
      <c r="HQY219" s="630"/>
      <c r="HQZ219" s="630"/>
      <c r="HRA219" s="630"/>
      <c r="HRB219" s="630"/>
      <c r="HRC219" s="630"/>
      <c r="HRD219" s="630"/>
      <c r="HRE219" s="630"/>
      <c r="HRF219" s="630"/>
      <c r="HRG219" s="630"/>
      <c r="HRH219" s="630"/>
      <c r="HRI219" s="630"/>
      <c r="HRJ219" s="630"/>
      <c r="HRK219" s="630"/>
      <c r="HRL219" s="630"/>
      <c r="HRM219" s="630"/>
      <c r="HRN219" s="630"/>
      <c r="HRO219" s="630"/>
      <c r="HRP219" s="630"/>
      <c r="HRQ219" s="630"/>
      <c r="HRR219" s="630"/>
      <c r="HRS219" s="630"/>
      <c r="HRT219" s="630"/>
      <c r="HRU219" s="630"/>
      <c r="HRV219" s="630"/>
      <c r="HRW219" s="630"/>
      <c r="HRX219" s="630"/>
      <c r="HRY219" s="630"/>
      <c r="HRZ219" s="630"/>
      <c r="HSA219" s="630"/>
      <c r="HSB219" s="630"/>
      <c r="HSC219" s="630"/>
      <c r="HSD219" s="630"/>
      <c r="HSE219" s="630"/>
      <c r="HSF219" s="630"/>
      <c r="HSG219" s="630"/>
      <c r="HSH219" s="630"/>
      <c r="HSI219" s="630"/>
      <c r="HSJ219" s="630"/>
      <c r="HSK219" s="630"/>
      <c r="HSL219" s="630"/>
      <c r="HSM219" s="630"/>
      <c r="HSN219" s="630"/>
      <c r="HSO219" s="630"/>
      <c r="HSP219" s="630"/>
      <c r="HSQ219" s="630"/>
      <c r="HSR219" s="630"/>
      <c r="HSS219" s="630"/>
      <c r="HST219" s="630"/>
      <c r="HSU219" s="630"/>
      <c r="HSV219" s="630"/>
      <c r="HSW219" s="630"/>
      <c r="HSX219" s="630"/>
      <c r="HSY219" s="630"/>
      <c r="HSZ219" s="630"/>
      <c r="HTA219" s="630"/>
      <c r="HTB219" s="630"/>
      <c r="HTC219" s="630"/>
      <c r="HTD219" s="630"/>
      <c r="HTE219" s="630"/>
      <c r="HTF219" s="630"/>
      <c r="HTG219" s="630"/>
      <c r="HTH219" s="630"/>
      <c r="HTI219" s="630"/>
      <c r="HTJ219" s="630"/>
      <c r="HTK219" s="630"/>
      <c r="HTL219" s="630"/>
      <c r="HTM219" s="630"/>
      <c r="HTN219" s="630"/>
      <c r="HTO219" s="630"/>
      <c r="HTP219" s="630"/>
      <c r="HTQ219" s="630"/>
      <c r="HTR219" s="630"/>
      <c r="HTS219" s="630"/>
      <c r="HTT219" s="630"/>
      <c r="HTU219" s="630"/>
      <c r="HTV219" s="630"/>
      <c r="HTW219" s="630"/>
      <c r="HTX219" s="630"/>
      <c r="HTY219" s="630"/>
      <c r="HTZ219" s="630"/>
      <c r="HUA219" s="630"/>
      <c r="HUB219" s="630"/>
      <c r="HUC219" s="630"/>
      <c r="HUD219" s="630"/>
      <c r="HUE219" s="630"/>
      <c r="HUF219" s="630"/>
      <c r="HUG219" s="630"/>
      <c r="HUH219" s="630"/>
      <c r="HUI219" s="630"/>
      <c r="HUJ219" s="630"/>
      <c r="HUK219" s="630"/>
      <c r="HUL219" s="630"/>
      <c r="HUM219" s="630"/>
      <c r="HUN219" s="630"/>
      <c r="HUO219" s="630"/>
      <c r="HUP219" s="630"/>
      <c r="HUQ219" s="630"/>
      <c r="HUR219" s="630"/>
      <c r="HUS219" s="630"/>
      <c r="HUT219" s="630"/>
      <c r="HUU219" s="630"/>
      <c r="HUV219" s="630"/>
      <c r="HUW219" s="630"/>
      <c r="HUX219" s="630"/>
      <c r="HUY219" s="630"/>
      <c r="HUZ219" s="630"/>
      <c r="HVA219" s="630"/>
      <c r="HVB219" s="630"/>
      <c r="HVC219" s="630"/>
      <c r="HVD219" s="630"/>
      <c r="HVE219" s="630"/>
      <c r="HVF219" s="630"/>
      <c r="HVG219" s="630"/>
      <c r="HVH219" s="630"/>
      <c r="HVI219" s="630"/>
      <c r="HVJ219" s="630"/>
      <c r="HVK219" s="630"/>
      <c r="HVL219" s="630"/>
      <c r="HVM219" s="630"/>
      <c r="HVN219" s="630"/>
      <c r="HVO219" s="630"/>
      <c r="HVP219" s="630"/>
      <c r="HVQ219" s="630"/>
      <c r="HVR219" s="630"/>
      <c r="HVS219" s="630"/>
      <c r="HVT219" s="630"/>
      <c r="HVU219" s="630"/>
      <c r="HVV219" s="630"/>
      <c r="HVW219" s="630"/>
      <c r="HVX219" s="630"/>
      <c r="HVY219" s="630"/>
      <c r="HVZ219" s="630"/>
      <c r="HWA219" s="630"/>
      <c r="HWB219" s="630"/>
      <c r="HWC219" s="630"/>
      <c r="HWD219" s="630"/>
      <c r="HWE219" s="630"/>
      <c r="HWF219" s="630"/>
      <c r="HWG219" s="630"/>
      <c r="HWH219" s="630"/>
      <c r="HWI219" s="630"/>
      <c r="HWJ219" s="630"/>
      <c r="HWK219" s="630"/>
      <c r="HWL219" s="630"/>
      <c r="HWM219" s="630"/>
      <c r="HWN219" s="630"/>
      <c r="HWO219" s="630"/>
      <c r="HWP219" s="630"/>
      <c r="HWQ219" s="630"/>
      <c r="HWR219" s="630"/>
      <c r="HWS219" s="630"/>
      <c r="HWT219" s="630"/>
      <c r="HWU219" s="630"/>
      <c r="HWV219" s="630"/>
      <c r="HWW219" s="630"/>
      <c r="HWX219" s="630"/>
      <c r="HWY219" s="630"/>
      <c r="HWZ219" s="630"/>
      <c r="HXA219" s="630"/>
      <c r="HXB219" s="630"/>
      <c r="HXC219" s="630"/>
      <c r="HXD219" s="630"/>
      <c r="HXE219" s="630"/>
      <c r="HXF219" s="630"/>
      <c r="HXG219" s="630"/>
      <c r="HXH219" s="630"/>
      <c r="HXI219" s="630"/>
      <c r="HXJ219" s="630"/>
      <c r="HXK219" s="630"/>
      <c r="HXL219" s="630"/>
      <c r="HXM219" s="630"/>
      <c r="HXN219" s="630"/>
      <c r="HXO219" s="630"/>
      <c r="HXP219" s="630"/>
      <c r="HXQ219" s="630"/>
      <c r="HXR219" s="630"/>
      <c r="HXS219" s="630"/>
      <c r="HXT219" s="630"/>
      <c r="HXU219" s="630"/>
      <c r="HXV219" s="630"/>
      <c r="HXW219" s="630"/>
      <c r="HXX219" s="630"/>
      <c r="HXY219" s="630"/>
      <c r="HXZ219" s="630"/>
      <c r="HYA219" s="630"/>
      <c r="HYB219" s="630"/>
      <c r="HYC219" s="630"/>
      <c r="HYD219" s="630"/>
      <c r="HYE219" s="630"/>
      <c r="HYF219" s="630"/>
      <c r="HYG219" s="630"/>
      <c r="HYH219" s="630"/>
      <c r="HYI219" s="630"/>
      <c r="HYJ219" s="630"/>
      <c r="HYK219" s="630"/>
      <c r="HYL219" s="630"/>
      <c r="HYM219" s="630"/>
      <c r="HYN219" s="630"/>
      <c r="HYO219" s="630"/>
      <c r="HYP219" s="630"/>
      <c r="HYQ219" s="630"/>
      <c r="HYR219" s="630"/>
      <c r="HYS219" s="630"/>
      <c r="HYT219" s="630"/>
      <c r="HYU219" s="630"/>
      <c r="HYV219" s="630"/>
      <c r="HYW219" s="630"/>
      <c r="HYX219" s="630"/>
      <c r="HYY219" s="630"/>
      <c r="HYZ219" s="630"/>
      <c r="HZA219" s="630"/>
      <c r="HZB219" s="630"/>
      <c r="HZC219" s="630"/>
      <c r="HZD219" s="630"/>
      <c r="HZE219" s="630"/>
      <c r="HZF219" s="630"/>
      <c r="HZG219" s="630"/>
      <c r="HZH219" s="630"/>
      <c r="HZI219" s="630"/>
      <c r="HZJ219" s="630"/>
      <c r="HZK219" s="630"/>
      <c r="HZL219" s="630"/>
      <c r="HZM219" s="630"/>
      <c r="HZN219" s="630"/>
      <c r="HZO219" s="630"/>
      <c r="HZP219" s="630"/>
      <c r="HZQ219" s="630"/>
      <c r="HZR219" s="630"/>
      <c r="HZS219" s="630"/>
      <c r="HZT219" s="630"/>
      <c r="HZU219" s="630"/>
      <c r="HZV219" s="630"/>
      <c r="HZW219" s="630"/>
      <c r="HZX219" s="630"/>
      <c r="HZY219" s="630"/>
      <c r="HZZ219" s="630"/>
      <c r="IAA219" s="630"/>
      <c r="IAB219" s="630"/>
      <c r="IAC219" s="630"/>
      <c r="IAD219" s="630"/>
      <c r="IAE219" s="630"/>
      <c r="IAF219" s="630"/>
      <c r="IAG219" s="630"/>
      <c r="IAH219" s="630"/>
      <c r="IAI219" s="630"/>
      <c r="IAJ219" s="630"/>
      <c r="IAK219" s="630"/>
      <c r="IAL219" s="630"/>
      <c r="IAM219" s="630"/>
      <c r="IAN219" s="630"/>
      <c r="IAO219" s="630"/>
      <c r="IAP219" s="630"/>
      <c r="IAQ219" s="630"/>
      <c r="IAR219" s="630"/>
      <c r="IAS219" s="630"/>
      <c r="IAT219" s="630"/>
      <c r="IAU219" s="630"/>
      <c r="IAV219" s="630"/>
      <c r="IAW219" s="630"/>
      <c r="IAX219" s="630"/>
      <c r="IAY219" s="630"/>
      <c r="IAZ219" s="630"/>
      <c r="IBA219" s="630"/>
      <c r="IBB219" s="630"/>
      <c r="IBC219" s="630"/>
      <c r="IBD219" s="630"/>
      <c r="IBE219" s="630"/>
      <c r="IBF219" s="630"/>
      <c r="IBG219" s="630"/>
      <c r="IBH219" s="630"/>
      <c r="IBI219" s="630"/>
      <c r="IBJ219" s="630"/>
      <c r="IBK219" s="630"/>
      <c r="IBL219" s="630"/>
      <c r="IBM219" s="630"/>
      <c r="IBN219" s="630"/>
      <c r="IBO219" s="630"/>
      <c r="IBP219" s="630"/>
      <c r="IBQ219" s="630"/>
      <c r="IBR219" s="630"/>
      <c r="IBS219" s="630"/>
      <c r="IBT219" s="630"/>
      <c r="IBU219" s="630"/>
      <c r="IBV219" s="630"/>
      <c r="IBW219" s="630"/>
      <c r="IBX219" s="630"/>
      <c r="IBY219" s="630"/>
      <c r="IBZ219" s="630"/>
      <c r="ICA219" s="630"/>
      <c r="ICB219" s="630"/>
      <c r="ICC219" s="630"/>
      <c r="ICD219" s="630"/>
      <c r="ICE219" s="630"/>
      <c r="ICF219" s="630"/>
      <c r="ICG219" s="630"/>
      <c r="ICH219" s="630"/>
      <c r="ICI219" s="630"/>
      <c r="ICJ219" s="630"/>
      <c r="ICK219" s="630"/>
      <c r="ICL219" s="630"/>
      <c r="ICM219" s="630"/>
      <c r="ICN219" s="630"/>
      <c r="ICO219" s="630"/>
      <c r="ICP219" s="630"/>
      <c r="ICQ219" s="630"/>
      <c r="ICR219" s="630"/>
      <c r="ICS219" s="630"/>
      <c r="ICT219" s="630"/>
      <c r="ICU219" s="630"/>
      <c r="ICV219" s="630"/>
      <c r="ICW219" s="630"/>
      <c r="ICX219" s="630"/>
      <c r="ICY219" s="630"/>
      <c r="ICZ219" s="630"/>
      <c r="IDA219" s="630"/>
      <c r="IDB219" s="630"/>
      <c r="IDC219" s="630"/>
      <c r="IDD219" s="630"/>
      <c r="IDE219" s="630"/>
      <c r="IDF219" s="630"/>
      <c r="IDG219" s="630"/>
      <c r="IDH219" s="630"/>
      <c r="IDI219" s="630"/>
      <c r="IDJ219" s="630"/>
      <c r="IDK219" s="630"/>
      <c r="IDL219" s="630"/>
      <c r="IDM219" s="630"/>
      <c r="IDN219" s="630"/>
      <c r="IDO219" s="630"/>
      <c r="IDP219" s="630"/>
      <c r="IDQ219" s="630"/>
      <c r="IDR219" s="630"/>
      <c r="IDS219" s="630"/>
      <c r="IDT219" s="630"/>
      <c r="IDU219" s="630"/>
      <c r="IDV219" s="630"/>
      <c r="IDW219" s="630"/>
      <c r="IDX219" s="630"/>
      <c r="IDY219" s="630"/>
      <c r="IDZ219" s="630"/>
      <c r="IEA219" s="630"/>
      <c r="IEB219" s="630"/>
      <c r="IEC219" s="630"/>
      <c r="IED219" s="630"/>
      <c r="IEE219" s="630"/>
      <c r="IEF219" s="630"/>
      <c r="IEG219" s="630"/>
      <c r="IEH219" s="630"/>
      <c r="IEI219" s="630"/>
      <c r="IEJ219" s="630"/>
      <c r="IEK219" s="630"/>
      <c r="IEL219" s="630"/>
      <c r="IEM219" s="630"/>
      <c r="IEN219" s="630"/>
      <c r="IEO219" s="630"/>
      <c r="IEP219" s="630"/>
      <c r="IEQ219" s="630"/>
      <c r="IER219" s="630"/>
      <c r="IES219" s="630"/>
      <c r="IET219" s="630"/>
      <c r="IEU219" s="630"/>
      <c r="IEV219" s="630"/>
      <c r="IEW219" s="630"/>
      <c r="IEX219" s="630"/>
      <c r="IEY219" s="630"/>
      <c r="IEZ219" s="630"/>
      <c r="IFA219" s="630"/>
      <c r="IFB219" s="630"/>
      <c r="IFC219" s="630"/>
      <c r="IFD219" s="630"/>
      <c r="IFE219" s="630"/>
      <c r="IFF219" s="630"/>
      <c r="IFG219" s="630"/>
      <c r="IFH219" s="630"/>
      <c r="IFI219" s="630"/>
      <c r="IFJ219" s="630"/>
      <c r="IFK219" s="630"/>
      <c r="IFL219" s="630"/>
      <c r="IFM219" s="630"/>
      <c r="IFN219" s="630"/>
      <c r="IFO219" s="630"/>
      <c r="IFP219" s="630"/>
      <c r="IFQ219" s="630"/>
      <c r="IFR219" s="630"/>
      <c r="IFS219" s="630"/>
      <c r="IFT219" s="630"/>
      <c r="IFU219" s="630"/>
      <c r="IFV219" s="630"/>
      <c r="IFW219" s="630"/>
      <c r="IFX219" s="630"/>
      <c r="IFY219" s="630"/>
      <c r="IFZ219" s="630"/>
      <c r="IGA219" s="630"/>
      <c r="IGB219" s="630"/>
      <c r="IGC219" s="630"/>
      <c r="IGD219" s="630"/>
      <c r="IGE219" s="630"/>
      <c r="IGF219" s="630"/>
      <c r="IGG219" s="630"/>
      <c r="IGH219" s="630"/>
      <c r="IGI219" s="630"/>
      <c r="IGJ219" s="630"/>
      <c r="IGK219" s="630"/>
      <c r="IGL219" s="630"/>
      <c r="IGM219" s="630"/>
      <c r="IGN219" s="630"/>
      <c r="IGO219" s="630"/>
      <c r="IGP219" s="630"/>
      <c r="IGQ219" s="630"/>
      <c r="IGR219" s="630"/>
      <c r="IGS219" s="630"/>
      <c r="IGT219" s="630"/>
      <c r="IGU219" s="630"/>
      <c r="IGV219" s="630"/>
      <c r="IGW219" s="630"/>
      <c r="IGX219" s="630"/>
      <c r="IGY219" s="630"/>
      <c r="IGZ219" s="630"/>
      <c r="IHA219" s="630"/>
      <c r="IHB219" s="630"/>
      <c r="IHC219" s="630"/>
      <c r="IHD219" s="630"/>
      <c r="IHE219" s="630"/>
      <c r="IHF219" s="630"/>
      <c r="IHG219" s="630"/>
      <c r="IHH219" s="630"/>
      <c r="IHI219" s="630"/>
      <c r="IHJ219" s="630"/>
      <c r="IHK219" s="630"/>
      <c r="IHL219" s="630"/>
      <c r="IHM219" s="630"/>
      <c r="IHN219" s="630"/>
      <c r="IHO219" s="630"/>
      <c r="IHP219" s="630"/>
      <c r="IHQ219" s="630"/>
      <c r="IHR219" s="630"/>
      <c r="IHS219" s="630"/>
      <c r="IHT219" s="630"/>
      <c r="IHU219" s="630"/>
      <c r="IHV219" s="630"/>
      <c r="IHW219" s="630"/>
      <c r="IHX219" s="630"/>
      <c r="IHY219" s="630"/>
      <c r="IHZ219" s="630"/>
      <c r="IIA219" s="630"/>
      <c r="IIB219" s="630"/>
      <c r="IIC219" s="630"/>
      <c r="IID219" s="630"/>
      <c r="IIE219" s="630"/>
      <c r="IIF219" s="630"/>
      <c r="IIG219" s="630"/>
      <c r="IIH219" s="630"/>
      <c r="III219" s="630"/>
      <c r="IIJ219" s="630"/>
      <c r="IIK219" s="630"/>
      <c r="IIL219" s="630"/>
      <c r="IIM219" s="630"/>
      <c r="IIN219" s="630"/>
      <c r="IIO219" s="630"/>
      <c r="IIP219" s="630"/>
      <c r="IIQ219" s="630"/>
      <c r="IIR219" s="630"/>
      <c r="IIS219" s="630"/>
      <c r="IIT219" s="630"/>
      <c r="IIU219" s="630"/>
      <c r="IIV219" s="630"/>
      <c r="IIW219" s="630"/>
      <c r="IIX219" s="630"/>
      <c r="IIY219" s="630"/>
      <c r="IIZ219" s="630"/>
      <c r="IJA219" s="630"/>
      <c r="IJB219" s="630"/>
      <c r="IJC219" s="630"/>
      <c r="IJD219" s="630"/>
      <c r="IJE219" s="630"/>
      <c r="IJF219" s="630"/>
      <c r="IJG219" s="630"/>
      <c r="IJH219" s="630"/>
      <c r="IJI219" s="630"/>
      <c r="IJJ219" s="630"/>
      <c r="IJK219" s="630"/>
      <c r="IJL219" s="630"/>
      <c r="IJM219" s="630"/>
      <c r="IJN219" s="630"/>
      <c r="IJO219" s="630"/>
      <c r="IJP219" s="630"/>
      <c r="IJQ219" s="630"/>
      <c r="IJR219" s="630"/>
      <c r="IJS219" s="630"/>
      <c r="IJT219" s="630"/>
      <c r="IJU219" s="630"/>
      <c r="IJV219" s="630"/>
      <c r="IJW219" s="630"/>
      <c r="IJX219" s="630"/>
      <c r="IJY219" s="630"/>
      <c r="IJZ219" s="630"/>
      <c r="IKA219" s="630"/>
      <c r="IKB219" s="630"/>
      <c r="IKC219" s="630"/>
      <c r="IKD219" s="630"/>
      <c r="IKE219" s="630"/>
      <c r="IKF219" s="630"/>
      <c r="IKG219" s="630"/>
      <c r="IKH219" s="630"/>
      <c r="IKI219" s="630"/>
      <c r="IKJ219" s="630"/>
      <c r="IKK219" s="630"/>
      <c r="IKL219" s="630"/>
      <c r="IKM219" s="630"/>
      <c r="IKN219" s="630"/>
      <c r="IKO219" s="630"/>
      <c r="IKP219" s="630"/>
      <c r="IKQ219" s="630"/>
      <c r="IKR219" s="630"/>
      <c r="IKS219" s="630"/>
      <c r="IKT219" s="630"/>
      <c r="IKU219" s="630"/>
      <c r="IKV219" s="630"/>
      <c r="IKW219" s="630"/>
      <c r="IKX219" s="630"/>
      <c r="IKY219" s="630"/>
      <c r="IKZ219" s="630"/>
      <c r="ILA219" s="630"/>
      <c r="ILB219" s="630"/>
      <c r="ILC219" s="630"/>
      <c r="ILD219" s="630"/>
      <c r="ILE219" s="630"/>
      <c r="ILF219" s="630"/>
      <c r="ILG219" s="630"/>
      <c r="ILH219" s="630"/>
      <c r="ILI219" s="630"/>
      <c r="ILJ219" s="630"/>
      <c r="ILK219" s="630"/>
      <c r="ILL219" s="630"/>
      <c r="ILM219" s="630"/>
      <c r="ILN219" s="630"/>
      <c r="ILO219" s="630"/>
      <c r="ILP219" s="630"/>
      <c r="ILQ219" s="630"/>
      <c r="ILR219" s="630"/>
      <c r="ILS219" s="630"/>
      <c r="ILT219" s="630"/>
      <c r="ILU219" s="630"/>
      <c r="ILV219" s="630"/>
      <c r="ILW219" s="630"/>
      <c r="ILX219" s="630"/>
      <c r="ILY219" s="630"/>
      <c r="ILZ219" s="630"/>
      <c r="IMA219" s="630"/>
      <c r="IMB219" s="630"/>
      <c r="IMC219" s="630"/>
      <c r="IMD219" s="630"/>
      <c r="IME219" s="630"/>
      <c r="IMF219" s="630"/>
      <c r="IMG219" s="630"/>
      <c r="IMH219" s="630"/>
      <c r="IMI219" s="630"/>
      <c r="IMJ219" s="630"/>
      <c r="IMK219" s="630"/>
      <c r="IML219" s="630"/>
      <c r="IMM219" s="630"/>
      <c r="IMN219" s="630"/>
      <c r="IMO219" s="630"/>
      <c r="IMP219" s="630"/>
      <c r="IMQ219" s="630"/>
      <c r="IMR219" s="630"/>
      <c r="IMS219" s="630"/>
      <c r="IMT219" s="630"/>
      <c r="IMU219" s="630"/>
      <c r="IMV219" s="630"/>
      <c r="IMW219" s="630"/>
      <c r="IMX219" s="630"/>
      <c r="IMY219" s="630"/>
      <c r="IMZ219" s="630"/>
      <c r="INA219" s="630"/>
      <c r="INB219" s="630"/>
      <c r="INC219" s="630"/>
      <c r="IND219" s="630"/>
      <c r="INE219" s="630"/>
      <c r="INF219" s="630"/>
      <c r="ING219" s="630"/>
      <c r="INH219" s="630"/>
      <c r="INI219" s="630"/>
      <c r="INJ219" s="630"/>
      <c r="INK219" s="630"/>
      <c r="INL219" s="630"/>
      <c r="INM219" s="630"/>
      <c r="INN219" s="630"/>
      <c r="INO219" s="630"/>
      <c r="INP219" s="630"/>
      <c r="INQ219" s="630"/>
      <c r="INR219" s="630"/>
      <c r="INS219" s="630"/>
      <c r="INT219" s="630"/>
      <c r="INU219" s="630"/>
      <c r="INV219" s="630"/>
      <c r="INW219" s="630"/>
      <c r="INX219" s="630"/>
      <c r="INY219" s="630"/>
      <c r="INZ219" s="630"/>
      <c r="IOA219" s="630"/>
      <c r="IOB219" s="630"/>
      <c r="IOC219" s="630"/>
      <c r="IOD219" s="630"/>
      <c r="IOE219" s="630"/>
      <c r="IOF219" s="630"/>
      <c r="IOG219" s="630"/>
      <c r="IOH219" s="630"/>
      <c r="IOI219" s="630"/>
      <c r="IOJ219" s="630"/>
      <c r="IOK219" s="630"/>
      <c r="IOL219" s="630"/>
      <c r="IOM219" s="630"/>
      <c r="ION219" s="630"/>
      <c r="IOO219" s="630"/>
      <c r="IOP219" s="630"/>
      <c r="IOQ219" s="630"/>
      <c r="IOR219" s="630"/>
      <c r="IOS219" s="630"/>
      <c r="IOT219" s="630"/>
      <c r="IOU219" s="630"/>
      <c r="IOV219" s="630"/>
      <c r="IOW219" s="630"/>
      <c r="IOX219" s="630"/>
      <c r="IOY219" s="630"/>
      <c r="IOZ219" s="630"/>
      <c r="IPA219" s="630"/>
      <c r="IPB219" s="630"/>
      <c r="IPC219" s="630"/>
      <c r="IPD219" s="630"/>
      <c r="IPE219" s="630"/>
      <c r="IPF219" s="630"/>
      <c r="IPG219" s="630"/>
      <c r="IPH219" s="630"/>
      <c r="IPI219" s="630"/>
      <c r="IPJ219" s="630"/>
      <c r="IPK219" s="630"/>
      <c r="IPL219" s="630"/>
      <c r="IPM219" s="630"/>
      <c r="IPN219" s="630"/>
      <c r="IPO219" s="630"/>
      <c r="IPP219" s="630"/>
      <c r="IPQ219" s="630"/>
      <c r="IPR219" s="630"/>
      <c r="IPS219" s="630"/>
      <c r="IPT219" s="630"/>
      <c r="IPU219" s="630"/>
      <c r="IPV219" s="630"/>
      <c r="IPW219" s="630"/>
      <c r="IPX219" s="630"/>
      <c r="IPY219" s="630"/>
      <c r="IPZ219" s="630"/>
      <c r="IQA219" s="630"/>
      <c r="IQB219" s="630"/>
      <c r="IQC219" s="630"/>
      <c r="IQD219" s="630"/>
      <c r="IQE219" s="630"/>
      <c r="IQF219" s="630"/>
      <c r="IQG219" s="630"/>
      <c r="IQH219" s="630"/>
      <c r="IQI219" s="630"/>
      <c r="IQJ219" s="630"/>
      <c r="IQK219" s="630"/>
      <c r="IQL219" s="630"/>
      <c r="IQM219" s="630"/>
      <c r="IQN219" s="630"/>
      <c r="IQO219" s="630"/>
      <c r="IQP219" s="630"/>
      <c r="IQQ219" s="630"/>
      <c r="IQR219" s="630"/>
      <c r="IQS219" s="630"/>
      <c r="IQT219" s="630"/>
      <c r="IQU219" s="630"/>
      <c r="IQV219" s="630"/>
      <c r="IQW219" s="630"/>
      <c r="IQX219" s="630"/>
      <c r="IQY219" s="630"/>
      <c r="IQZ219" s="630"/>
      <c r="IRA219" s="630"/>
      <c r="IRB219" s="630"/>
      <c r="IRC219" s="630"/>
      <c r="IRD219" s="630"/>
      <c r="IRE219" s="630"/>
      <c r="IRF219" s="630"/>
      <c r="IRG219" s="630"/>
      <c r="IRH219" s="630"/>
      <c r="IRI219" s="630"/>
      <c r="IRJ219" s="630"/>
      <c r="IRK219" s="630"/>
      <c r="IRL219" s="630"/>
      <c r="IRM219" s="630"/>
      <c r="IRN219" s="630"/>
      <c r="IRO219" s="630"/>
      <c r="IRP219" s="630"/>
      <c r="IRQ219" s="630"/>
      <c r="IRR219" s="630"/>
      <c r="IRS219" s="630"/>
      <c r="IRT219" s="630"/>
      <c r="IRU219" s="630"/>
      <c r="IRV219" s="630"/>
      <c r="IRW219" s="630"/>
      <c r="IRX219" s="630"/>
      <c r="IRY219" s="630"/>
      <c r="IRZ219" s="630"/>
      <c r="ISA219" s="630"/>
      <c r="ISB219" s="630"/>
      <c r="ISC219" s="630"/>
      <c r="ISD219" s="630"/>
      <c r="ISE219" s="630"/>
      <c r="ISF219" s="630"/>
      <c r="ISG219" s="630"/>
      <c r="ISH219" s="630"/>
      <c r="ISI219" s="630"/>
      <c r="ISJ219" s="630"/>
      <c r="ISK219" s="630"/>
      <c r="ISL219" s="630"/>
      <c r="ISM219" s="630"/>
      <c r="ISN219" s="630"/>
      <c r="ISO219" s="630"/>
      <c r="ISP219" s="630"/>
      <c r="ISQ219" s="630"/>
      <c r="ISR219" s="630"/>
      <c r="ISS219" s="630"/>
      <c r="IST219" s="630"/>
      <c r="ISU219" s="630"/>
      <c r="ISV219" s="630"/>
      <c r="ISW219" s="630"/>
      <c r="ISX219" s="630"/>
      <c r="ISY219" s="630"/>
      <c r="ISZ219" s="630"/>
      <c r="ITA219" s="630"/>
      <c r="ITB219" s="630"/>
      <c r="ITC219" s="630"/>
      <c r="ITD219" s="630"/>
      <c r="ITE219" s="630"/>
      <c r="ITF219" s="630"/>
      <c r="ITG219" s="630"/>
      <c r="ITH219" s="630"/>
      <c r="ITI219" s="630"/>
      <c r="ITJ219" s="630"/>
      <c r="ITK219" s="630"/>
      <c r="ITL219" s="630"/>
      <c r="ITM219" s="630"/>
      <c r="ITN219" s="630"/>
      <c r="ITO219" s="630"/>
      <c r="ITP219" s="630"/>
      <c r="ITQ219" s="630"/>
      <c r="ITR219" s="630"/>
      <c r="ITS219" s="630"/>
      <c r="ITT219" s="630"/>
      <c r="ITU219" s="630"/>
      <c r="ITV219" s="630"/>
      <c r="ITW219" s="630"/>
      <c r="ITX219" s="630"/>
      <c r="ITY219" s="630"/>
      <c r="ITZ219" s="630"/>
      <c r="IUA219" s="630"/>
      <c r="IUB219" s="630"/>
      <c r="IUC219" s="630"/>
      <c r="IUD219" s="630"/>
      <c r="IUE219" s="630"/>
      <c r="IUF219" s="630"/>
      <c r="IUG219" s="630"/>
      <c r="IUH219" s="630"/>
      <c r="IUI219" s="630"/>
      <c r="IUJ219" s="630"/>
      <c r="IUK219" s="630"/>
      <c r="IUL219" s="630"/>
      <c r="IUM219" s="630"/>
      <c r="IUN219" s="630"/>
      <c r="IUO219" s="630"/>
      <c r="IUP219" s="630"/>
      <c r="IUQ219" s="630"/>
      <c r="IUR219" s="630"/>
      <c r="IUS219" s="630"/>
      <c r="IUT219" s="630"/>
      <c r="IUU219" s="630"/>
      <c r="IUV219" s="630"/>
      <c r="IUW219" s="630"/>
      <c r="IUX219" s="630"/>
      <c r="IUY219" s="630"/>
      <c r="IUZ219" s="630"/>
      <c r="IVA219" s="630"/>
      <c r="IVB219" s="630"/>
      <c r="IVC219" s="630"/>
      <c r="IVD219" s="630"/>
      <c r="IVE219" s="630"/>
      <c r="IVF219" s="630"/>
      <c r="IVG219" s="630"/>
      <c r="IVH219" s="630"/>
      <c r="IVI219" s="630"/>
      <c r="IVJ219" s="630"/>
      <c r="IVK219" s="630"/>
      <c r="IVL219" s="630"/>
      <c r="IVM219" s="630"/>
      <c r="IVN219" s="630"/>
      <c r="IVO219" s="630"/>
      <c r="IVP219" s="630"/>
      <c r="IVQ219" s="630"/>
      <c r="IVR219" s="630"/>
      <c r="IVS219" s="630"/>
      <c r="IVT219" s="630"/>
      <c r="IVU219" s="630"/>
      <c r="IVV219" s="630"/>
      <c r="IVW219" s="630"/>
      <c r="IVX219" s="630"/>
      <c r="IVY219" s="630"/>
      <c r="IVZ219" s="630"/>
      <c r="IWA219" s="630"/>
      <c r="IWB219" s="630"/>
      <c r="IWC219" s="630"/>
      <c r="IWD219" s="630"/>
      <c r="IWE219" s="630"/>
      <c r="IWF219" s="630"/>
      <c r="IWG219" s="630"/>
      <c r="IWH219" s="630"/>
      <c r="IWI219" s="630"/>
      <c r="IWJ219" s="630"/>
      <c r="IWK219" s="630"/>
      <c r="IWL219" s="630"/>
      <c r="IWM219" s="630"/>
      <c r="IWN219" s="630"/>
      <c r="IWO219" s="630"/>
      <c r="IWP219" s="630"/>
      <c r="IWQ219" s="630"/>
      <c r="IWR219" s="630"/>
      <c r="IWS219" s="630"/>
      <c r="IWT219" s="630"/>
      <c r="IWU219" s="630"/>
      <c r="IWV219" s="630"/>
      <c r="IWW219" s="630"/>
      <c r="IWX219" s="630"/>
      <c r="IWY219" s="630"/>
      <c r="IWZ219" s="630"/>
      <c r="IXA219" s="630"/>
      <c r="IXB219" s="630"/>
      <c r="IXC219" s="630"/>
      <c r="IXD219" s="630"/>
      <c r="IXE219" s="630"/>
      <c r="IXF219" s="630"/>
      <c r="IXG219" s="630"/>
      <c r="IXH219" s="630"/>
      <c r="IXI219" s="630"/>
      <c r="IXJ219" s="630"/>
      <c r="IXK219" s="630"/>
      <c r="IXL219" s="630"/>
      <c r="IXM219" s="630"/>
      <c r="IXN219" s="630"/>
      <c r="IXO219" s="630"/>
      <c r="IXP219" s="630"/>
      <c r="IXQ219" s="630"/>
      <c r="IXR219" s="630"/>
      <c r="IXS219" s="630"/>
      <c r="IXT219" s="630"/>
      <c r="IXU219" s="630"/>
      <c r="IXV219" s="630"/>
      <c r="IXW219" s="630"/>
      <c r="IXX219" s="630"/>
      <c r="IXY219" s="630"/>
      <c r="IXZ219" s="630"/>
      <c r="IYA219" s="630"/>
      <c r="IYB219" s="630"/>
      <c r="IYC219" s="630"/>
      <c r="IYD219" s="630"/>
      <c r="IYE219" s="630"/>
      <c r="IYF219" s="630"/>
      <c r="IYG219" s="630"/>
      <c r="IYH219" s="630"/>
      <c r="IYI219" s="630"/>
      <c r="IYJ219" s="630"/>
      <c r="IYK219" s="630"/>
      <c r="IYL219" s="630"/>
      <c r="IYM219" s="630"/>
      <c r="IYN219" s="630"/>
      <c r="IYO219" s="630"/>
      <c r="IYP219" s="630"/>
      <c r="IYQ219" s="630"/>
      <c r="IYR219" s="630"/>
      <c r="IYS219" s="630"/>
      <c r="IYT219" s="630"/>
      <c r="IYU219" s="630"/>
      <c r="IYV219" s="630"/>
      <c r="IYW219" s="630"/>
      <c r="IYX219" s="630"/>
      <c r="IYY219" s="630"/>
      <c r="IYZ219" s="630"/>
      <c r="IZA219" s="630"/>
      <c r="IZB219" s="630"/>
      <c r="IZC219" s="630"/>
      <c r="IZD219" s="630"/>
      <c r="IZE219" s="630"/>
      <c r="IZF219" s="630"/>
      <c r="IZG219" s="630"/>
      <c r="IZH219" s="630"/>
      <c r="IZI219" s="630"/>
      <c r="IZJ219" s="630"/>
      <c r="IZK219" s="630"/>
      <c r="IZL219" s="630"/>
      <c r="IZM219" s="630"/>
      <c r="IZN219" s="630"/>
      <c r="IZO219" s="630"/>
      <c r="IZP219" s="630"/>
      <c r="IZQ219" s="630"/>
      <c r="IZR219" s="630"/>
      <c r="IZS219" s="630"/>
      <c r="IZT219" s="630"/>
      <c r="IZU219" s="630"/>
      <c r="IZV219" s="630"/>
      <c r="IZW219" s="630"/>
      <c r="IZX219" s="630"/>
      <c r="IZY219" s="630"/>
      <c r="IZZ219" s="630"/>
      <c r="JAA219" s="630"/>
      <c r="JAB219" s="630"/>
      <c r="JAC219" s="630"/>
      <c r="JAD219" s="630"/>
      <c r="JAE219" s="630"/>
      <c r="JAF219" s="630"/>
      <c r="JAG219" s="630"/>
      <c r="JAH219" s="630"/>
      <c r="JAI219" s="630"/>
      <c r="JAJ219" s="630"/>
      <c r="JAK219" s="630"/>
      <c r="JAL219" s="630"/>
      <c r="JAM219" s="630"/>
      <c r="JAN219" s="630"/>
      <c r="JAO219" s="630"/>
      <c r="JAP219" s="630"/>
      <c r="JAQ219" s="630"/>
      <c r="JAR219" s="630"/>
      <c r="JAS219" s="630"/>
      <c r="JAT219" s="630"/>
      <c r="JAU219" s="630"/>
      <c r="JAV219" s="630"/>
      <c r="JAW219" s="630"/>
      <c r="JAX219" s="630"/>
      <c r="JAY219" s="630"/>
      <c r="JAZ219" s="630"/>
      <c r="JBA219" s="630"/>
      <c r="JBB219" s="630"/>
      <c r="JBC219" s="630"/>
      <c r="JBD219" s="630"/>
      <c r="JBE219" s="630"/>
      <c r="JBF219" s="630"/>
      <c r="JBG219" s="630"/>
      <c r="JBH219" s="630"/>
      <c r="JBI219" s="630"/>
      <c r="JBJ219" s="630"/>
      <c r="JBK219" s="630"/>
      <c r="JBL219" s="630"/>
      <c r="JBM219" s="630"/>
      <c r="JBN219" s="630"/>
      <c r="JBO219" s="630"/>
      <c r="JBP219" s="630"/>
      <c r="JBQ219" s="630"/>
      <c r="JBR219" s="630"/>
      <c r="JBS219" s="630"/>
      <c r="JBT219" s="630"/>
      <c r="JBU219" s="630"/>
      <c r="JBV219" s="630"/>
      <c r="JBW219" s="630"/>
      <c r="JBX219" s="630"/>
      <c r="JBY219" s="630"/>
      <c r="JBZ219" s="630"/>
      <c r="JCA219" s="630"/>
      <c r="JCB219" s="630"/>
      <c r="JCC219" s="630"/>
      <c r="JCD219" s="630"/>
      <c r="JCE219" s="630"/>
      <c r="JCF219" s="630"/>
      <c r="JCG219" s="630"/>
      <c r="JCH219" s="630"/>
      <c r="JCI219" s="630"/>
      <c r="JCJ219" s="630"/>
      <c r="JCK219" s="630"/>
      <c r="JCL219" s="630"/>
      <c r="JCM219" s="630"/>
      <c r="JCN219" s="630"/>
      <c r="JCO219" s="630"/>
      <c r="JCP219" s="630"/>
      <c r="JCQ219" s="630"/>
      <c r="JCR219" s="630"/>
      <c r="JCS219" s="630"/>
      <c r="JCT219" s="630"/>
      <c r="JCU219" s="630"/>
      <c r="JCV219" s="630"/>
      <c r="JCW219" s="630"/>
      <c r="JCX219" s="630"/>
      <c r="JCY219" s="630"/>
      <c r="JCZ219" s="630"/>
      <c r="JDA219" s="630"/>
      <c r="JDB219" s="630"/>
      <c r="JDC219" s="630"/>
      <c r="JDD219" s="630"/>
      <c r="JDE219" s="630"/>
      <c r="JDF219" s="630"/>
      <c r="JDG219" s="630"/>
      <c r="JDH219" s="630"/>
      <c r="JDI219" s="630"/>
      <c r="JDJ219" s="630"/>
      <c r="JDK219" s="630"/>
      <c r="JDL219" s="630"/>
      <c r="JDM219" s="630"/>
      <c r="JDN219" s="630"/>
      <c r="JDO219" s="630"/>
      <c r="JDP219" s="630"/>
      <c r="JDQ219" s="630"/>
      <c r="JDR219" s="630"/>
      <c r="JDS219" s="630"/>
      <c r="JDT219" s="630"/>
      <c r="JDU219" s="630"/>
      <c r="JDV219" s="630"/>
      <c r="JDW219" s="630"/>
      <c r="JDX219" s="630"/>
      <c r="JDY219" s="630"/>
      <c r="JDZ219" s="630"/>
      <c r="JEA219" s="630"/>
      <c r="JEB219" s="630"/>
      <c r="JEC219" s="630"/>
      <c r="JED219" s="630"/>
      <c r="JEE219" s="630"/>
      <c r="JEF219" s="630"/>
      <c r="JEG219" s="630"/>
      <c r="JEH219" s="630"/>
      <c r="JEI219" s="630"/>
      <c r="JEJ219" s="630"/>
      <c r="JEK219" s="630"/>
      <c r="JEL219" s="630"/>
      <c r="JEM219" s="630"/>
      <c r="JEN219" s="630"/>
      <c r="JEO219" s="630"/>
      <c r="JEP219" s="630"/>
      <c r="JEQ219" s="630"/>
      <c r="JER219" s="630"/>
      <c r="JES219" s="630"/>
      <c r="JET219" s="630"/>
      <c r="JEU219" s="630"/>
      <c r="JEV219" s="630"/>
      <c r="JEW219" s="630"/>
      <c r="JEX219" s="630"/>
      <c r="JEY219" s="630"/>
      <c r="JEZ219" s="630"/>
      <c r="JFA219" s="630"/>
      <c r="JFB219" s="630"/>
      <c r="JFC219" s="630"/>
      <c r="JFD219" s="630"/>
      <c r="JFE219" s="630"/>
      <c r="JFF219" s="630"/>
      <c r="JFG219" s="630"/>
      <c r="JFH219" s="630"/>
      <c r="JFI219" s="630"/>
      <c r="JFJ219" s="630"/>
      <c r="JFK219" s="630"/>
      <c r="JFL219" s="630"/>
      <c r="JFM219" s="630"/>
      <c r="JFN219" s="630"/>
      <c r="JFO219" s="630"/>
      <c r="JFP219" s="630"/>
      <c r="JFQ219" s="630"/>
      <c r="JFR219" s="630"/>
      <c r="JFS219" s="630"/>
      <c r="JFT219" s="630"/>
      <c r="JFU219" s="630"/>
      <c r="JFV219" s="630"/>
      <c r="JFW219" s="630"/>
      <c r="JFX219" s="630"/>
      <c r="JFY219" s="630"/>
      <c r="JFZ219" s="630"/>
      <c r="JGA219" s="630"/>
      <c r="JGB219" s="630"/>
      <c r="JGC219" s="630"/>
      <c r="JGD219" s="630"/>
      <c r="JGE219" s="630"/>
      <c r="JGF219" s="630"/>
      <c r="JGG219" s="630"/>
      <c r="JGH219" s="630"/>
      <c r="JGI219" s="630"/>
      <c r="JGJ219" s="630"/>
      <c r="JGK219" s="630"/>
      <c r="JGL219" s="630"/>
      <c r="JGM219" s="630"/>
      <c r="JGN219" s="630"/>
      <c r="JGO219" s="630"/>
      <c r="JGP219" s="630"/>
      <c r="JGQ219" s="630"/>
      <c r="JGR219" s="630"/>
      <c r="JGS219" s="630"/>
      <c r="JGT219" s="630"/>
      <c r="JGU219" s="630"/>
      <c r="JGV219" s="630"/>
      <c r="JGW219" s="630"/>
      <c r="JGX219" s="630"/>
      <c r="JGY219" s="630"/>
      <c r="JGZ219" s="630"/>
      <c r="JHA219" s="630"/>
      <c r="JHB219" s="630"/>
      <c r="JHC219" s="630"/>
      <c r="JHD219" s="630"/>
      <c r="JHE219" s="630"/>
      <c r="JHF219" s="630"/>
      <c r="JHG219" s="630"/>
      <c r="JHH219" s="630"/>
      <c r="JHI219" s="630"/>
      <c r="JHJ219" s="630"/>
      <c r="JHK219" s="630"/>
      <c r="JHL219" s="630"/>
      <c r="JHM219" s="630"/>
      <c r="JHN219" s="630"/>
      <c r="JHO219" s="630"/>
      <c r="JHP219" s="630"/>
      <c r="JHQ219" s="630"/>
      <c r="JHR219" s="630"/>
      <c r="JHS219" s="630"/>
      <c r="JHT219" s="630"/>
      <c r="JHU219" s="630"/>
      <c r="JHV219" s="630"/>
      <c r="JHW219" s="630"/>
      <c r="JHX219" s="630"/>
      <c r="JHY219" s="630"/>
      <c r="JHZ219" s="630"/>
      <c r="JIA219" s="630"/>
      <c r="JIB219" s="630"/>
      <c r="JIC219" s="630"/>
      <c r="JID219" s="630"/>
      <c r="JIE219" s="630"/>
      <c r="JIF219" s="630"/>
      <c r="JIG219" s="630"/>
      <c r="JIH219" s="630"/>
      <c r="JII219" s="630"/>
      <c r="JIJ219" s="630"/>
      <c r="JIK219" s="630"/>
      <c r="JIL219" s="630"/>
      <c r="JIM219" s="630"/>
      <c r="JIN219" s="630"/>
      <c r="JIO219" s="630"/>
      <c r="JIP219" s="630"/>
      <c r="JIQ219" s="630"/>
      <c r="JIR219" s="630"/>
      <c r="JIS219" s="630"/>
      <c r="JIT219" s="630"/>
      <c r="JIU219" s="630"/>
      <c r="JIV219" s="630"/>
      <c r="JIW219" s="630"/>
      <c r="JIX219" s="630"/>
      <c r="JIY219" s="630"/>
      <c r="JIZ219" s="630"/>
      <c r="JJA219" s="630"/>
      <c r="JJB219" s="630"/>
      <c r="JJC219" s="630"/>
      <c r="JJD219" s="630"/>
      <c r="JJE219" s="630"/>
      <c r="JJF219" s="630"/>
      <c r="JJG219" s="630"/>
      <c r="JJH219" s="630"/>
      <c r="JJI219" s="630"/>
      <c r="JJJ219" s="630"/>
      <c r="JJK219" s="630"/>
      <c r="JJL219" s="630"/>
      <c r="JJM219" s="630"/>
      <c r="JJN219" s="630"/>
      <c r="JJO219" s="630"/>
      <c r="JJP219" s="630"/>
      <c r="JJQ219" s="630"/>
      <c r="JJR219" s="630"/>
      <c r="JJS219" s="630"/>
      <c r="JJT219" s="630"/>
      <c r="JJU219" s="630"/>
      <c r="JJV219" s="630"/>
      <c r="JJW219" s="630"/>
      <c r="JJX219" s="630"/>
      <c r="JJY219" s="630"/>
      <c r="JJZ219" s="630"/>
      <c r="JKA219" s="630"/>
      <c r="JKB219" s="630"/>
      <c r="JKC219" s="630"/>
      <c r="JKD219" s="630"/>
      <c r="JKE219" s="630"/>
      <c r="JKF219" s="630"/>
      <c r="JKG219" s="630"/>
      <c r="JKH219" s="630"/>
      <c r="JKI219" s="630"/>
      <c r="JKJ219" s="630"/>
      <c r="JKK219" s="630"/>
      <c r="JKL219" s="630"/>
      <c r="JKM219" s="630"/>
      <c r="JKN219" s="630"/>
      <c r="JKO219" s="630"/>
      <c r="JKP219" s="630"/>
      <c r="JKQ219" s="630"/>
      <c r="JKR219" s="630"/>
      <c r="JKS219" s="630"/>
      <c r="JKT219" s="630"/>
      <c r="JKU219" s="630"/>
      <c r="JKV219" s="630"/>
      <c r="JKW219" s="630"/>
      <c r="JKX219" s="630"/>
      <c r="JKY219" s="630"/>
      <c r="JKZ219" s="630"/>
      <c r="JLA219" s="630"/>
      <c r="JLB219" s="630"/>
      <c r="JLC219" s="630"/>
      <c r="JLD219" s="630"/>
      <c r="JLE219" s="630"/>
      <c r="JLF219" s="630"/>
      <c r="JLG219" s="630"/>
      <c r="JLH219" s="630"/>
      <c r="JLI219" s="630"/>
      <c r="JLJ219" s="630"/>
      <c r="JLK219" s="630"/>
      <c r="JLL219" s="630"/>
      <c r="JLM219" s="630"/>
      <c r="JLN219" s="630"/>
      <c r="JLO219" s="630"/>
      <c r="JLP219" s="630"/>
      <c r="JLQ219" s="630"/>
      <c r="JLR219" s="630"/>
      <c r="JLS219" s="630"/>
      <c r="JLT219" s="630"/>
      <c r="JLU219" s="630"/>
      <c r="JLV219" s="630"/>
      <c r="JLW219" s="630"/>
      <c r="JLX219" s="630"/>
      <c r="JLY219" s="630"/>
      <c r="JLZ219" s="630"/>
      <c r="JMA219" s="630"/>
      <c r="JMB219" s="630"/>
      <c r="JMC219" s="630"/>
      <c r="JMD219" s="630"/>
      <c r="JME219" s="630"/>
      <c r="JMF219" s="630"/>
      <c r="JMG219" s="630"/>
      <c r="JMH219" s="630"/>
      <c r="JMI219" s="630"/>
      <c r="JMJ219" s="630"/>
      <c r="JMK219" s="630"/>
      <c r="JML219" s="630"/>
      <c r="JMM219" s="630"/>
      <c r="JMN219" s="630"/>
      <c r="JMO219" s="630"/>
      <c r="JMP219" s="630"/>
      <c r="JMQ219" s="630"/>
      <c r="JMR219" s="630"/>
      <c r="JMS219" s="630"/>
      <c r="JMT219" s="630"/>
      <c r="JMU219" s="630"/>
      <c r="JMV219" s="630"/>
      <c r="JMW219" s="630"/>
      <c r="JMX219" s="630"/>
      <c r="JMY219" s="630"/>
      <c r="JMZ219" s="630"/>
      <c r="JNA219" s="630"/>
      <c r="JNB219" s="630"/>
      <c r="JNC219" s="630"/>
      <c r="JND219" s="630"/>
      <c r="JNE219" s="630"/>
      <c r="JNF219" s="630"/>
      <c r="JNG219" s="630"/>
      <c r="JNH219" s="630"/>
      <c r="JNI219" s="630"/>
      <c r="JNJ219" s="630"/>
      <c r="JNK219" s="630"/>
      <c r="JNL219" s="630"/>
      <c r="JNM219" s="630"/>
      <c r="JNN219" s="630"/>
      <c r="JNO219" s="630"/>
      <c r="JNP219" s="630"/>
      <c r="JNQ219" s="630"/>
      <c r="JNR219" s="630"/>
      <c r="JNS219" s="630"/>
      <c r="JNT219" s="630"/>
      <c r="JNU219" s="630"/>
      <c r="JNV219" s="630"/>
      <c r="JNW219" s="630"/>
      <c r="JNX219" s="630"/>
      <c r="JNY219" s="630"/>
      <c r="JNZ219" s="630"/>
      <c r="JOA219" s="630"/>
      <c r="JOB219" s="630"/>
      <c r="JOC219" s="630"/>
      <c r="JOD219" s="630"/>
      <c r="JOE219" s="630"/>
      <c r="JOF219" s="630"/>
      <c r="JOG219" s="630"/>
      <c r="JOH219" s="630"/>
      <c r="JOI219" s="630"/>
      <c r="JOJ219" s="630"/>
      <c r="JOK219" s="630"/>
      <c r="JOL219" s="630"/>
      <c r="JOM219" s="630"/>
      <c r="JON219" s="630"/>
      <c r="JOO219" s="630"/>
      <c r="JOP219" s="630"/>
      <c r="JOQ219" s="630"/>
      <c r="JOR219" s="630"/>
      <c r="JOS219" s="630"/>
      <c r="JOT219" s="630"/>
      <c r="JOU219" s="630"/>
      <c r="JOV219" s="630"/>
      <c r="JOW219" s="630"/>
      <c r="JOX219" s="630"/>
      <c r="JOY219" s="630"/>
      <c r="JOZ219" s="630"/>
      <c r="JPA219" s="630"/>
      <c r="JPB219" s="630"/>
      <c r="JPC219" s="630"/>
      <c r="JPD219" s="630"/>
      <c r="JPE219" s="630"/>
      <c r="JPF219" s="630"/>
      <c r="JPG219" s="630"/>
      <c r="JPH219" s="630"/>
      <c r="JPI219" s="630"/>
      <c r="JPJ219" s="630"/>
      <c r="JPK219" s="630"/>
      <c r="JPL219" s="630"/>
      <c r="JPM219" s="630"/>
      <c r="JPN219" s="630"/>
      <c r="JPO219" s="630"/>
      <c r="JPP219" s="630"/>
      <c r="JPQ219" s="630"/>
      <c r="JPR219" s="630"/>
      <c r="JPS219" s="630"/>
      <c r="JPT219" s="630"/>
      <c r="JPU219" s="630"/>
      <c r="JPV219" s="630"/>
      <c r="JPW219" s="630"/>
      <c r="JPX219" s="630"/>
      <c r="JPY219" s="630"/>
      <c r="JPZ219" s="630"/>
      <c r="JQA219" s="630"/>
      <c r="JQB219" s="630"/>
      <c r="JQC219" s="630"/>
      <c r="JQD219" s="630"/>
      <c r="JQE219" s="630"/>
      <c r="JQF219" s="630"/>
      <c r="JQG219" s="630"/>
      <c r="JQH219" s="630"/>
      <c r="JQI219" s="630"/>
      <c r="JQJ219" s="630"/>
      <c r="JQK219" s="630"/>
      <c r="JQL219" s="630"/>
      <c r="JQM219" s="630"/>
      <c r="JQN219" s="630"/>
      <c r="JQO219" s="630"/>
      <c r="JQP219" s="630"/>
      <c r="JQQ219" s="630"/>
      <c r="JQR219" s="630"/>
      <c r="JQS219" s="630"/>
      <c r="JQT219" s="630"/>
      <c r="JQU219" s="630"/>
      <c r="JQV219" s="630"/>
      <c r="JQW219" s="630"/>
      <c r="JQX219" s="630"/>
      <c r="JQY219" s="630"/>
      <c r="JQZ219" s="630"/>
      <c r="JRA219" s="630"/>
      <c r="JRB219" s="630"/>
      <c r="JRC219" s="630"/>
      <c r="JRD219" s="630"/>
      <c r="JRE219" s="630"/>
      <c r="JRF219" s="630"/>
      <c r="JRG219" s="630"/>
      <c r="JRH219" s="630"/>
      <c r="JRI219" s="630"/>
      <c r="JRJ219" s="630"/>
      <c r="JRK219" s="630"/>
      <c r="JRL219" s="630"/>
      <c r="JRM219" s="630"/>
      <c r="JRN219" s="630"/>
      <c r="JRO219" s="630"/>
      <c r="JRP219" s="630"/>
      <c r="JRQ219" s="630"/>
      <c r="JRR219" s="630"/>
      <c r="JRS219" s="630"/>
      <c r="JRT219" s="630"/>
      <c r="JRU219" s="630"/>
      <c r="JRV219" s="630"/>
      <c r="JRW219" s="630"/>
      <c r="JRX219" s="630"/>
      <c r="JRY219" s="630"/>
      <c r="JRZ219" s="630"/>
      <c r="JSA219" s="630"/>
      <c r="JSB219" s="630"/>
      <c r="JSC219" s="630"/>
      <c r="JSD219" s="630"/>
      <c r="JSE219" s="630"/>
      <c r="JSF219" s="630"/>
      <c r="JSG219" s="630"/>
      <c r="JSH219" s="630"/>
      <c r="JSI219" s="630"/>
      <c r="JSJ219" s="630"/>
      <c r="JSK219" s="630"/>
      <c r="JSL219" s="630"/>
      <c r="JSM219" s="630"/>
      <c r="JSN219" s="630"/>
      <c r="JSO219" s="630"/>
      <c r="JSP219" s="630"/>
      <c r="JSQ219" s="630"/>
      <c r="JSR219" s="630"/>
      <c r="JSS219" s="630"/>
      <c r="JST219" s="630"/>
      <c r="JSU219" s="630"/>
      <c r="JSV219" s="630"/>
      <c r="JSW219" s="630"/>
      <c r="JSX219" s="630"/>
      <c r="JSY219" s="630"/>
      <c r="JSZ219" s="630"/>
      <c r="JTA219" s="630"/>
      <c r="JTB219" s="630"/>
      <c r="JTC219" s="630"/>
      <c r="JTD219" s="630"/>
      <c r="JTE219" s="630"/>
      <c r="JTF219" s="630"/>
      <c r="JTG219" s="630"/>
      <c r="JTH219" s="630"/>
      <c r="JTI219" s="630"/>
      <c r="JTJ219" s="630"/>
      <c r="JTK219" s="630"/>
      <c r="JTL219" s="630"/>
      <c r="JTM219" s="630"/>
      <c r="JTN219" s="630"/>
      <c r="JTO219" s="630"/>
      <c r="JTP219" s="630"/>
      <c r="JTQ219" s="630"/>
      <c r="JTR219" s="630"/>
      <c r="JTS219" s="630"/>
      <c r="JTT219" s="630"/>
      <c r="JTU219" s="630"/>
      <c r="JTV219" s="630"/>
      <c r="JTW219" s="630"/>
      <c r="JTX219" s="630"/>
      <c r="JTY219" s="630"/>
      <c r="JTZ219" s="630"/>
      <c r="JUA219" s="630"/>
      <c r="JUB219" s="630"/>
      <c r="JUC219" s="630"/>
      <c r="JUD219" s="630"/>
      <c r="JUE219" s="630"/>
      <c r="JUF219" s="630"/>
      <c r="JUG219" s="630"/>
      <c r="JUH219" s="630"/>
      <c r="JUI219" s="630"/>
      <c r="JUJ219" s="630"/>
      <c r="JUK219" s="630"/>
      <c r="JUL219" s="630"/>
      <c r="JUM219" s="630"/>
      <c r="JUN219" s="630"/>
      <c r="JUO219" s="630"/>
      <c r="JUP219" s="630"/>
      <c r="JUQ219" s="630"/>
      <c r="JUR219" s="630"/>
      <c r="JUS219" s="630"/>
      <c r="JUT219" s="630"/>
      <c r="JUU219" s="630"/>
      <c r="JUV219" s="630"/>
      <c r="JUW219" s="630"/>
      <c r="JUX219" s="630"/>
      <c r="JUY219" s="630"/>
      <c r="JUZ219" s="630"/>
      <c r="JVA219" s="630"/>
      <c r="JVB219" s="630"/>
      <c r="JVC219" s="630"/>
      <c r="JVD219" s="630"/>
      <c r="JVE219" s="630"/>
      <c r="JVF219" s="630"/>
      <c r="JVG219" s="630"/>
      <c r="JVH219" s="630"/>
      <c r="JVI219" s="630"/>
      <c r="JVJ219" s="630"/>
      <c r="JVK219" s="630"/>
      <c r="JVL219" s="630"/>
      <c r="JVM219" s="630"/>
      <c r="JVN219" s="630"/>
      <c r="JVO219" s="630"/>
      <c r="JVP219" s="630"/>
      <c r="JVQ219" s="630"/>
      <c r="JVR219" s="630"/>
      <c r="JVS219" s="630"/>
      <c r="JVT219" s="630"/>
      <c r="JVU219" s="630"/>
      <c r="JVV219" s="630"/>
      <c r="JVW219" s="630"/>
      <c r="JVX219" s="630"/>
      <c r="JVY219" s="630"/>
      <c r="JVZ219" s="630"/>
      <c r="JWA219" s="630"/>
      <c r="JWB219" s="630"/>
      <c r="JWC219" s="630"/>
      <c r="JWD219" s="630"/>
      <c r="JWE219" s="630"/>
      <c r="JWF219" s="630"/>
      <c r="JWG219" s="630"/>
      <c r="JWH219" s="630"/>
      <c r="JWI219" s="630"/>
      <c r="JWJ219" s="630"/>
      <c r="JWK219" s="630"/>
      <c r="JWL219" s="630"/>
      <c r="JWM219" s="630"/>
      <c r="JWN219" s="630"/>
      <c r="JWO219" s="630"/>
      <c r="JWP219" s="630"/>
      <c r="JWQ219" s="630"/>
      <c r="JWR219" s="630"/>
      <c r="JWS219" s="630"/>
      <c r="JWT219" s="630"/>
      <c r="JWU219" s="630"/>
      <c r="JWV219" s="630"/>
      <c r="JWW219" s="630"/>
      <c r="JWX219" s="630"/>
      <c r="JWY219" s="630"/>
      <c r="JWZ219" s="630"/>
      <c r="JXA219" s="630"/>
      <c r="JXB219" s="630"/>
      <c r="JXC219" s="630"/>
      <c r="JXD219" s="630"/>
      <c r="JXE219" s="630"/>
      <c r="JXF219" s="630"/>
      <c r="JXG219" s="630"/>
      <c r="JXH219" s="630"/>
      <c r="JXI219" s="630"/>
      <c r="JXJ219" s="630"/>
      <c r="JXK219" s="630"/>
      <c r="JXL219" s="630"/>
      <c r="JXM219" s="630"/>
      <c r="JXN219" s="630"/>
      <c r="JXO219" s="630"/>
      <c r="JXP219" s="630"/>
      <c r="JXQ219" s="630"/>
      <c r="JXR219" s="630"/>
      <c r="JXS219" s="630"/>
      <c r="JXT219" s="630"/>
      <c r="JXU219" s="630"/>
      <c r="JXV219" s="630"/>
      <c r="JXW219" s="630"/>
      <c r="JXX219" s="630"/>
      <c r="JXY219" s="630"/>
      <c r="JXZ219" s="630"/>
      <c r="JYA219" s="630"/>
      <c r="JYB219" s="630"/>
      <c r="JYC219" s="630"/>
      <c r="JYD219" s="630"/>
      <c r="JYE219" s="630"/>
      <c r="JYF219" s="630"/>
      <c r="JYG219" s="630"/>
      <c r="JYH219" s="630"/>
      <c r="JYI219" s="630"/>
      <c r="JYJ219" s="630"/>
      <c r="JYK219" s="630"/>
      <c r="JYL219" s="630"/>
      <c r="JYM219" s="630"/>
      <c r="JYN219" s="630"/>
      <c r="JYO219" s="630"/>
      <c r="JYP219" s="630"/>
      <c r="JYQ219" s="630"/>
      <c r="JYR219" s="630"/>
      <c r="JYS219" s="630"/>
      <c r="JYT219" s="630"/>
      <c r="JYU219" s="630"/>
      <c r="JYV219" s="630"/>
      <c r="JYW219" s="630"/>
      <c r="JYX219" s="630"/>
      <c r="JYY219" s="630"/>
      <c r="JYZ219" s="630"/>
      <c r="JZA219" s="630"/>
      <c r="JZB219" s="630"/>
      <c r="JZC219" s="630"/>
      <c r="JZD219" s="630"/>
      <c r="JZE219" s="630"/>
      <c r="JZF219" s="630"/>
      <c r="JZG219" s="630"/>
      <c r="JZH219" s="630"/>
      <c r="JZI219" s="630"/>
      <c r="JZJ219" s="630"/>
      <c r="JZK219" s="630"/>
      <c r="JZL219" s="630"/>
      <c r="JZM219" s="630"/>
      <c r="JZN219" s="630"/>
      <c r="JZO219" s="630"/>
      <c r="JZP219" s="630"/>
      <c r="JZQ219" s="630"/>
      <c r="JZR219" s="630"/>
      <c r="JZS219" s="630"/>
      <c r="JZT219" s="630"/>
      <c r="JZU219" s="630"/>
      <c r="JZV219" s="630"/>
      <c r="JZW219" s="630"/>
      <c r="JZX219" s="630"/>
      <c r="JZY219" s="630"/>
      <c r="JZZ219" s="630"/>
      <c r="KAA219" s="630"/>
      <c r="KAB219" s="630"/>
      <c r="KAC219" s="630"/>
      <c r="KAD219" s="630"/>
      <c r="KAE219" s="630"/>
      <c r="KAF219" s="630"/>
      <c r="KAG219" s="630"/>
      <c r="KAH219" s="630"/>
      <c r="KAI219" s="630"/>
      <c r="KAJ219" s="630"/>
      <c r="KAK219" s="630"/>
      <c r="KAL219" s="630"/>
      <c r="KAM219" s="630"/>
      <c r="KAN219" s="630"/>
      <c r="KAO219" s="630"/>
      <c r="KAP219" s="630"/>
      <c r="KAQ219" s="630"/>
      <c r="KAR219" s="630"/>
      <c r="KAS219" s="630"/>
      <c r="KAT219" s="630"/>
      <c r="KAU219" s="630"/>
      <c r="KAV219" s="630"/>
      <c r="KAW219" s="630"/>
      <c r="KAX219" s="630"/>
      <c r="KAY219" s="630"/>
      <c r="KAZ219" s="630"/>
      <c r="KBA219" s="630"/>
      <c r="KBB219" s="630"/>
      <c r="KBC219" s="630"/>
      <c r="KBD219" s="630"/>
      <c r="KBE219" s="630"/>
      <c r="KBF219" s="630"/>
      <c r="KBG219" s="630"/>
      <c r="KBH219" s="630"/>
      <c r="KBI219" s="630"/>
      <c r="KBJ219" s="630"/>
      <c r="KBK219" s="630"/>
      <c r="KBL219" s="630"/>
      <c r="KBM219" s="630"/>
      <c r="KBN219" s="630"/>
      <c r="KBO219" s="630"/>
      <c r="KBP219" s="630"/>
      <c r="KBQ219" s="630"/>
      <c r="KBR219" s="630"/>
      <c r="KBS219" s="630"/>
      <c r="KBT219" s="630"/>
      <c r="KBU219" s="630"/>
      <c r="KBV219" s="630"/>
      <c r="KBW219" s="630"/>
      <c r="KBX219" s="630"/>
      <c r="KBY219" s="630"/>
      <c r="KBZ219" s="630"/>
      <c r="KCA219" s="630"/>
      <c r="KCB219" s="630"/>
      <c r="KCC219" s="630"/>
      <c r="KCD219" s="630"/>
      <c r="KCE219" s="630"/>
      <c r="KCF219" s="630"/>
      <c r="KCG219" s="630"/>
      <c r="KCH219" s="630"/>
      <c r="KCI219" s="630"/>
      <c r="KCJ219" s="630"/>
      <c r="KCK219" s="630"/>
      <c r="KCL219" s="630"/>
      <c r="KCM219" s="630"/>
      <c r="KCN219" s="630"/>
      <c r="KCO219" s="630"/>
      <c r="KCP219" s="630"/>
      <c r="KCQ219" s="630"/>
      <c r="KCR219" s="630"/>
      <c r="KCS219" s="630"/>
      <c r="KCT219" s="630"/>
      <c r="KCU219" s="630"/>
      <c r="KCV219" s="630"/>
      <c r="KCW219" s="630"/>
      <c r="KCX219" s="630"/>
      <c r="KCY219" s="630"/>
      <c r="KCZ219" s="630"/>
      <c r="KDA219" s="630"/>
      <c r="KDB219" s="630"/>
      <c r="KDC219" s="630"/>
      <c r="KDD219" s="630"/>
      <c r="KDE219" s="630"/>
      <c r="KDF219" s="630"/>
      <c r="KDG219" s="630"/>
      <c r="KDH219" s="630"/>
      <c r="KDI219" s="630"/>
      <c r="KDJ219" s="630"/>
      <c r="KDK219" s="630"/>
      <c r="KDL219" s="630"/>
      <c r="KDM219" s="630"/>
      <c r="KDN219" s="630"/>
      <c r="KDO219" s="630"/>
      <c r="KDP219" s="630"/>
      <c r="KDQ219" s="630"/>
      <c r="KDR219" s="630"/>
      <c r="KDS219" s="630"/>
      <c r="KDT219" s="630"/>
      <c r="KDU219" s="630"/>
      <c r="KDV219" s="630"/>
      <c r="KDW219" s="630"/>
      <c r="KDX219" s="630"/>
      <c r="KDY219" s="630"/>
      <c r="KDZ219" s="630"/>
      <c r="KEA219" s="630"/>
      <c r="KEB219" s="630"/>
      <c r="KEC219" s="630"/>
      <c r="KED219" s="630"/>
      <c r="KEE219" s="630"/>
      <c r="KEF219" s="630"/>
      <c r="KEG219" s="630"/>
      <c r="KEH219" s="630"/>
      <c r="KEI219" s="630"/>
      <c r="KEJ219" s="630"/>
      <c r="KEK219" s="630"/>
      <c r="KEL219" s="630"/>
      <c r="KEM219" s="630"/>
      <c r="KEN219" s="630"/>
      <c r="KEO219" s="630"/>
      <c r="KEP219" s="630"/>
      <c r="KEQ219" s="630"/>
      <c r="KER219" s="630"/>
      <c r="KES219" s="630"/>
      <c r="KET219" s="630"/>
      <c r="KEU219" s="630"/>
      <c r="KEV219" s="630"/>
      <c r="KEW219" s="630"/>
      <c r="KEX219" s="630"/>
      <c r="KEY219" s="630"/>
      <c r="KEZ219" s="630"/>
      <c r="KFA219" s="630"/>
      <c r="KFB219" s="630"/>
      <c r="KFC219" s="630"/>
      <c r="KFD219" s="630"/>
      <c r="KFE219" s="630"/>
      <c r="KFF219" s="630"/>
      <c r="KFG219" s="630"/>
      <c r="KFH219" s="630"/>
      <c r="KFI219" s="630"/>
      <c r="KFJ219" s="630"/>
      <c r="KFK219" s="630"/>
      <c r="KFL219" s="630"/>
      <c r="KFM219" s="630"/>
      <c r="KFN219" s="630"/>
      <c r="KFO219" s="630"/>
      <c r="KFP219" s="630"/>
      <c r="KFQ219" s="630"/>
      <c r="KFR219" s="630"/>
      <c r="KFS219" s="630"/>
      <c r="KFT219" s="630"/>
      <c r="KFU219" s="630"/>
      <c r="KFV219" s="630"/>
      <c r="KFW219" s="630"/>
      <c r="KFX219" s="630"/>
      <c r="KFY219" s="630"/>
      <c r="KFZ219" s="630"/>
      <c r="KGA219" s="630"/>
      <c r="KGB219" s="630"/>
      <c r="KGC219" s="630"/>
      <c r="KGD219" s="630"/>
      <c r="KGE219" s="630"/>
      <c r="KGF219" s="630"/>
      <c r="KGG219" s="630"/>
      <c r="KGH219" s="630"/>
      <c r="KGI219" s="630"/>
      <c r="KGJ219" s="630"/>
      <c r="KGK219" s="630"/>
      <c r="KGL219" s="630"/>
      <c r="KGM219" s="630"/>
      <c r="KGN219" s="630"/>
      <c r="KGO219" s="630"/>
      <c r="KGP219" s="630"/>
      <c r="KGQ219" s="630"/>
      <c r="KGR219" s="630"/>
      <c r="KGS219" s="630"/>
      <c r="KGT219" s="630"/>
      <c r="KGU219" s="630"/>
      <c r="KGV219" s="630"/>
      <c r="KGW219" s="630"/>
      <c r="KGX219" s="630"/>
      <c r="KGY219" s="630"/>
      <c r="KGZ219" s="630"/>
      <c r="KHA219" s="630"/>
      <c r="KHB219" s="630"/>
      <c r="KHC219" s="630"/>
      <c r="KHD219" s="630"/>
      <c r="KHE219" s="630"/>
      <c r="KHF219" s="630"/>
      <c r="KHG219" s="630"/>
      <c r="KHH219" s="630"/>
      <c r="KHI219" s="630"/>
      <c r="KHJ219" s="630"/>
      <c r="KHK219" s="630"/>
      <c r="KHL219" s="630"/>
      <c r="KHM219" s="630"/>
      <c r="KHN219" s="630"/>
      <c r="KHO219" s="630"/>
      <c r="KHP219" s="630"/>
      <c r="KHQ219" s="630"/>
      <c r="KHR219" s="630"/>
      <c r="KHS219" s="630"/>
      <c r="KHT219" s="630"/>
      <c r="KHU219" s="630"/>
      <c r="KHV219" s="630"/>
      <c r="KHW219" s="630"/>
      <c r="KHX219" s="630"/>
      <c r="KHY219" s="630"/>
      <c r="KHZ219" s="630"/>
      <c r="KIA219" s="630"/>
      <c r="KIB219" s="630"/>
      <c r="KIC219" s="630"/>
      <c r="KID219" s="630"/>
      <c r="KIE219" s="630"/>
      <c r="KIF219" s="630"/>
      <c r="KIG219" s="630"/>
      <c r="KIH219" s="630"/>
      <c r="KII219" s="630"/>
      <c r="KIJ219" s="630"/>
      <c r="KIK219" s="630"/>
      <c r="KIL219" s="630"/>
      <c r="KIM219" s="630"/>
      <c r="KIN219" s="630"/>
      <c r="KIO219" s="630"/>
      <c r="KIP219" s="630"/>
      <c r="KIQ219" s="630"/>
      <c r="KIR219" s="630"/>
      <c r="KIS219" s="630"/>
      <c r="KIT219" s="630"/>
      <c r="KIU219" s="630"/>
      <c r="KIV219" s="630"/>
      <c r="KIW219" s="630"/>
      <c r="KIX219" s="630"/>
      <c r="KIY219" s="630"/>
      <c r="KIZ219" s="630"/>
      <c r="KJA219" s="630"/>
      <c r="KJB219" s="630"/>
      <c r="KJC219" s="630"/>
      <c r="KJD219" s="630"/>
      <c r="KJE219" s="630"/>
      <c r="KJF219" s="630"/>
      <c r="KJG219" s="630"/>
      <c r="KJH219" s="630"/>
      <c r="KJI219" s="630"/>
      <c r="KJJ219" s="630"/>
      <c r="KJK219" s="630"/>
      <c r="KJL219" s="630"/>
      <c r="KJM219" s="630"/>
      <c r="KJN219" s="630"/>
      <c r="KJO219" s="630"/>
      <c r="KJP219" s="630"/>
      <c r="KJQ219" s="630"/>
      <c r="KJR219" s="630"/>
      <c r="KJS219" s="630"/>
      <c r="KJT219" s="630"/>
      <c r="KJU219" s="630"/>
      <c r="KJV219" s="630"/>
      <c r="KJW219" s="630"/>
      <c r="KJX219" s="630"/>
      <c r="KJY219" s="630"/>
      <c r="KJZ219" s="630"/>
      <c r="KKA219" s="630"/>
      <c r="KKB219" s="630"/>
      <c r="KKC219" s="630"/>
      <c r="KKD219" s="630"/>
      <c r="KKE219" s="630"/>
      <c r="KKF219" s="630"/>
      <c r="KKG219" s="630"/>
      <c r="KKH219" s="630"/>
      <c r="KKI219" s="630"/>
      <c r="KKJ219" s="630"/>
      <c r="KKK219" s="630"/>
      <c r="KKL219" s="630"/>
      <c r="KKM219" s="630"/>
      <c r="KKN219" s="630"/>
      <c r="KKO219" s="630"/>
      <c r="KKP219" s="630"/>
      <c r="KKQ219" s="630"/>
      <c r="KKR219" s="630"/>
      <c r="KKS219" s="630"/>
      <c r="KKT219" s="630"/>
      <c r="KKU219" s="630"/>
      <c r="KKV219" s="630"/>
      <c r="KKW219" s="630"/>
      <c r="KKX219" s="630"/>
      <c r="KKY219" s="630"/>
      <c r="KKZ219" s="630"/>
      <c r="KLA219" s="630"/>
      <c r="KLB219" s="630"/>
      <c r="KLC219" s="630"/>
      <c r="KLD219" s="630"/>
      <c r="KLE219" s="630"/>
      <c r="KLF219" s="630"/>
      <c r="KLG219" s="630"/>
      <c r="KLH219" s="630"/>
      <c r="KLI219" s="630"/>
      <c r="KLJ219" s="630"/>
      <c r="KLK219" s="630"/>
      <c r="KLL219" s="630"/>
      <c r="KLM219" s="630"/>
      <c r="KLN219" s="630"/>
      <c r="KLO219" s="630"/>
      <c r="KLP219" s="630"/>
      <c r="KLQ219" s="630"/>
      <c r="KLR219" s="630"/>
      <c r="KLS219" s="630"/>
      <c r="KLT219" s="630"/>
      <c r="KLU219" s="630"/>
      <c r="KLV219" s="630"/>
      <c r="KLW219" s="630"/>
      <c r="KLX219" s="630"/>
      <c r="KLY219" s="630"/>
      <c r="KLZ219" s="630"/>
      <c r="KMA219" s="630"/>
      <c r="KMB219" s="630"/>
      <c r="KMC219" s="630"/>
      <c r="KMD219" s="630"/>
      <c r="KME219" s="630"/>
      <c r="KMF219" s="630"/>
      <c r="KMG219" s="630"/>
      <c r="KMH219" s="630"/>
      <c r="KMI219" s="630"/>
      <c r="KMJ219" s="630"/>
      <c r="KMK219" s="630"/>
      <c r="KML219" s="630"/>
      <c r="KMM219" s="630"/>
      <c r="KMN219" s="630"/>
      <c r="KMO219" s="630"/>
      <c r="KMP219" s="630"/>
      <c r="KMQ219" s="630"/>
      <c r="KMR219" s="630"/>
      <c r="KMS219" s="630"/>
      <c r="KMT219" s="630"/>
      <c r="KMU219" s="630"/>
      <c r="KMV219" s="630"/>
      <c r="KMW219" s="630"/>
      <c r="KMX219" s="630"/>
      <c r="KMY219" s="630"/>
      <c r="KMZ219" s="630"/>
      <c r="KNA219" s="630"/>
      <c r="KNB219" s="630"/>
      <c r="KNC219" s="630"/>
      <c r="KND219" s="630"/>
      <c r="KNE219" s="630"/>
      <c r="KNF219" s="630"/>
      <c r="KNG219" s="630"/>
      <c r="KNH219" s="630"/>
      <c r="KNI219" s="630"/>
      <c r="KNJ219" s="630"/>
      <c r="KNK219" s="630"/>
      <c r="KNL219" s="630"/>
      <c r="KNM219" s="630"/>
      <c r="KNN219" s="630"/>
      <c r="KNO219" s="630"/>
      <c r="KNP219" s="630"/>
      <c r="KNQ219" s="630"/>
      <c r="KNR219" s="630"/>
      <c r="KNS219" s="630"/>
      <c r="KNT219" s="630"/>
      <c r="KNU219" s="630"/>
      <c r="KNV219" s="630"/>
      <c r="KNW219" s="630"/>
      <c r="KNX219" s="630"/>
      <c r="KNY219" s="630"/>
      <c r="KNZ219" s="630"/>
      <c r="KOA219" s="630"/>
      <c r="KOB219" s="630"/>
      <c r="KOC219" s="630"/>
      <c r="KOD219" s="630"/>
      <c r="KOE219" s="630"/>
      <c r="KOF219" s="630"/>
      <c r="KOG219" s="630"/>
      <c r="KOH219" s="630"/>
      <c r="KOI219" s="630"/>
      <c r="KOJ219" s="630"/>
      <c r="KOK219" s="630"/>
      <c r="KOL219" s="630"/>
      <c r="KOM219" s="630"/>
      <c r="KON219" s="630"/>
      <c r="KOO219" s="630"/>
      <c r="KOP219" s="630"/>
      <c r="KOQ219" s="630"/>
      <c r="KOR219" s="630"/>
      <c r="KOS219" s="630"/>
      <c r="KOT219" s="630"/>
      <c r="KOU219" s="630"/>
      <c r="KOV219" s="630"/>
      <c r="KOW219" s="630"/>
      <c r="KOX219" s="630"/>
      <c r="KOY219" s="630"/>
      <c r="KOZ219" s="630"/>
      <c r="KPA219" s="630"/>
      <c r="KPB219" s="630"/>
      <c r="KPC219" s="630"/>
      <c r="KPD219" s="630"/>
      <c r="KPE219" s="630"/>
      <c r="KPF219" s="630"/>
      <c r="KPG219" s="630"/>
      <c r="KPH219" s="630"/>
      <c r="KPI219" s="630"/>
      <c r="KPJ219" s="630"/>
      <c r="KPK219" s="630"/>
      <c r="KPL219" s="630"/>
      <c r="KPM219" s="630"/>
      <c r="KPN219" s="630"/>
      <c r="KPO219" s="630"/>
      <c r="KPP219" s="630"/>
      <c r="KPQ219" s="630"/>
      <c r="KPR219" s="630"/>
      <c r="KPS219" s="630"/>
      <c r="KPT219" s="630"/>
      <c r="KPU219" s="630"/>
      <c r="KPV219" s="630"/>
      <c r="KPW219" s="630"/>
      <c r="KPX219" s="630"/>
      <c r="KPY219" s="630"/>
      <c r="KPZ219" s="630"/>
      <c r="KQA219" s="630"/>
      <c r="KQB219" s="630"/>
      <c r="KQC219" s="630"/>
      <c r="KQD219" s="630"/>
      <c r="KQE219" s="630"/>
      <c r="KQF219" s="630"/>
      <c r="KQG219" s="630"/>
      <c r="KQH219" s="630"/>
      <c r="KQI219" s="630"/>
      <c r="KQJ219" s="630"/>
      <c r="KQK219" s="630"/>
      <c r="KQL219" s="630"/>
      <c r="KQM219" s="630"/>
      <c r="KQN219" s="630"/>
      <c r="KQO219" s="630"/>
      <c r="KQP219" s="630"/>
      <c r="KQQ219" s="630"/>
      <c r="KQR219" s="630"/>
      <c r="KQS219" s="630"/>
      <c r="KQT219" s="630"/>
      <c r="KQU219" s="630"/>
      <c r="KQV219" s="630"/>
      <c r="KQW219" s="630"/>
      <c r="KQX219" s="630"/>
      <c r="KQY219" s="630"/>
      <c r="KQZ219" s="630"/>
      <c r="KRA219" s="630"/>
      <c r="KRB219" s="630"/>
      <c r="KRC219" s="630"/>
      <c r="KRD219" s="630"/>
      <c r="KRE219" s="630"/>
      <c r="KRF219" s="630"/>
      <c r="KRG219" s="630"/>
      <c r="KRH219" s="630"/>
      <c r="KRI219" s="630"/>
      <c r="KRJ219" s="630"/>
      <c r="KRK219" s="630"/>
      <c r="KRL219" s="630"/>
      <c r="KRM219" s="630"/>
      <c r="KRN219" s="630"/>
      <c r="KRO219" s="630"/>
      <c r="KRP219" s="630"/>
      <c r="KRQ219" s="630"/>
      <c r="KRR219" s="630"/>
      <c r="KRS219" s="630"/>
      <c r="KRT219" s="630"/>
      <c r="KRU219" s="630"/>
      <c r="KRV219" s="630"/>
      <c r="KRW219" s="630"/>
      <c r="KRX219" s="630"/>
      <c r="KRY219" s="630"/>
      <c r="KRZ219" s="630"/>
      <c r="KSA219" s="630"/>
      <c r="KSB219" s="630"/>
      <c r="KSC219" s="630"/>
      <c r="KSD219" s="630"/>
      <c r="KSE219" s="630"/>
      <c r="KSF219" s="630"/>
      <c r="KSG219" s="630"/>
      <c r="KSH219" s="630"/>
      <c r="KSI219" s="630"/>
      <c r="KSJ219" s="630"/>
      <c r="KSK219" s="630"/>
      <c r="KSL219" s="630"/>
      <c r="KSM219" s="630"/>
      <c r="KSN219" s="630"/>
      <c r="KSO219" s="630"/>
      <c r="KSP219" s="630"/>
      <c r="KSQ219" s="630"/>
      <c r="KSR219" s="630"/>
      <c r="KSS219" s="630"/>
      <c r="KST219" s="630"/>
      <c r="KSU219" s="630"/>
      <c r="KSV219" s="630"/>
      <c r="KSW219" s="630"/>
      <c r="KSX219" s="630"/>
      <c r="KSY219" s="630"/>
      <c r="KSZ219" s="630"/>
      <c r="KTA219" s="630"/>
      <c r="KTB219" s="630"/>
      <c r="KTC219" s="630"/>
      <c r="KTD219" s="630"/>
      <c r="KTE219" s="630"/>
      <c r="KTF219" s="630"/>
      <c r="KTG219" s="630"/>
      <c r="KTH219" s="630"/>
      <c r="KTI219" s="630"/>
      <c r="KTJ219" s="630"/>
      <c r="KTK219" s="630"/>
      <c r="KTL219" s="630"/>
      <c r="KTM219" s="630"/>
      <c r="KTN219" s="630"/>
      <c r="KTO219" s="630"/>
      <c r="KTP219" s="630"/>
      <c r="KTQ219" s="630"/>
      <c r="KTR219" s="630"/>
      <c r="KTS219" s="630"/>
      <c r="KTT219" s="630"/>
      <c r="KTU219" s="630"/>
      <c r="KTV219" s="630"/>
      <c r="KTW219" s="630"/>
      <c r="KTX219" s="630"/>
      <c r="KTY219" s="630"/>
      <c r="KTZ219" s="630"/>
      <c r="KUA219" s="630"/>
      <c r="KUB219" s="630"/>
      <c r="KUC219" s="630"/>
      <c r="KUD219" s="630"/>
      <c r="KUE219" s="630"/>
      <c r="KUF219" s="630"/>
      <c r="KUG219" s="630"/>
      <c r="KUH219" s="630"/>
      <c r="KUI219" s="630"/>
      <c r="KUJ219" s="630"/>
      <c r="KUK219" s="630"/>
      <c r="KUL219" s="630"/>
      <c r="KUM219" s="630"/>
      <c r="KUN219" s="630"/>
      <c r="KUO219" s="630"/>
      <c r="KUP219" s="630"/>
      <c r="KUQ219" s="630"/>
      <c r="KUR219" s="630"/>
      <c r="KUS219" s="630"/>
      <c r="KUT219" s="630"/>
      <c r="KUU219" s="630"/>
      <c r="KUV219" s="630"/>
      <c r="KUW219" s="630"/>
      <c r="KUX219" s="630"/>
      <c r="KUY219" s="630"/>
      <c r="KUZ219" s="630"/>
      <c r="KVA219" s="630"/>
      <c r="KVB219" s="630"/>
      <c r="KVC219" s="630"/>
      <c r="KVD219" s="630"/>
      <c r="KVE219" s="630"/>
      <c r="KVF219" s="630"/>
      <c r="KVG219" s="630"/>
      <c r="KVH219" s="630"/>
      <c r="KVI219" s="630"/>
      <c r="KVJ219" s="630"/>
      <c r="KVK219" s="630"/>
      <c r="KVL219" s="630"/>
      <c r="KVM219" s="630"/>
      <c r="KVN219" s="630"/>
      <c r="KVO219" s="630"/>
      <c r="KVP219" s="630"/>
      <c r="KVQ219" s="630"/>
      <c r="KVR219" s="630"/>
      <c r="KVS219" s="630"/>
      <c r="KVT219" s="630"/>
      <c r="KVU219" s="630"/>
      <c r="KVV219" s="630"/>
      <c r="KVW219" s="630"/>
      <c r="KVX219" s="630"/>
      <c r="KVY219" s="630"/>
      <c r="KVZ219" s="630"/>
      <c r="KWA219" s="630"/>
      <c r="KWB219" s="630"/>
      <c r="KWC219" s="630"/>
      <c r="KWD219" s="630"/>
      <c r="KWE219" s="630"/>
      <c r="KWF219" s="630"/>
      <c r="KWG219" s="630"/>
      <c r="KWH219" s="630"/>
      <c r="KWI219" s="630"/>
      <c r="KWJ219" s="630"/>
      <c r="KWK219" s="630"/>
      <c r="KWL219" s="630"/>
      <c r="KWM219" s="630"/>
      <c r="KWN219" s="630"/>
      <c r="KWO219" s="630"/>
      <c r="KWP219" s="630"/>
      <c r="KWQ219" s="630"/>
      <c r="KWR219" s="630"/>
      <c r="KWS219" s="630"/>
      <c r="KWT219" s="630"/>
      <c r="KWU219" s="630"/>
      <c r="KWV219" s="630"/>
      <c r="KWW219" s="630"/>
      <c r="KWX219" s="630"/>
      <c r="KWY219" s="630"/>
      <c r="KWZ219" s="630"/>
      <c r="KXA219" s="630"/>
      <c r="KXB219" s="630"/>
      <c r="KXC219" s="630"/>
      <c r="KXD219" s="630"/>
      <c r="KXE219" s="630"/>
      <c r="KXF219" s="630"/>
      <c r="KXG219" s="630"/>
      <c r="KXH219" s="630"/>
      <c r="KXI219" s="630"/>
      <c r="KXJ219" s="630"/>
      <c r="KXK219" s="630"/>
      <c r="KXL219" s="630"/>
      <c r="KXM219" s="630"/>
      <c r="KXN219" s="630"/>
      <c r="KXO219" s="630"/>
      <c r="KXP219" s="630"/>
      <c r="KXQ219" s="630"/>
      <c r="KXR219" s="630"/>
      <c r="KXS219" s="630"/>
      <c r="KXT219" s="630"/>
      <c r="KXU219" s="630"/>
      <c r="KXV219" s="630"/>
      <c r="KXW219" s="630"/>
      <c r="KXX219" s="630"/>
      <c r="KXY219" s="630"/>
      <c r="KXZ219" s="630"/>
      <c r="KYA219" s="630"/>
      <c r="KYB219" s="630"/>
      <c r="KYC219" s="630"/>
      <c r="KYD219" s="630"/>
      <c r="KYE219" s="630"/>
      <c r="KYF219" s="630"/>
      <c r="KYG219" s="630"/>
      <c r="KYH219" s="630"/>
      <c r="KYI219" s="630"/>
      <c r="KYJ219" s="630"/>
      <c r="KYK219" s="630"/>
      <c r="KYL219" s="630"/>
      <c r="KYM219" s="630"/>
      <c r="KYN219" s="630"/>
      <c r="KYO219" s="630"/>
      <c r="KYP219" s="630"/>
      <c r="KYQ219" s="630"/>
      <c r="KYR219" s="630"/>
      <c r="KYS219" s="630"/>
      <c r="KYT219" s="630"/>
      <c r="KYU219" s="630"/>
      <c r="KYV219" s="630"/>
      <c r="KYW219" s="630"/>
      <c r="KYX219" s="630"/>
      <c r="KYY219" s="630"/>
      <c r="KYZ219" s="630"/>
      <c r="KZA219" s="630"/>
      <c r="KZB219" s="630"/>
      <c r="KZC219" s="630"/>
      <c r="KZD219" s="630"/>
      <c r="KZE219" s="630"/>
      <c r="KZF219" s="630"/>
      <c r="KZG219" s="630"/>
      <c r="KZH219" s="630"/>
      <c r="KZI219" s="630"/>
      <c r="KZJ219" s="630"/>
      <c r="KZK219" s="630"/>
      <c r="KZL219" s="630"/>
      <c r="KZM219" s="630"/>
      <c r="KZN219" s="630"/>
      <c r="KZO219" s="630"/>
      <c r="KZP219" s="630"/>
      <c r="KZQ219" s="630"/>
      <c r="KZR219" s="630"/>
      <c r="KZS219" s="630"/>
      <c r="KZT219" s="630"/>
      <c r="KZU219" s="630"/>
      <c r="KZV219" s="630"/>
      <c r="KZW219" s="630"/>
      <c r="KZX219" s="630"/>
      <c r="KZY219" s="630"/>
      <c r="KZZ219" s="630"/>
      <c r="LAA219" s="630"/>
      <c r="LAB219" s="630"/>
      <c r="LAC219" s="630"/>
      <c r="LAD219" s="630"/>
      <c r="LAE219" s="630"/>
      <c r="LAF219" s="630"/>
      <c r="LAG219" s="630"/>
      <c r="LAH219" s="630"/>
      <c r="LAI219" s="630"/>
      <c r="LAJ219" s="630"/>
      <c r="LAK219" s="630"/>
      <c r="LAL219" s="630"/>
      <c r="LAM219" s="630"/>
      <c r="LAN219" s="630"/>
      <c r="LAO219" s="630"/>
      <c r="LAP219" s="630"/>
      <c r="LAQ219" s="630"/>
      <c r="LAR219" s="630"/>
      <c r="LAS219" s="630"/>
      <c r="LAT219" s="630"/>
      <c r="LAU219" s="630"/>
      <c r="LAV219" s="630"/>
      <c r="LAW219" s="630"/>
      <c r="LAX219" s="630"/>
      <c r="LAY219" s="630"/>
      <c r="LAZ219" s="630"/>
      <c r="LBA219" s="630"/>
      <c r="LBB219" s="630"/>
      <c r="LBC219" s="630"/>
      <c r="LBD219" s="630"/>
      <c r="LBE219" s="630"/>
      <c r="LBF219" s="630"/>
      <c r="LBG219" s="630"/>
      <c r="LBH219" s="630"/>
      <c r="LBI219" s="630"/>
      <c r="LBJ219" s="630"/>
      <c r="LBK219" s="630"/>
      <c r="LBL219" s="630"/>
      <c r="LBM219" s="630"/>
      <c r="LBN219" s="630"/>
      <c r="LBO219" s="630"/>
      <c r="LBP219" s="630"/>
      <c r="LBQ219" s="630"/>
      <c r="LBR219" s="630"/>
      <c r="LBS219" s="630"/>
      <c r="LBT219" s="630"/>
      <c r="LBU219" s="630"/>
      <c r="LBV219" s="630"/>
      <c r="LBW219" s="630"/>
      <c r="LBX219" s="630"/>
      <c r="LBY219" s="630"/>
      <c r="LBZ219" s="630"/>
      <c r="LCA219" s="630"/>
      <c r="LCB219" s="630"/>
      <c r="LCC219" s="630"/>
      <c r="LCD219" s="630"/>
      <c r="LCE219" s="630"/>
      <c r="LCF219" s="630"/>
      <c r="LCG219" s="630"/>
      <c r="LCH219" s="630"/>
      <c r="LCI219" s="630"/>
      <c r="LCJ219" s="630"/>
      <c r="LCK219" s="630"/>
      <c r="LCL219" s="630"/>
      <c r="LCM219" s="630"/>
      <c r="LCN219" s="630"/>
      <c r="LCO219" s="630"/>
      <c r="LCP219" s="630"/>
      <c r="LCQ219" s="630"/>
      <c r="LCR219" s="630"/>
      <c r="LCS219" s="630"/>
      <c r="LCT219" s="630"/>
      <c r="LCU219" s="630"/>
      <c r="LCV219" s="630"/>
      <c r="LCW219" s="630"/>
      <c r="LCX219" s="630"/>
      <c r="LCY219" s="630"/>
      <c r="LCZ219" s="630"/>
      <c r="LDA219" s="630"/>
      <c r="LDB219" s="630"/>
      <c r="LDC219" s="630"/>
      <c r="LDD219" s="630"/>
      <c r="LDE219" s="630"/>
      <c r="LDF219" s="630"/>
      <c r="LDG219" s="630"/>
      <c r="LDH219" s="630"/>
      <c r="LDI219" s="630"/>
      <c r="LDJ219" s="630"/>
      <c r="LDK219" s="630"/>
      <c r="LDL219" s="630"/>
      <c r="LDM219" s="630"/>
      <c r="LDN219" s="630"/>
      <c r="LDO219" s="630"/>
      <c r="LDP219" s="630"/>
      <c r="LDQ219" s="630"/>
      <c r="LDR219" s="630"/>
      <c r="LDS219" s="630"/>
      <c r="LDT219" s="630"/>
      <c r="LDU219" s="630"/>
      <c r="LDV219" s="630"/>
      <c r="LDW219" s="630"/>
      <c r="LDX219" s="630"/>
      <c r="LDY219" s="630"/>
      <c r="LDZ219" s="630"/>
      <c r="LEA219" s="630"/>
      <c r="LEB219" s="630"/>
      <c r="LEC219" s="630"/>
      <c r="LED219" s="630"/>
      <c r="LEE219" s="630"/>
      <c r="LEF219" s="630"/>
      <c r="LEG219" s="630"/>
      <c r="LEH219" s="630"/>
      <c r="LEI219" s="630"/>
      <c r="LEJ219" s="630"/>
      <c r="LEK219" s="630"/>
      <c r="LEL219" s="630"/>
      <c r="LEM219" s="630"/>
      <c r="LEN219" s="630"/>
      <c r="LEO219" s="630"/>
      <c r="LEP219" s="630"/>
      <c r="LEQ219" s="630"/>
      <c r="LER219" s="630"/>
      <c r="LES219" s="630"/>
      <c r="LET219" s="630"/>
      <c r="LEU219" s="630"/>
      <c r="LEV219" s="630"/>
      <c r="LEW219" s="630"/>
      <c r="LEX219" s="630"/>
      <c r="LEY219" s="630"/>
      <c r="LEZ219" s="630"/>
      <c r="LFA219" s="630"/>
      <c r="LFB219" s="630"/>
      <c r="LFC219" s="630"/>
      <c r="LFD219" s="630"/>
      <c r="LFE219" s="630"/>
      <c r="LFF219" s="630"/>
      <c r="LFG219" s="630"/>
      <c r="LFH219" s="630"/>
      <c r="LFI219" s="630"/>
      <c r="LFJ219" s="630"/>
      <c r="LFK219" s="630"/>
      <c r="LFL219" s="630"/>
      <c r="LFM219" s="630"/>
      <c r="LFN219" s="630"/>
      <c r="LFO219" s="630"/>
      <c r="LFP219" s="630"/>
      <c r="LFQ219" s="630"/>
      <c r="LFR219" s="630"/>
      <c r="LFS219" s="630"/>
      <c r="LFT219" s="630"/>
      <c r="LFU219" s="630"/>
      <c r="LFV219" s="630"/>
      <c r="LFW219" s="630"/>
      <c r="LFX219" s="630"/>
      <c r="LFY219" s="630"/>
      <c r="LFZ219" s="630"/>
      <c r="LGA219" s="630"/>
      <c r="LGB219" s="630"/>
      <c r="LGC219" s="630"/>
      <c r="LGD219" s="630"/>
      <c r="LGE219" s="630"/>
      <c r="LGF219" s="630"/>
      <c r="LGG219" s="630"/>
      <c r="LGH219" s="630"/>
      <c r="LGI219" s="630"/>
      <c r="LGJ219" s="630"/>
      <c r="LGK219" s="630"/>
      <c r="LGL219" s="630"/>
      <c r="LGM219" s="630"/>
      <c r="LGN219" s="630"/>
      <c r="LGO219" s="630"/>
      <c r="LGP219" s="630"/>
      <c r="LGQ219" s="630"/>
      <c r="LGR219" s="630"/>
      <c r="LGS219" s="630"/>
      <c r="LGT219" s="630"/>
      <c r="LGU219" s="630"/>
      <c r="LGV219" s="630"/>
      <c r="LGW219" s="630"/>
      <c r="LGX219" s="630"/>
      <c r="LGY219" s="630"/>
      <c r="LGZ219" s="630"/>
      <c r="LHA219" s="630"/>
      <c r="LHB219" s="630"/>
      <c r="LHC219" s="630"/>
      <c r="LHD219" s="630"/>
      <c r="LHE219" s="630"/>
      <c r="LHF219" s="630"/>
      <c r="LHG219" s="630"/>
      <c r="LHH219" s="630"/>
      <c r="LHI219" s="630"/>
      <c r="LHJ219" s="630"/>
      <c r="LHK219" s="630"/>
      <c r="LHL219" s="630"/>
      <c r="LHM219" s="630"/>
      <c r="LHN219" s="630"/>
      <c r="LHO219" s="630"/>
      <c r="LHP219" s="630"/>
      <c r="LHQ219" s="630"/>
      <c r="LHR219" s="630"/>
      <c r="LHS219" s="630"/>
      <c r="LHT219" s="630"/>
      <c r="LHU219" s="630"/>
      <c r="LHV219" s="630"/>
      <c r="LHW219" s="630"/>
      <c r="LHX219" s="630"/>
      <c r="LHY219" s="630"/>
      <c r="LHZ219" s="630"/>
      <c r="LIA219" s="630"/>
      <c r="LIB219" s="630"/>
      <c r="LIC219" s="630"/>
      <c r="LID219" s="630"/>
      <c r="LIE219" s="630"/>
      <c r="LIF219" s="630"/>
      <c r="LIG219" s="630"/>
      <c r="LIH219" s="630"/>
      <c r="LII219" s="630"/>
      <c r="LIJ219" s="630"/>
      <c r="LIK219" s="630"/>
      <c r="LIL219" s="630"/>
      <c r="LIM219" s="630"/>
      <c r="LIN219" s="630"/>
      <c r="LIO219" s="630"/>
      <c r="LIP219" s="630"/>
      <c r="LIQ219" s="630"/>
      <c r="LIR219" s="630"/>
      <c r="LIS219" s="630"/>
      <c r="LIT219" s="630"/>
      <c r="LIU219" s="630"/>
      <c r="LIV219" s="630"/>
      <c r="LIW219" s="630"/>
      <c r="LIX219" s="630"/>
      <c r="LIY219" s="630"/>
      <c r="LIZ219" s="630"/>
      <c r="LJA219" s="630"/>
      <c r="LJB219" s="630"/>
      <c r="LJC219" s="630"/>
      <c r="LJD219" s="630"/>
      <c r="LJE219" s="630"/>
      <c r="LJF219" s="630"/>
      <c r="LJG219" s="630"/>
      <c r="LJH219" s="630"/>
      <c r="LJI219" s="630"/>
      <c r="LJJ219" s="630"/>
      <c r="LJK219" s="630"/>
      <c r="LJL219" s="630"/>
      <c r="LJM219" s="630"/>
      <c r="LJN219" s="630"/>
      <c r="LJO219" s="630"/>
      <c r="LJP219" s="630"/>
      <c r="LJQ219" s="630"/>
      <c r="LJR219" s="630"/>
      <c r="LJS219" s="630"/>
      <c r="LJT219" s="630"/>
      <c r="LJU219" s="630"/>
      <c r="LJV219" s="630"/>
      <c r="LJW219" s="630"/>
      <c r="LJX219" s="630"/>
      <c r="LJY219" s="630"/>
      <c r="LJZ219" s="630"/>
      <c r="LKA219" s="630"/>
      <c r="LKB219" s="630"/>
      <c r="LKC219" s="630"/>
      <c r="LKD219" s="630"/>
      <c r="LKE219" s="630"/>
      <c r="LKF219" s="630"/>
      <c r="LKG219" s="630"/>
      <c r="LKH219" s="630"/>
      <c r="LKI219" s="630"/>
      <c r="LKJ219" s="630"/>
      <c r="LKK219" s="630"/>
      <c r="LKL219" s="630"/>
      <c r="LKM219" s="630"/>
      <c r="LKN219" s="630"/>
      <c r="LKO219" s="630"/>
      <c r="LKP219" s="630"/>
      <c r="LKQ219" s="630"/>
      <c r="LKR219" s="630"/>
      <c r="LKS219" s="630"/>
      <c r="LKT219" s="630"/>
      <c r="LKU219" s="630"/>
      <c r="LKV219" s="630"/>
      <c r="LKW219" s="630"/>
      <c r="LKX219" s="630"/>
      <c r="LKY219" s="630"/>
      <c r="LKZ219" s="630"/>
      <c r="LLA219" s="630"/>
      <c r="LLB219" s="630"/>
      <c r="LLC219" s="630"/>
      <c r="LLD219" s="630"/>
      <c r="LLE219" s="630"/>
      <c r="LLF219" s="630"/>
      <c r="LLG219" s="630"/>
      <c r="LLH219" s="630"/>
      <c r="LLI219" s="630"/>
      <c r="LLJ219" s="630"/>
      <c r="LLK219" s="630"/>
      <c r="LLL219" s="630"/>
      <c r="LLM219" s="630"/>
      <c r="LLN219" s="630"/>
      <c r="LLO219" s="630"/>
      <c r="LLP219" s="630"/>
      <c r="LLQ219" s="630"/>
      <c r="LLR219" s="630"/>
      <c r="LLS219" s="630"/>
      <c r="LLT219" s="630"/>
      <c r="LLU219" s="630"/>
      <c r="LLV219" s="630"/>
      <c r="LLW219" s="630"/>
      <c r="LLX219" s="630"/>
      <c r="LLY219" s="630"/>
      <c r="LLZ219" s="630"/>
      <c r="LMA219" s="630"/>
      <c r="LMB219" s="630"/>
      <c r="LMC219" s="630"/>
      <c r="LMD219" s="630"/>
      <c r="LME219" s="630"/>
      <c r="LMF219" s="630"/>
      <c r="LMG219" s="630"/>
      <c r="LMH219" s="630"/>
      <c r="LMI219" s="630"/>
      <c r="LMJ219" s="630"/>
      <c r="LMK219" s="630"/>
      <c r="LML219" s="630"/>
      <c r="LMM219" s="630"/>
      <c r="LMN219" s="630"/>
      <c r="LMO219" s="630"/>
      <c r="LMP219" s="630"/>
      <c r="LMQ219" s="630"/>
      <c r="LMR219" s="630"/>
      <c r="LMS219" s="630"/>
      <c r="LMT219" s="630"/>
      <c r="LMU219" s="630"/>
      <c r="LMV219" s="630"/>
      <c r="LMW219" s="630"/>
      <c r="LMX219" s="630"/>
      <c r="LMY219" s="630"/>
      <c r="LMZ219" s="630"/>
      <c r="LNA219" s="630"/>
      <c r="LNB219" s="630"/>
      <c r="LNC219" s="630"/>
      <c r="LND219" s="630"/>
      <c r="LNE219" s="630"/>
      <c r="LNF219" s="630"/>
      <c r="LNG219" s="630"/>
      <c r="LNH219" s="630"/>
      <c r="LNI219" s="630"/>
      <c r="LNJ219" s="630"/>
      <c r="LNK219" s="630"/>
      <c r="LNL219" s="630"/>
      <c r="LNM219" s="630"/>
      <c r="LNN219" s="630"/>
      <c r="LNO219" s="630"/>
      <c r="LNP219" s="630"/>
      <c r="LNQ219" s="630"/>
      <c r="LNR219" s="630"/>
      <c r="LNS219" s="630"/>
      <c r="LNT219" s="630"/>
      <c r="LNU219" s="630"/>
      <c r="LNV219" s="630"/>
      <c r="LNW219" s="630"/>
      <c r="LNX219" s="630"/>
      <c r="LNY219" s="630"/>
      <c r="LNZ219" s="630"/>
      <c r="LOA219" s="630"/>
      <c r="LOB219" s="630"/>
      <c r="LOC219" s="630"/>
      <c r="LOD219" s="630"/>
      <c r="LOE219" s="630"/>
      <c r="LOF219" s="630"/>
      <c r="LOG219" s="630"/>
      <c r="LOH219" s="630"/>
      <c r="LOI219" s="630"/>
      <c r="LOJ219" s="630"/>
      <c r="LOK219" s="630"/>
      <c r="LOL219" s="630"/>
      <c r="LOM219" s="630"/>
      <c r="LON219" s="630"/>
      <c r="LOO219" s="630"/>
      <c r="LOP219" s="630"/>
      <c r="LOQ219" s="630"/>
      <c r="LOR219" s="630"/>
      <c r="LOS219" s="630"/>
      <c r="LOT219" s="630"/>
      <c r="LOU219" s="630"/>
      <c r="LOV219" s="630"/>
      <c r="LOW219" s="630"/>
      <c r="LOX219" s="630"/>
      <c r="LOY219" s="630"/>
      <c r="LOZ219" s="630"/>
      <c r="LPA219" s="630"/>
      <c r="LPB219" s="630"/>
      <c r="LPC219" s="630"/>
      <c r="LPD219" s="630"/>
      <c r="LPE219" s="630"/>
      <c r="LPF219" s="630"/>
      <c r="LPG219" s="630"/>
      <c r="LPH219" s="630"/>
      <c r="LPI219" s="630"/>
      <c r="LPJ219" s="630"/>
      <c r="LPK219" s="630"/>
      <c r="LPL219" s="630"/>
      <c r="LPM219" s="630"/>
      <c r="LPN219" s="630"/>
      <c r="LPO219" s="630"/>
      <c r="LPP219" s="630"/>
      <c r="LPQ219" s="630"/>
      <c r="LPR219" s="630"/>
      <c r="LPS219" s="630"/>
      <c r="LPT219" s="630"/>
      <c r="LPU219" s="630"/>
      <c r="LPV219" s="630"/>
      <c r="LPW219" s="630"/>
      <c r="LPX219" s="630"/>
      <c r="LPY219" s="630"/>
      <c r="LPZ219" s="630"/>
      <c r="LQA219" s="630"/>
      <c r="LQB219" s="630"/>
      <c r="LQC219" s="630"/>
      <c r="LQD219" s="630"/>
      <c r="LQE219" s="630"/>
      <c r="LQF219" s="630"/>
      <c r="LQG219" s="630"/>
      <c r="LQH219" s="630"/>
      <c r="LQI219" s="630"/>
      <c r="LQJ219" s="630"/>
      <c r="LQK219" s="630"/>
      <c r="LQL219" s="630"/>
      <c r="LQM219" s="630"/>
      <c r="LQN219" s="630"/>
      <c r="LQO219" s="630"/>
      <c r="LQP219" s="630"/>
      <c r="LQQ219" s="630"/>
      <c r="LQR219" s="630"/>
      <c r="LQS219" s="630"/>
      <c r="LQT219" s="630"/>
      <c r="LQU219" s="630"/>
      <c r="LQV219" s="630"/>
      <c r="LQW219" s="630"/>
      <c r="LQX219" s="630"/>
      <c r="LQY219" s="630"/>
      <c r="LQZ219" s="630"/>
      <c r="LRA219" s="630"/>
      <c r="LRB219" s="630"/>
      <c r="LRC219" s="630"/>
      <c r="LRD219" s="630"/>
      <c r="LRE219" s="630"/>
      <c r="LRF219" s="630"/>
      <c r="LRG219" s="630"/>
      <c r="LRH219" s="630"/>
      <c r="LRI219" s="630"/>
      <c r="LRJ219" s="630"/>
      <c r="LRK219" s="630"/>
      <c r="LRL219" s="630"/>
      <c r="LRM219" s="630"/>
      <c r="LRN219" s="630"/>
      <c r="LRO219" s="630"/>
      <c r="LRP219" s="630"/>
      <c r="LRQ219" s="630"/>
      <c r="LRR219" s="630"/>
      <c r="LRS219" s="630"/>
      <c r="LRT219" s="630"/>
      <c r="LRU219" s="630"/>
      <c r="LRV219" s="630"/>
      <c r="LRW219" s="630"/>
      <c r="LRX219" s="630"/>
      <c r="LRY219" s="630"/>
      <c r="LRZ219" s="630"/>
      <c r="LSA219" s="630"/>
      <c r="LSB219" s="630"/>
      <c r="LSC219" s="630"/>
      <c r="LSD219" s="630"/>
      <c r="LSE219" s="630"/>
      <c r="LSF219" s="630"/>
      <c r="LSG219" s="630"/>
      <c r="LSH219" s="630"/>
      <c r="LSI219" s="630"/>
      <c r="LSJ219" s="630"/>
      <c r="LSK219" s="630"/>
      <c r="LSL219" s="630"/>
      <c r="LSM219" s="630"/>
      <c r="LSN219" s="630"/>
      <c r="LSO219" s="630"/>
      <c r="LSP219" s="630"/>
      <c r="LSQ219" s="630"/>
      <c r="LSR219" s="630"/>
      <c r="LSS219" s="630"/>
      <c r="LST219" s="630"/>
      <c r="LSU219" s="630"/>
      <c r="LSV219" s="630"/>
      <c r="LSW219" s="630"/>
      <c r="LSX219" s="630"/>
      <c r="LSY219" s="630"/>
      <c r="LSZ219" s="630"/>
      <c r="LTA219" s="630"/>
      <c r="LTB219" s="630"/>
      <c r="LTC219" s="630"/>
      <c r="LTD219" s="630"/>
      <c r="LTE219" s="630"/>
      <c r="LTF219" s="630"/>
      <c r="LTG219" s="630"/>
      <c r="LTH219" s="630"/>
      <c r="LTI219" s="630"/>
      <c r="LTJ219" s="630"/>
      <c r="LTK219" s="630"/>
      <c r="LTL219" s="630"/>
      <c r="LTM219" s="630"/>
      <c r="LTN219" s="630"/>
      <c r="LTO219" s="630"/>
      <c r="LTP219" s="630"/>
      <c r="LTQ219" s="630"/>
      <c r="LTR219" s="630"/>
      <c r="LTS219" s="630"/>
      <c r="LTT219" s="630"/>
      <c r="LTU219" s="630"/>
      <c r="LTV219" s="630"/>
      <c r="LTW219" s="630"/>
      <c r="LTX219" s="630"/>
      <c r="LTY219" s="630"/>
      <c r="LTZ219" s="630"/>
      <c r="LUA219" s="630"/>
      <c r="LUB219" s="630"/>
      <c r="LUC219" s="630"/>
      <c r="LUD219" s="630"/>
      <c r="LUE219" s="630"/>
      <c r="LUF219" s="630"/>
      <c r="LUG219" s="630"/>
      <c r="LUH219" s="630"/>
      <c r="LUI219" s="630"/>
      <c r="LUJ219" s="630"/>
      <c r="LUK219" s="630"/>
      <c r="LUL219" s="630"/>
      <c r="LUM219" s="630"/>
      <c r="LUN219" s="630"/>
      <c r="LUO219" s="630"/>
      <c r="LUP219" s="630"/>
      <c r="LUQ219" s="630"/>
      <c r="LUR219" s="630"/>
      <c r="LUS219" s="630"/>
      <c r="LUT219" s="630"/>
      <c r="LUU219" s="630"/>
      <c r="LUV219" s="630"/>
      <c r="LUW219" s="630"/>
      <c r="LUX219" s="630"/>
      <c r="LUY219" s="630"/>
      <c r="LUZ219" s="630"/>
      <c r="LVA219" s="630"/>
      <c r="LVB219" s="630"/>
      <c r="LVC219" s="630"/>
      <c r="LVD219" s="630"/>
      <c r="LVE219" s="630"/>
      <c r="LVF219" s="630"/>
      <c r="LVG219" s="630"/>
      <c r="LVH219" s="630"/>
      <c r="LVI219" s="630"/>
      <c r="LVJ219" s="630"/>
      <c r="LVK219" s="630"/>
      <c r="LVL219" s="630"/>
      <c r="LVM219" s="630"/>
      <c r="LVN219" s="630"/>
      <c r="LVO219" s="630"/>
      <c r="LVP219" s="630"/>
      <c r="LVQ219" s="630"/>
      <c r="LVR219" s="630"/>
      <c r="LVS219" s="630"/>
      <c r="LVT219" s="630"/>
      <c r="LVU219" s="630"/>
      <c r="LVV219" s="630"/>
      <c r="LVW219" s="630"/>
      <c r="LVX219" s="630"/>
      <c r="LVY219" s="630"/>
      <c r="LVZ219" s="630"/>
      <c r="LWA219" s="630"/>
      <c r="LWB219" s="630"/>
      <c r="LWC219" s="630"/>
      <c r="LWD219" s="630"/>
      <c r="LWE219" s="630"/>
      <c r="LWF219" s="630"/>
      <c r="LWG219" s="630"/>
      <c r="LWH219" s="630"/>
      <c r="LWI219" s="630"/>
      <c r="LWJ219" s="630"/>
      <c r="LWK219" s="630"/>
      <c r="LWL219" s="630"/>
      <c r="LWM219" s="630"/>
      <c r="LWN219" s="630"/>
      <c r="LWO219" s="630"/>
      <c r="LWP219" s="630"/>
      <c r="LWQ219" s="630"/>
      <c r="LWR219" s="630"/>
      <c r="LWS219" s="630"/>
      <c r="LWT219" s="630"/>
      <c r="LWU219" s="630"/>
      <c r="LWV219" s="630"/>
      <c r="LWW219" s="630"/>
      <c r="LWX219" s="630"/>
      <c r="LWY219" s="630"/>
      <c r="LWZ219" s="630"/>
      <c r="LXA219" s="630"/>
      <c r="LXB219" s="630"/>
      <c r="LXC219" s="630"/>
      <c r="LXD219" s="630"/>
      <c r="LXE219" s="630"/>
      <c r="LXF219" s="630"/>
      <c r="LXG219" s="630"/>
      <c r="LXH219" s="630"/>
      <c r="LXI219" s="630"/>
      <c r="LXJ219" s="630"/>
      <c r="LXK219" s="630"/>
      <c r="LXL219" s="630"/>
      <c r="LXM219" s="630"/>
      <c r="LXN219" s="630"/>
      <c r="LXO219" s="630"/>
      <c r="LXP219" s="630"/>
      <c r="LXQ219" s="630"/>
      <c r="LXR219" s="630"/>
      <c r="LXS219" s="630"/>
      <c r="LXT219" s="630"/>
      <c r="LXU219" s="630"/>
      <c r="LXV219" s="630"/>
      <c r="LXW219" s="630"/>
      <c r="LXX219" s="630"/>
      <c r="LXY219" s="630"/>
      <c r="LXZ219" s="630"/>
      <c r="LYA219" s="630"/>
      <c r="LYB219" s="630"/>
      <c r="LYC219" s="630"/>
      <c r="LYD219" s="630"/>
      <c r="LYE219" s="630"/>
      <c r="LYF219" s="630"/>
      <c r="LYG219" s="630"/>
      <c r="LYH219" s="630"/>
      <c r="LYI219" s="630"/>
      <c r="LYJ219" s="630"/>
      <c r="LYK219" s="630"/>
      <c r="LYL219" s="630"/>
      <c r="LYM219" s="630"/>
      <c r="LYN219" s="630"/>
      <c r="LYO219" s="630"/>
      <c r="LYP219" s="630"/>
      <c r="LYQ219" s="630"/>
      <c r="LYR219" s="630"/>
      <c r="LYS219" s="630"/>
      <c r="LYT219" s="630"/>
      <c r="LYU219" s="630"/>
      <c r="LYV219" s="630"/>
      <c r="LYW219" s="630"/>
      <c r="LYX219" s="630"/>
      <c r="LYY219" s="630"/>
      <c r="LYZ219" s="630"/>
      <c r="LZA219" s="630"/>
      <c r="LZB219" s="630"/>
      <c r="LZC219" s="630"/>
      <c r="LZD219" s="630"/>
      <c r="LZE219" s="630"/>
      <c r="LZF219" s="630"/>
      <c r="LZG219" s="630"/>
      <c r="LZH219" s="630"/>
      <c r="LZI219" s="630"/>
      <c r="LZJ219" s="630"/>
      <c r="LZK219" s="630"/>
      <c r="LZL219" s="630"/>
      <c r="LZM219" s="630"/>
      <c r="LZN219" s="630"/>
      <c r="LZO219" s="630"/>
      <c r="LZP219" s="630"/>
      <c r="LZQ219" s="630"/>
      <c r="LZR219" s="630"/>
      <c r="LZS219" s="630"/>
      <c r="LZT219" s="630"/>
      <c r="LZU219" s="630"/>
      <c r="LZV219" s="630"/>
      <c r="LZW219" s="630"/>
      <c r="LZX219" s="630"/>
      <c r="LZY219" s="630"/>
      <c r="LZZ219" s="630"/>
      <c r="MAA219" s="630"/>
      <c r="MAB219" s="630"/>
      <c r="MAC219" s="630"/>
      <c r="MAD219" s="630"/>
      <c r="MAE219" s="630"/>
      <c r="MAF219" s="630"/>
      <c r="MAG219" s="630"/>
      <c r="MAH219" s="630"/>
      <c r="MAI219" s="630"/>
      <c r="MAJ219" s="630"/>
      <c r="MAK219" s="630"/>
      <c r="MAL219" s="630"/>
      <c r="MAM219" s="630"/>
      <c r="MAN219" s="630"/>
      <c r="MAO219" s="630"/>
      <c r="MAP219" s="630"/>
      <c r="MAQ219" s="630"/>
      <c r="MAR219" s="630"/>
      <c r="MAS219" s="630"/>
      <c r="MAT219" s="630"/>
      <c r="MAU219" s="630"/>
      <c r="MAV219" s="630"/>
      <c r="MAW219" s="630"/>
      <c r="MAX219" s="630"/>
      <c r="MAY219" s="630"/>
      <c r="MAZ219" s="630"/>
      <c r="MBA219" s="630"/>
      <c r="MBB219" s="630"/>
      <c r="MBC219" s="630"/>
      <c r="MBD219" s="630"/>
      <c r="MBE219" s="630"/>
      <c r="MBF219" s="630"/>
      <c r="MBG219" s="630"/>
      <c r="MBH219" s="630"/>
      <c r="MBI219" s="630"/>
      <c r="MBJ219" s="630"/>
      <c r="MBK219" s="630"/>
      <c r="MBL219" s="630"/>
      <c r="MBM219" s="630"/>
      <c r="MBN219" s="630"/>
      <c r="MBO219" s="630"/>
      <c r="MBP219" s="630"/>
      <c r="MBQ219" s="630"/>
      <c r="MBR219" s="630"/>
      <c r="MBS219" s="630"/>
      <c r="MBT219" s="630"/>
      <c r="MBU219" s="630"/>
      <c r="MBV219" s="630"/>
      <c r="MBW219" s="630"/>
      <c r="MBX219" s="630"/>
      <c r="MBY219" s="630"/>
      <c r="MBZ219" s="630"/>
      <c r="MCA219" s="630"/>
      <c r="MCB219" s="630"/>
      <c r="MCC219" s="630"/>
      <c r="MCD219" s="630"/>
      <c r="MCE219" s="630"/>
      <c r="MCF219" s="630"/>
      <c r="MCG219" s="630"/>
      <c r="MCH219" s="630"/>
      <c r="MCI219" s="630"/>
      <c r="MCJ219" s="630"/>
      <c r="MCK219" s="630"/>
      <c r="MCL219" s="630"/>
      <c r="MCM219" s="630"/>
      <c r="MCN219" s="630"/>
      <c r="MCO219" s="630"/>
      <c r="MCP219" s="630"/>
      <c r="MCQ219" s="630"/>
      <c r="MCR219" s="630"/>
      <c r="MCS219" s="630"/>
      <c r="MCT219" s="630"/>
      <c r="MCU219" s="630"/>
      <c r="MCV219" s="630"/>
      <c r="MCW219" s="630"/>
      <c r="MCX219" s="630"/>
      <c r="MCY219" s="630"/>
      <c r="MCZ219" s="630"/>
      <c r="MDA219" s="630"/>
      <c r="MDB219" s="630"/>
      <c r="MDC219" s="630"/>
      <c r="MDD219" s="630"/>
      <c r="MDE219" s="630"/>
      <c r="MDF219" s="630"/>
      <c r="MDG219" s="630"/>
      <c r="MDH219" s="630"/>
      <c r="MDI219" s="630"/>
      <c r="MDJ219" s="630"/>
      <c r="MDK219" s="630"/>
      <c r="MDL219" s="630"/>
      <c r="MDM219" s="630"/>
      <c r="MDN219" s="630"/>
      <c r="MDO219" s="630"/>
      <c r="MDP219" s="630"/>
      <c r="MDQ219" s="630"/>
      <c r="MDR219" s="630"/>
      <c r="MDS219" s="630"/>
      <c r="MDT219" s="630"/>
      <c r="MDU219" s="630"/>
      <c r="MDV219" s="630"/>
      <c r="MDW219" s="630"/>
      <c r="MDX219" s="630"/>
      <c r="MDY219" s="630"/>
      <c r="MDZ219" s="630"/>
      <c r="MEA219" s="630"/>
      <c r="MEB219" s="630"/>
      <c r="MEC219" s="630"/>
      <c r="MED219" s="630"/>
      <c r="MEE219" s="630"/>
      <c r="MEF219" s="630"/>
      <c r="MEG219" s="630"/>
      <c r="MEH219" s="630"/>
      <c r="MEI219" s="630"/>
      <c r="MEJ219" s="630"/>
      <c r="MEK219" s="630"/>
      <c r="MEL219" s="630"/>
      <c r="MEM219" s="630"/>
      <c r="MEN219" s="630"/>
      <c r="MEO219" s="630"/>
      <c r="MEP219" s="630"/>
      <c r="MEQ219" s="630"/>
      <c r="MER219" s="630"/>
      <c r="MES219" s="630"/>
      <c r="MET219" s="630"/>
      <c r="MEU219" s="630"/>
      <c r="MEV219" s="630"/>
      <c r="MEW219" s="630"/>
      <c r="MEX219" s="630"/>
      <c r="MEY219" s="630"/>
      <c r="MEZ219" s="630"/>
      <c r="MFA219" s="630"/>
      <c r="MFB219" s="630"/>
      <c r="MFC219" s="630"/>
      <c r="MFD219" s="630"/>
      <c r="MFE219" s="630"/>
      <c r="MFF219" s="630"/>
      <c r="MFG219" s="630"/>
      <c r="MFH219" s="630"/>
      <c r="MFI219" s="630"/>
      <c r="MFJ219" s="630"/>
      <c r="MFK219" s="630"/>
      <c r="MFL219" s="630"/>
      <c r="MFM219" s="630"/>
      <c r="MFN219" s="630"/>
      <c r="MFO219" s="630"/>
      <c r="MFP219" s="630"/>
      <c r="MFQ219" s="630"/>
      <c r="MFR219" s="630"/>
      <c r="MFS219" s="630"/>
      <c r="MFT219" s="630"/>
      <c r="MFU219" s="630"/>
      <c r="MFV219" s="630"/>
      <c r="MFW219" s="630"/>
      <c r="MFX219" s="630"/>
      <c r="MFY219" s="630"/>
      <c r="MFZ219" s="630"/>
      <c r="MGA219" s="630"/>
      <c r="MGB219" s="630"/>
      <c r="MGC219" s="630"/>
      <c r="MGD219" s="630"/>
      <c r="MGE219" s="630"/>
      <c r="MGF219" s="630"/>
      <c r="MGG219" s="630"/>
      <c r="MGH219" s="630"/>
      <c r="MGI219" s="630"/>
      <c r="MGJ219" s="630"/>
      <c r="MGK219" s="630"/>
      <c r="MGL219" s="630"/>
      <c r="MGM219" s="630"/>
      <c r="MGN219" s="630"/>
      <c r="MGO219" s="630"/>
      <c r="MGP219" s="630"/>
      <c r="MGQ219" s="630"/>
      <c r="MGR219" s="630"/>
      <c r="MGS219" s="630"/>
      <c r="MGT219" s="630"/>
      <c r="MGU219" s="630"/>
      <c r="MGV219" s="630"/>
      <c r="MGW219" s="630"/>
      <c r="MGX219" s="630"/>
      <c r="MGY219" s="630"/>
      <c r="MGZ219" s="630"/>
      <c r="MHA219" s="630"/>
      <c r="MHB219" s="630"/>
      <c r="MHC219" s="630"/>
      <c r="MHD219" s="630"/>
      <c r="MHE219" s="630"/>
      <c r="MHF219" s="630"/>
      <c r="MHG219" s="630"/>
      <c r="MHH219" s="630"/>
      <c r="MHI219" s="630"/>
      <c r="MHJ219" s="630"/>
      <c r="MHK219" s="630"/>
      <c r="MHL219" s="630"/>
      <c r="MHM219" s="630"/>
      <c r="MHN219" s="630"/>
      <c r="MHO219" s="630"/>
      <c r="MHP219" s="630"/>
      <c r="MHQ219" s="630"/>
      <c r="MHR219" s="630"/>
      <c r="MHS219" s="630"/>
      <c r="MHT219" s="630"/>
      <c r="MHU219" s="630"/>
      <c r="MHV219" s="630"/>
      <c r="MHW219" s="630"/>
      <c r="MHX219" s="630"/>
      <c r="MHY219" s="630"/>
      <c r="MHZ219" s="630"/>
      <c r="MIA219" s="630"/>
      <c r="MIB219" s="630"/>
      <c r="MIC219" s="630"/>
      <c r="MID219" s="630"/>
      <c r="MIE219" s="630"/>
      <c r="MIF219" s="630"/>
      <c r="MIG219" s="630"/>
      <c r="MIH219" s="630"/>
      <c r="MII219" s="630"/>
      <c r="MIJ219" s="630"/>
      <c r="MIK219" s="630"/>
      <c r="MIL219" s="630"/>
      <c r="MIM219" s="630"/>
      <c r="MIN219" s="630"/>
      <c r="MIO219" s="630"/>
      <c r="MIP219" s="630"/>
      <c r="MIQ219" s="630"/>
      <c r="MIR219" s="630"/>
      <c r="MIS219" s="630"/>
      <c r="MIT219" s="630"/>
      <c r="MIU219" s="630"/>
      <c r="MIV219" s="630"/>
      <c r="MIW219" s="630"/>
      <c r="MIX219" s="630"/>
      <c r="MIY219" s="630"/>
      <c r="MIZ219" s="630"/>
      <c r="MJA219" s="630"/>
      <c r="MJB219" s="630"/>
      <c r="MJC219" s="630"/>
      <c r="MJD219" s="630"/>
      <c r="MJE219" s="630"/>
      <c r="MJF219" s="630"/>
      <c r="MJG219" s="630"/>
      <c r="MJH219" s="630"/>
      <c r="MJI219" s="630"/>
      <c r="MJJ219" s="630"/>
      <c r="MJK219" s="630"/>
      <c r="MJL219" s="630"/>
      <c r="MJM219" s="630"/>
      <c r="MJN219" s="630"/>
      <c r="MJO219" s="630"/>
      <c r="MJP219" s="630"/>
      <c r="MJQ219" s="630"/>
      <c r="MJR219" s="630"/>
      <c r="MJS219" s="630"/>
      <c r="MJT219" s="630"/>
      <c r="MJU219" s="630"/>
      <c r="MJV219" s="630"/>
      <c r="MJW219" s="630"/>
      <c r="MJX219" s="630"/>
      <c r="MJY219" s="630"/>
      <c r="MJZ219" s="630"/>
      <c r="MKA219" s="630"/>
      <c r="MKB219" s="630"/>
      <c r="MKC219" s="630"/>
      <c r="MKD219" s="630"/>
      <c r="MKE219" s="630"/>
      <c r="MKF219" s="630"/>
      <c r="MKG219" s="630"/>
      <c r="MKH219" s="630"/>
      <c r="MKI219" s="630"/>
      <c r="MKJ219" s="630"/>
      <c r="MKK219" s="630"/>
      <c r="MKL219" s="630"/>
      <c r="MKM219" s="630"/>
      <c r="MKN219" s="630"/>
      <c r="MKO219" s="630"/>
      <c r="MKP219" s="630"/>
      <c r="MKQ219" s="630"/>
      <c r="MKR219" s="630"/>
      <c r="MKS219" s="630"/>
      <c r="MKT219" s="630"/>
      <c r="MKU219" s="630"/>
      <c r="MKV219" s="630"/>
      <c r="MKW219" s="630"/>
      <c r="MKX219" s="630"/>
      <c r="MKY219" s="630"/>
      <c r="MKZ219" s="630"/>
      <c r="MLA219" s="630"/>
      <c r="MLB219" s="630"/>
      <c r="MLC219" s="630"/>
      <c r="MLD219" s="630"/>
      <c r="MLE219" s="630"/>
      <c r="MLF219" s="630"/>
      <c r="MLG219" s="630"/>
      <c r="MLH219" s="630"/>
      <c r="MLI219" s="630"/>
      <c r="MLJ219" s="630"/>
      <c r="MLK219" s="630"/>
      <c r="MLL219" s="630"/>
      <c r="MLM219" s="630"/>
      <c r="MLN219" s="630"/>
      <c r="MLO219" s="630"/>
      <c r="MLP219" s="630"/>
      <c r="MLQ219" s="630"/>
      <c r="MLR219" s="630"/>
      <c r="MLS219" s="630"/>
      <c r="MLT219" s="630"/>
      <c r="MLU219" s="630"/>
      <c r="MLV219" s="630"/>
      <c r="MLW219" s="630"/>
      <c r="MLX219" s="630"/>
      <c r="MLY219" s="630"/>
      <c r="MLZ219" s="630"/>
      <c r="MMA219" s="630"/>
      <c r="MMB219" s="630"/>
      <c r="MMC219" s="630"/>
      <c r="MMD219" s="630"/>
      <c r="MME219" s="630"/>
      <c r="MMF219" s="630"/>
      <c r="MMG219" s="630"/>
      <c r="MMH219" s="630"/>
      <c r="MMI219" s="630"/>
      <c r="MMJ219" s="630"/>
      <c r="MMK219" s="630"/>
      <c r="MML219" s="630"/>
      <c r="MMM219" s="630"/>
      <c r="MMN219" s="630"/>
      <c r="MMO219" s="630"/>
      <c r="MMP219" s="630"/>
      <c r="MMQ219" s="630"/>
      <c r="MMR219" s="630"/>
      <c r="MMS219" s="630"/>
      <c r="MMT219" s="630"/>
      <c r="MMU219" s="630"/>
      <c r="MMV219" s="630"/>
      <c r="MMW219" s="630"/>
      <c r="MMX219" s="630"/>
      <c r="MMY219" s="630"/>
      <c r="MMZ219" s="630"/>
      <c r="MNA219" s="630"/>
      <c r="MNB219" s="630"/>
      <c r="MNC219" s="630"/>
      <c r="MND219" s="630"/>
      <c r="MNE219" s="630"/>
      <c r="MNF219" s="630"/>
      <c r="MNG219" s="630"/>
      <c r="MNH219" s="630"/>
      <c r="MNI219" s="630"/>
      <c r="MNJ219" s="630"/>
      <c r="MNK219" s="630"/>
      <c r="MNL219" s="630"/>
      <c r="MNM219" s="630"/>
      <c r="MNN219" s="630"/>
      <c r="MNO219" s="630"/>
      <c r="MNP219" s="630"/>
      <c r="MNQ219" s="630"/>
      <c r="MNR219" s="630"/>
      <c r="MNS219" s="630"/>
      <c r="MNT219" s="630"/>
      <c r="MNU219" s="630"/>
      <c r="MNV219" s="630"/>
      <c r="MNW219" s="630"/>
      <c r="MNX219" s="630"/>
      <c r="MNY219" s="630"/>
      <c r="MNZ219" s="630"/>
      <c r="MOA219" s="630"/>
      <c r="MOB219" s="630"/>
      <c r="MOC219" s="630"/>
      <c r="MOD219" s="630"/>
      <c r="MOE219" s="630"/>
      <c r="MOF219" s="630"/>
      <c r="MOG219" s="630"/>
      <c r="MOH219" s="630"/>
      <c r="MOI219" s="630"/>
      <c r="MOJ219" s="630"/>
      <c r="MOK219" s="630"/>
      <c r="MOL219" s="630"/>
      <c r="MOM219" s="630"/>
      <c r="MON219" s="630"/>
      <c r="MOO219" s="630"/>
      <c r="MOP219" s="630"/>
      <c r="MOQ219" s="630"/>
      <c r="MOR219" s="630"/>
      <c r="MOS219" s="630"/>
      <c r="MOT219" s="630"/>
      <c r="MOU219" s="630"/>
      <c r="MOV219" s="630"/>
      <c r="MOW219" s="630"/>
      <c r="MOX219" s="630"/>
      <c r="MOY219" s="630"/>
      <c r="MOZ219" s="630"/>
      <c r="MPA219" s="630"/>
      <c r="MPB219" s="630"/>
      <c r="MPC219" s="630"/>
      <c r="MPD219" s="630"/>
      <c r="MPE219" s="630"/>
      <c r="MPF219" s="630"/>
      <c r="MPG219" s="630"/>
      <c r="MPH219" s="630"/>
      <c r="MPI219" s="630"/>
      <c r="MPJ219" s="630"/>
      <c r="MPK219" s="630"/>
      <c r="MPL219" s="630"/>
      <c r="MPM219" s="630"/>
      <c r="MPN219" s="630"/>
      <c r="MPO219" s="630"/>
      <c r="MPP219" s="630"/>
      <c r="MPQ219" s="630"/>
      <c r="MPR219" s="630"/>
      <c r="MPS219" s="630"/>
      <c r="MPT219" s="630"/>
      <c r="MPU219" s="630"/>
      <c r="MPV219" s="630"/>
      <c r="MPW219" s="630"/>
      <c r="MPX219" s="630"/>
      <c r="MPY219" s="630"/>
      <c r="MPZ219" s="630"/>
      <c r="MQA219" s="630"/>
      <c r="MQB219" s="630"/>
      <c r="MQC219" s="630"/>
      <c r="MQD219" s="630"/>
      <c r="MQE219" s="630"/>
      <c r="MQF219" s="630"/>
      <c r="MQG219" s="630"/>
      <c r="MQH219" s="630"/>
      <c r="MQI219" s="630"/>
      <c r="MQJ219" s="630"/>
      <c r="MQK219" s="630"/>
      <c r="MQL219" s="630"/>
      <c r="MQM219" s="630"/>
      <c r="MQN219" s="630"/>
      <c r="MQO219" s="630"/>
      <c r="MQP219" s="630"/>
      <c r="MQQ219" s="630"/>
      <c r="MQR219" s="630"/>
      <c r="MQS219" s="630"/>
      <c r="MQT219" s="630"/>
      <c r="MQU219" s="630"/>
      <c r="MQV219" s="630"/>
      <c r="MQW219" s="630"/>
      <c r="MQX219" s="630"/>
      <c r="MQY219" s="630"/>
      <c r="MQZ219" s="630"/>
      <c r="MRA219" s="630"/>
      <c r="MRB219" s="630"/>
      <c r="MRC219" s="630"/>
      <c r="MRD219" s="630"/>
      <c r="MRE219" s="630"/>
      <c r="MRF219" s="630"/>
      <c r="MRG219" s="630"/>
      <c r="MRH219" s="630"/>
      <c r="MRI219" s="630"/>
      <c r="MRJ219" s="630"/>
      <c r="MRK219" s="630"/>
      <c r="MRL219" s="630"/>
      <c r="MRM219" s="630"/>
      <c r="MRN219" s="630"/>
      <c r="MRO219" s="630"/>
      <c r="MRP219" s="630"/>
      <c r="MRQ219" s="630"/>
      <c r="MRR219" s="630"/>
      <c r="MRS219" s="630"/>
      <c r="MRT219" s="630"/>
      <c r="MRU219" s="630"/>
      <c r="MRV219" s="630"/>
      <c r="MRW219" s="630"/>
      <c r="MRX219" s="630"/>
      <c r="MRY219" s="630"/>
      <c r="MRZ219" s="630"/>
      <c r="MSA219" s="630"/>
      <c r="MSB219" s="630"/>
      <c r="MSC219" s="630"/>
      <c r="MSD219" s="630"/>
      <c r="MSE219" s="630"/>
      <c r="MSF219" s="630"/>
      <c r="MSG219" s="630"/>
      <c r="MSH219" s="630"/>
      <c r="MSI219" s="630"/>
      <c r="MSJ219" s="630"/>
      <c r="MSK219" s="630"/>
      <c r="MSL219" s="630"/>
      <c r="MSM219" s="630"/>
      <c r="MSN219" s="630"/>
      <c r="MSO219" s="630"/>
      <c r="MSP219" s="630"/>
      <c r="MSQ219" s="630"/>
      <c r="MSR219" s="630"/>
      <c r="MSS219" s="630"/>
      <c r="MST219" s="630"/>
      <c r="MSU219" s="630"/>
      <c r="MSV219" s="630"/>
      <c r="MSW219" s="630"/>
      <c r="MSX219" s="630"/>
      <c r="MSY219" s="630"/>
      <c r="MSZ219" s="630"/>
      <c r="MTA219" s="630"/>
      <c r="MTB219" s="630"/>
      <c r="MTC219" s="630"/>
      <c r="MTD219" s="630"/>
      <c r="MTE219" s="630"/>
      <c r="MTF219" s="630"/>
      <c r="MTG219" s="630"/>
      <c r="MTH219" s="630"/>
      <c r="MTI219" s="630"/>
      <c r="MTJ219" s="630"/>
      <c r="MTK219" s="630"/>
      <c r="MTL219" s="630"/>
      <c r="MTM219" s="630"/>
      <c r="MTN219" s="630"/>
      <c r="MTO219" s="630"/>
      <c r="MTP219" s="630"/>
      <c r="MTQ219" s="630"/>
      <c r="MTR219" s="630"/>
      <c r="MTS219" s="630"/>
      <c r="MTT219" s="630"/>
      <c r="MTU219" s="630"/>
      <c r="MTV219" s="630"/>
      <c r="MTW219" s="630"/>
      <c r="MTX219" s="630"/>
      <c r="MTY219" s="630"/>
      <c r="MTZ219" s="630"/>
      <c r="MUA219" s="630"/>
      <c r="MUB219" s="630"/>
      <c r="MUC219" s="630"/>
      <c r="MUD219" s="630"/>
      <c r="MUE219" s="630"/>
      <c r="MUF219" s="630"/>
      <c r="MUG219" s="630"/>
      <c r="MUH219" s="630"/>
      <c r="MUI219" s="630"/>
      <c r="MUJ219" s="630"/>
      <c r="MUK219" s="630"/>
      <c r="MUL219" s="630"/>
      <c r="MUM219" s="630"/>
      <c r="MUN219" s="630"/>
      <c r="MUO219" s="630"/>
      <c r="MUP219" s="630"/>
      <c r="MUQ219" s="630"/>
      <c r="MUR219" s="630"/>
      <c r="MUS219" s="630"/>
      <c r="MUT219" s="630"/>
      <c r="MUU219" s="630"/>
      <c r="MUV219" s="630"/>
      <c r="MUW219" s="630"/>
      <c r="MUX219" s="630"/>
      <c r="MUY219" s="630"/>
      <c r="MUZ219" s="630"/>
      <c r="MVA219" s="630"/>
      <c r="MVB219" s="630"/>
      <c r="MVC219" s="630"/>
      <c r="MVD219" s="630"/>
      <c r="MVE219" s="630"/>
      <c r="MVF219" s="630"/>
      <c r="MVG219" s="630"/>
      <c r="MVH219" s="630"/>
      <c r="MVI219" s="630"/>
      <c r="MVJ219" s="630"/>
      <c r="MVK219" s="630"/>
      <c r="MVL219" s="630"/>
      <c r="MVM219" s="630"/>
      <c r="MVN219" s="630"/>
      <c r="MVO219" s="630"/>
      <c r="MVP219" s="630"/>
      <c r="MVQ219" s="630"/>
      <c r="MVR219" s="630"/>
      <c r="MVS219" s="630"/>
      <c r="MVT219" s="630"/>
      <c r="MVU219" s="630"/>
      <c r="MVV219" s="630"/>
      <c r="MVW219" s="630"/>
      <c r="MVX219" s="630"/>
      <c r="MVY219" s="630"/>
      <c r="MVZ219" s="630"/>
      <c r="MWA219" s="630"/>
      <c r="MWB219" s="630"/>
      <c r="MWC219" s="630"/>
      <c r="MWD219" s="630"/>
      <c r="MWE219" s="630"/>
      <c r="MWF219" s="630"/>
      <c r="MWG219" s="630"/>
      <c r="MWH219" s="630"/>
      <c r="MWI219" s="630"/>
      <c r="MWJ219" s="630"/>
      <c r="MWK219" s="630"/>
      <c r="MWL219" s="630"/>
      <c r="MWM219" s="630"/>
      <c r="MWN219" s="630"/>
      <c r="MWO219" s="630"/>
      <c r="MWP219" s="630"/>
      <c r="MWQ219" s="630"/>
      <c r="MWR219" s="630"/>
      <c r="MWS219" s="630"/>
      <c r="MWT219" s="630"/>
      <c r="MWU219" s="630"/>
      <c r="MWV219" s="630"/>
      <c r="MWW219" s="630"/>
      <c r="MWX219" s="630"/>
      <c r="MWY219" s="630"/>
      <c r="MWZ219" s="630"/>
      <c r="MXA219" s="630"/>
      <c r="MXB219" s="630"/>
      <c r="MXC219" s="630"/>
      <c r="MXD219" s="630"/>
      <c r="MXE219" s="630"/>
      <c r="MXF219" s="630"/>
      <c r="MXG219" s="630"/>
      <c r="MXH219" s="630"/>
      <c r="MXI219" s="630"/>
      <c r="MXJ219" s="630"/>
      <c r="MXK219" s="630"/>
      <c r="MXL219" s="630"/>
      <c r="MXM219" s="630"/>
      <c r="MXN219" s="630"/>
      <c r="MXO219" s="630"/>
      <c r="MXP219" s="630"/>
      <c r="MXQ219" s="630"/>
      <c r="MXR219" s="630"/>
      <c r="MXS219" s="630"/>
      <c r="MXT219" s="630"/>
      <c r="MXU219" s="630"/>
      <c r="MXV219" s="630"/>
      <c r="MXW219" s="630"/>
      <c r="MXX219" s="630"/>
      <c r="MXY219" s="630"/>
      <c r="MXZ219" s="630"/>
      <c r="MYA219" s="630"/>
      <c r="MYB219" s="630"/>
      <c r="MYC219" s="630"/>
      <c r="MYD219" s="630"/>
      <c r="MYE219" s="630"/>
      <c r="MYF219" s="630"/>
      <c r="MYG219" s="630"/>
      <c r="MYH219" s="630"/>
      <c r="MYI219" s="630"/>
      <c r="MYJ219" s="630"/>
      <c r="MYK219" s="630"/>
      <c r="MYL219" s="630"/>
      <c r="MYM219" s="630"/>
      <c r="MYN219" s="630"/>
      <c r="MYO219" s="630"/>
      <c r="MYP219" s="630"/>
      <c r="MYQ219" s="630"/>
      <c r="MYR219" s="630"/>
      <c r="MYS219" s="630"/>
      <c r="MYT219" s="630"/>
      <c r="MYU219" s="630"/>
      <c r="MYV219" s="630"/>
      <c r="MYW219" s="630"/>
      <c r="MYX219" s="630"/>
      <c r="MYY219" s="630"/>
      <c r="MYZ219" s="630"/>
      <c r="MZA219" s="630"/>
      <c r="MZB219" s="630"/>
      <c r="MZC219" s="630"/>
      <c r="MZD219" s="630"/>
      <c r="MZE219" s="630"/>
      <c r="MZF219" s="630"/>
      <c r="MZG219" s="630"/>
      <c r="MZH219" s="630"/>
      <c r="MZI219" s="630"/>
      <c r="MZJ219" s="630"/>
      <c r="MZK219" s="630"/>
      <c r="MZL219" s="630"/>
      <c r="MZM219" s="630"/>
      <c r="MZN219" s="630"/>
      <c r="MZO219" s="630"/>
      <c r="MZP219" s="630"/>
      <c r="MZQ219" s="630"/>
      <c r="MZR219" s="630"/>
      <c r="MZS219" s="630"/>
      <c r="MZT219" s="630"/>
      <c r="MZU219" s="630"/>
      <c r="MZV219" s="630"/>
      <c r="MZW219" s="630"/>
      <c r="MZX219" s="630"/>
      <c r="MZY219" s="630"/>
      <c r="MZZ219" s="630"/>
      <c r="NAA219" s="630"/>
      <c r="NAB219" s="630"/>
      <c r="NAC219" s="630"/>
      <c r="NAD219" s="630"/>
      <c r="NAE219" s="630"/>
      <c r="NAF219" s="630"/>
      <c r="NAG219" s="630"/>
      <c r="NAH219" s="630"/>
      <c r="NAI219" s="630"/>
      <c r="NAJ219" s="630"/>
      <c r="NAK219" s="630"/>
      <c r="NAL219" s="630"/>
      <c r="NAM219" s="630"/>
      <c r="NAN219" s="630"/>
      <c r="NAO219" s="630"/>
      <c r="NAP219" s="630"/>
      <c r="NAQ219" s="630"/>
      <c r="NAR219" s="630"/>
      <c r="NAS219" s="630"/>
      <c r="NAT219" s="630"/>
      <c r="NAU219" s="630"/>
      <c r="NAV219" s="630"/>
      <c r="NAW219" s="630"/>
      <c r="NAX219" s="630"/>
      <c r="NAY219" s="630"/>
      <c r="NAZ219" s="630"/>
      <c r="NBA219" s="630"/>
      <c r="NBB219" s="630"/>
      <c r="NBC219" s="630"/>
      <c r="NBD219" s="630"/>
      <c r="NBE219" s="630"/>
      <c r="NBF219" s="630"/>
      <c r="NBG219" s="630"/>
      <c r="NBH219" s="630"/>
      <c r="NBI219" s="630"/>
      <c r="NBJ219" s="630"/>
      <c r="NBK219" s="630"/>
      <c r="NBL219" s="630"/>
      <c r="NBM219" s="630"/>
      <c r="NBN219" s="630"/>
      <c r="NBO219" s="630"/>
      <c r="NBP219" s="630"/>
      <c r="NBQ219" s="630"/>
      <c r="NBR219" s="630"/>
      <c r="NBS219" s="630"/>
      <c r="NBT219" s="630"/>
      <c r="NBU219" s="630"/>
      <c r="NBV219" s="630"/>
      <c r="NBW219" s="630"/>
      <c r="NBX219" s="630"/>
      <c r="NBY219" s="630"/>
      <c r="NBZ219" s="630"/>
      <c r="NCA219" s="630"/>
      <c r="NCB219" s="630"/>
      <c r="NCC219" s="630"/>
      <c r="NCD219" s="630"/>
      <c r="NCE219" s="630"/>
      <c r="NCF219" s="630"/>
      <c r="NCG219" s="630"/>
      <c r="NCH219" s="630"/>
      <c r="NCI219" s="630"/>
      <c r="NCJ219" s="630"/>
      <c r="NCK219" s="630"/>
      <c r="NCL219" s="630"/>
      <c r="NCM219" s="630"/>
      <c r="NCN219" s="630"/>
      <c r="NCO219" s="630"/>
      <c r="NCP219" s="630"/>
      <c r="NCQ219" s="630"/>
      <c r="NCR219" s="630"/>
      <c r="NCS219" s="630"/>
      <c r="NCT219" s="630"/>
      <c r="NCU219" s="630"/>
      <c r="NCV219" s="630"/>
      <c r="NCW219" s="630"/>
      <c r="NCX219" s="630"/>
      <c r="NCY219" s="630"/>
      <c r="NCZ219" s="630"/>
      <c r="NDA219" s="630"/>
      <c r="NDB219" s="630"/>
      <c r="NDC219" s="630"/>
      <c r="NDD219" s="630"/>
      <c r="NDE219" s="630"/>
      <c r="NDF219" s="630"/>
      <c r="NDG219" s="630"/>
      <c r="NDH219" s="630"/>
      <c r="NDI219" s="630"/>
      <c r="NDJ219" s="630"/>
      <c r="NDK219" s="630"/>
      <c r="NDL219" s="630"/>
      <c r="NDM219" s="630"/>
      <c r="NDN219" s="630"/>
      <c r="NDO219" s="630"/>
      <c r="NDP219" s="630"/>
      <c r="NDQ219" s="630"/>
      <c r="NDR219" s="630"/>
      <c r="NDS219" s="630"/>
      <c r="NDT219" s="630"/>
      <c r="NDU219" s="630"/>
      <c r="NDV219" s="630"/>
      <c r="NDW219" s="630"/>
      <c r="NDX219" s="630"/>
      <c r="NDY219" s="630"/>
      <c r="NDZ219" s="630"/>
      <c r="NEA219" s="630"/>
      <c r="NEB219" s="630"/>
      <c r="NEC219" s="630"/>
      <c r="NED219" s="630"/>
      <c r="NEE219" s="630"/>
      <c r="NEF219" s="630"/>
      <c r="NEG219" s="630"/>
      <c r="NEH219" s="630"/>
      <c r="NEI219" s="630"/>
      <c r="NEJ219" s="630"/>
      <c r="NEK219" s="630"/>
      <c r="NEL219" s="630"/>
      <c r="NEM219" s="630"/>
      <c r="NEN219" s="630"/>
      <c r="NEO219" s="630"/>
      <c r="NEP219" s="630"/>
      <c r="NEQ219" s="630"/>
      <c r="NER219" s="630"/>
      <c r="NES219" s="630"/>
      <c r="NET219" s="630"/>
      <c r="NEU219" s="630"/>
      <c r="NEV219" s="630"/>
      <c r="NEW219" s="630"/>
      <c r="NEX219" s="630"/>
      <c r="NEY219" s="630"/>
      <c r="NEZ219" s="630"/>
      <c r="NFA219" s="630"/>
      <c r="NFB219" s="630"/>
      <c r="NFC219" s="630"/>
      <c r="NFD219" s="630"/>
      <c r="NFE219" s="630"/>
      <c r="NFF219" s="630"/>
      <c r="NFG219" s="630"/>
      <c r="NFH219" s="630"/>
      <c r="NFI219" s="630"/>
      <c r="NFJ219" s="630"/>
      <c r="NFK219" s="630"/>
      <c r="NFL219" s="630"/>
      <c r="NFM219" s="630"/>
      <c r="NFN219" s="630"/>
      <c r="NFO219" s="630"/>
      <c r="NFP219" s="630"/>
      <c r="NFQ219" s="630"/>
      <c r="NFR219" s="630"/>
      <c r="NFS219" s="630"/>
      <c r="NFT219" s="630"/>
      <c r="NFU219" s="630"/>
      <c r="NFV219" s="630"/>
      <c r="NFW219" s="630"/>
      <c r="NFX219" s="630"/>
      <c r="NFY219" s="630"/>
      <c r="NFZ219" s="630"/>
      <c r="NGA219" s="630"/>
      <c r="NGB219" s="630"/>
      <c r="NGC219" s="630"/>
      <c r="NGD219" s="630"/>
      <c r="NGE219" s="630"/>
      <c r="NGF219" s="630"/>
      <c r="NGG219" s="630"/>
      <c r="NGH219" s="630"/>
      <c r="NGI219" s="630"/>
      <c r="NGJ219" s="630"/>
      <c r="NGK219" s="630"/>
      <c r="NGL219" s="630"/>
      <c r="NGM219" s="630"/>
      <c r="NGN219" s="630"/>
      <c r="NGO219" s="630"/>
      <c r="NGP219" s="630"/>
      <c r="NGQ219" s="630"/>
      <c r="NGR219" s="630"/>
      <c r="NGS219" s="630"/>
      <c r="NGT219" s="630"/>
      <c r="NGU219" s="630"/>
      <c r="NGV219" s="630"/>
      <c r="NGW219" s="630"/>
      <c r="NGX219" s="630"/>
      <c r="NGY219" s="630"/>
      <c r="NGZ219" s="630"/>
      <c r="NHA219" s="630"/>
      <c r="NHB219" s="630"/>
      <c r="NHC219" s="630"/>
      <c r="NHD219" s="630"/>
      <c r="NHE219" s="630"/>
      <c r="NHF219" s="630"/>
      <c r="NHG219" s="630"/>
      <c r="NHH219" s="630"/>
      <c r="NHI219" s="630"/>
      <c r="NHJ219" s="630"/>
      <c r="NHK219" s="630"/>
      <c r="NHL219" s="630"/>
      <c r="NHM219" s="630"/>
      <c r="NHN219" s="630"/>
      <c r="NHO219" s="630"/>
      <c r="NHP219" s="630"/>
      <c r="NHQ219" s="630"/>
      <c r="NHR219" s="630"/>
      <c r="NHS219" s="630"/>
      <c r="NHT219" s="630"/>
      <c r="NHU219" s="630"/>
      <c r="NHV219" s="630"/>
      <c r="NHW219" s="630"/>
      <c r="NHX219" s="630"/>
      <c r="NHY219" s="630"/>
      <c r="NHZ219" s="630"/>
      <c r="NIA219" s="630"/>
      <c r="NIB219" s="630"/>
      <c r="NIC219" s="630"/>
      <c r="NID219" s="630"/>
      <c r="NIE219" s="630"/>
      <c r="NIF219" s="630"/>
      <c r="NIG219" s="630"/>
      <c r="NIH219" s="630"/>
      <c r="NII219" s="630"/>
      <c r="NIJ219" s="630"/>
      <c r="NIK219" s="630"/>
      <c r="NIL219" s="630"/>
      <c r="NIM219" s="630"/>
      <c r="NIN219" s="630"/>
      <c r="NIO219" s="630"/>
      <c r="NIP219" s="630"/>
      <c r="NIQ219" s="630"/>
      <c r="NIR219" s="630"/>
      <c r="NIS219" s="630"/>
      <c r="NIT219" s="630"/>
      <c r="NIU219" s="630"/>
      <c r="NIV219" s="630"/>
      <c r="NIW219" s="630"/>
      <c r="NIX219" s="630"/>
      <c r="NIY219" s="630"/>
      <c r="NIZ219" s="630"/>
      <c r="NJA219" s="630"/>
      <c r="NJB219" s="630"/>
      <c r="NJC219" s="630"/>
      <c r="NJD219" s="630"/>
      <c r="NJE219" s="630"/>
      <c r="NJF219" s="630"/>
      <c r="NJG219" s="630"/>
      <c r="NJH219" s="630"/>
      <c r="NJI219" s="630"/>
      <c r="NJJ219" s="630"/>
      <c r="NJK219" s="630"/>
      <c r="NJL219" s="630"/>
      <c r="NJM219" s="630"/>
      <c r="NJN219" s="630"/>
      <c r="NJO219" s="630"/>
      <c r="NJP219" s="630"/>
      <c r="NJQ219" s="630"/>
      <c r="NJR219" s="630"/>
      <c r="NJS219" s="630"/>
      <c r="NJT219" s="630"/>
      <c r="NJU219" s="630"/>
      <c r="NJV219" s="630"/>
      <c r="NJW219" s="630"/>
      <c r="NJX219" s="630"/>
      <c r="NJY219" s="630"/>
      <c r="NJZ219" s="630"/>
      <c r="NKA219" s="630"/>
      <c r="NKB219" s="630"/>
      <c r="NKC219" s="630"/>
      <c r="NKD219" s="630"/>
      <c r="NKE219" s="630"/>
      <c r="NKF219" s="630"/>
      <c r="NKG219" s="630"/>
      <c r="NKH219" s="630"/>
      <c r="NKI219" s="630"/>
      <c r="NKJ219" s="630"/>
      <c r="NKK219" s="630"/>
      <c r="NKL219" s="630"/>
      <c r="NKM219" s="630"/>
      <c r="NKN219" s="630"/>
      <c r="NKO219" s="630"/>
      <c r="NKP219" s="630"/>
      <c r="NKQ219" s="630"/>
      <c r="NKR219" s="630"/>
      <c r="NKS219" s="630"/>
      <c r="NKT219" s="630"/>
      <c r="NKU219" s="630"/>
      <c r="NKV219" s="630"/>
      <c r="NKW219" s="630"/>
      <c r="NKX219" s="630"/>
      <c r="NKY219" s="630"/>
      <c r="NKZ219" s="630"/>
      <c r="NLA219" s="630"/>
      <c r="NLB219" s="630"/>
      <c r="NLC219" s="630"/>
      <c r="NLD219" s="630"/>
      <c r="NLE219" s="630"/>
      <c r="NLF219" s="630"/>
      <c r="NLG219" s="630"/>
      <c r="NLH219" s="630"/>
      <c r="NLI219" s="630"/>
      <c r="NLJ219" s="630"/>
      <c r="NLK219" s="630"/>
      <c r="NLL219" s="630"/>
      <c r="NLM219" s="630"/>
      <c r="NLN219" s="630"/>
      <c r="NLO219" s="630"/>
      <c r="NLP219" s="630"/>
      <c r="NLQ219" s="630"/>
      <c r="NLR219" s="630"/>
      <c r="NLS219" s="630"/>
      <c r="NLT219" s="630"/>
      <c r="NLU219" s="630"/>
      <c r="NLV219" s="630"/>
      <c r="NLW219" s="630"/>
      <c r="NLX219" s="630"/>
      <c r="NLY219" s="630"/>
      <c r="NLZ219" s="630"/>
      <c r="NMA219" s="630"/>
      <c r="NMB219" s="630"/>
      <c r="NMC219" s="630"/>
      <c r="NMD219" s="630"/>
      <c r="NME219" s="630"/>
      <c r="NMF219" s="630"/>
      <c r="NMG219" s="630"/>
      <c r="NMH219" s="630"/>
      <c r="NMI219" s="630"/>
      <c r="NMJ219" s="630"/>
      <c r="NMK219" s="630"/>
      <c r="NML219" s="630"/>
      <c r="NMM219" s="630"/>
      <c r="NMN219" s="630"/>
      <c r="NMO219" s="630"/>
      <c r="NMP219" s="630"/>
      <c r="NMQ219" s="630"/>
      <c r="NMR219" s="630"/>
      <c r="NMS219" s="630"/>
      <c r="NMT219" s="630"/>
      <c r="NMU219" s="630"/>
      <c r="NMV219" s="630"/>
      <c r="NMW219" s="630"/>
      <c r="NMX219" s="630"/>
      <c r="NMY219" s="630"/>
      <c r="NMZ219" s="630"/>
      <c r="NNA219" s="630"/>
      <c r="NNB219" s="630"/>
      <c r="NNC219" s="630"/>
      <c r="NND219" s="630"/>
      <c r="NNE219" s="630"/>
      <c r="NNF219" s="630"/>
      <c r="NNG219" s="630"/>
      <c r="NNH219" s="630"/>
      <c r="NNI219" s="630"/>
      <c r="NNJ219" s="630"/>
      <c r="NNK219" s="630"/>
      <c r="NNL219" s="630"/>
      <c r="NNM219" s="630"/>
      <c r="NNN219" s="630"/>
      <c r="NNO219" s="630"/>
      <c r="NNP219" s="630"/>
      <c r="NNQ219" s="630"/>
      <c r="NNR219" s="630"/>
      <c r="NNS219" s="630"/>
      <c r="NNT219" s="630"/>
      <c r="NNU219" s="630"/>
      <c r="NNV219" s="630"/>
      <c r="NNW219" s="630"/>
      <c r="NNX219" s="630"/>
      <c r="NNY219" s="630"/>
      <c r="NNZ219" s="630"/>
      <c r="NOA219" s="630"/>
      <c r="NOB219" s="630"/>
      <c r="NOC219" s="630"/>
      <c r="NOD219" s="630"/>
      <c r="NOE219" s="630"/>
      <c r="NOF219" s="630"/>
      <c r="NOG219" s="630"/>
      <c r="NOH219" s="630"/>
      <c r="NOI219" s="630"/>
      <c r="NOJ219" s="630"/>
      <c r="NOK219" s="630"/>
      <c r="NOL219" s="630"/>
      <c r="NOM219" s="630"/>
      <c r="NON219" s="630"/>
      <c r="NOO219" s="630"/>
      <c r="NOP219" s="630"/>
      <c r="NOQ219" s="630"/>
      <c r="NOR219" s="630"/>
      <c r="NOS219" s="630"/>
      <c r="NOT219" s="630"/>
      <c r="NOU219" s="630"/>
      <c r="NOV219" s="630"/>
      <c r="NOW219" s="630"/>
      <c r="NOX219" s="630"/>
      <c r="NOY219" s="630"/>
      <c r="NOZ219" s="630"/>
      <c r="NPA219" s="630"/>
      <c r="NPB219" s="630"/>
      <c r="NPC219" s="630"/>
      <c r="NPD219" s="630"/>
      <c r="NPE219" s="630"/>
      <c r="NPF219" s="630"/>
      <c r="NPG219" s="630"/>
      <c r="NPH219" s="630"/>
      <c r="NPI219" s="630"/>
      <c r="NPJ219" s="630"/>
      <c r="NPK219" s="630"/>
      <c r="NPL219" s="630"/>
      <c r="NPM219" s="630"/>
      <c r="NPN219" s="630"/>
      <c r="NPO219" s="630"/>
      <c r="NPP219" s="630"/>
      <c r="NPQ219" s="630"/>
      <c r="NPR219" s="630"/>
      <c r="NPS219" s="630"/>
      <c r="NPT219" s="630"/>
      <c r="NPU219" s="630"/>
      <c r="NPV219" s="630"/>
      <c r="NPW219" s="630"/>
      <c r="NPX219" s="630"/>
      <c r="NPY219" s="630"/>
      <c r="NPZ219" s="630"/>
      <c r="NQA219" s="630"/>
      <c r="NQB219" s="630"/>
      <c r="NQC219" s="630"/>
      <c r="NQD219" s="630"/>
      <c r="NQE219" s="630"/>
      <c r="NQF219" s="630"/>
      <c r="NQG219" s="630"/>
      <c r="NQH219" s="630"/>
      <c r="NQI219" s="630"/>
      <c r="NQJ219" s="630"/>
      <c r="NQK219" s="630"/>
      <c r="NQL219" s="630"/>
      <c r="NQM219" s="630"/>
      <c r="NQN219" s="630"/>
      <c r="NQO219" s="630"/>
      <c r="NQP219" s="630"/>
      <c r="NQQ219" s="630"/>
      <c r="NQR219" s="630"/>
      <c r="NQS219" s="630"/>
      <c r="NQT219" s="630"/>
      <c r="NQU219" s="630"/>
      <c r="NQV219" s="630"/>
      <c r="NQW219" s="630"/>
      <c r="NQX219" s="630"/>
      <c r="NQY219" s="630"/>
      <c r="NQZ219" s="630"/>
      <c r="NRA219" s="630"/>
      <c r="NRB219" s="630"/>
      <c r="NRC219" s="630"/>
      <c r="NRD219" s="630"/>
      <c r="NRE219" s="630"/>
      <c r="NRF219" s="630"/>
      <c r="NRG219" s="630"/>
      <c r="NRH219" s="630"/>
      <c r="NRI219" s="630"/>
      <c r="NRJ219" s="630"/>
      <c r="NRK219" s="630"/>
      <c r="NRL219" s="630"/>
      <c r="NRM219" s="630"/>
      <c r="NRN219" s="630"/>
      <c r="NRO219" s="630"/>
      <c r="NRP219" s="630"/>
      <c r="NRQ219" s="630"/>
      <c r="NRR219" s="630"/>
      <c r="NRS219" s="630"/>
      <c r="NRT219" s="630"/>
      <c r="NRU219" s="630"/>
      <c r="NRV219" s="630"/>
      <c r="NRW219" s="630"/>
      <c r="NRX219" s="630"/>
      <c r="NRY219" s="630"/>
      <c r="NRZ219" s="630"/>
      <c r="NSA219" s="630"/>
      <c r="NSB219" s="630"/>
      <c r="NSC219" s="630"/>
      <c r="NSD219" s="630"/>
      <c r="NSE219" s="630"/>
      <c r="NSF219" s="630"/>
      <c r="NSG219" s="630"/>
      <c r="NSH219" s="630"/>
      <c r="NSI219" s="630"/>
      <c r="NSJ219" s="630"/>
      <c r="NSK219" s="630"/>
      <c r="NSL219" s="630"/>
      <c r="NSM219" s="630"/>
      <c r="NSN219" s="630"/>
      <c r="NSO219" s="630"/>
      <c r="NSP219" s="630"/>
      <c r="NSQ219" s="630"/>
      <c r="NSR219" s="630"/>
      <c r="NSS219" s="630"/>
      <c r="NST219" s="630"/>
      <c r="NSU219" s="630"/>
      <c r="NSV219" s="630"/>
      <c r="NSW219" s="630"/>
      <c r="NSX219" s="630"/>
      <c r="NSY219" s="630"/>
      <c r="NSZ219" s="630"/>
      <c r="NTA219" s="630"/>
      <c r="NTB219" s="630"/>
      <c r="NTC219" s="630"/>
      <c r="NTD219" s="630"/>
      <c r="NTE219" s="630"/>
      <c r="NTF219" s="630"/>
      <c r="NTG219" s="630"/>
      <c r="NTH219" s="630"/>
      <c r="NTI219" s="630"/>
      <c r="NTJ219" s="630"/>
      <c r="NTK219" s="630"/>
      <c r="NTL219" s="630"/>
      <c r="NTM219" s="630"/>
      <c r="NTN219" s="630"/>
      <c r="NTO219" s="630"/>
      <c r="NTP219" s="630"/>
      <c r="NTQ219" s="630"/>
      <c r="NTR219" s="630"/>
      <c r="NTS219" s="630"/>
      <c r="NTT219" s="630"/>
      <c r="NTU219" s="630"/>
      <c r="NTV219" s="630"/>
      <c r="NTW219" s="630"/>
      <c r="NTX219" s="630"/>
      <c r="NTY219" s="630"/>
      <c r="NTZ219" s="630"/>
      <c r="NUA219" s="630"/>
      <c r="NUB219" s="630"/>
      <c r="NUC219" s="630"/>
      <c r="NUD219" s="630"/>
      <c r="NUE219" s="630"/>
      <c r="NUF219" s="630"/>
      <c r="NUG219" s="630"/>
      <c r="NUH219" s="630"/>
      <c r="NUI219" s="630"/>
      <c r="NUJ219" s="630"/>
      <c r="NUK219" s="630"/>
      <c r="NUL219" s="630"/>
      <c r="NUM219" s="630"/>
      <c r="NUN219" s="630"/>
      <c r="NUO219" s="630"/>
      <c r="NUP219" s="630"/>
      <c r="NUQ219" s="630"/>
      <c r="NUR219" s="630"/>
      <c r="NUS219" s="630"/>
      <c r="NUT219" s="630"/>
      <c r="NUU219" s="630"/>
      <c r="NUV219" s="630"/>
      <c r="NUW219" s="630"/>
      <c r="NUX219" s="630"/>
      <c r="NUY219" s="630"/>
      <c r="NUZ219" s="630"/>
      <c r="NVA219" s="630"/>
      <c r="NVB219" s="630"/>
      <c r="NVC219" s="630"/>
      <c r="NVD219" s="630"/>
      <c r="NVE219" s="630"/>
      <c r="NVF219" s="630"/>
      <c r="NVG219" s="630"/>
      <c r="NVH219" s="630"/>
      <c r="NVI219" s="630"/>
      <c r="NVJ219" s="630"/>
      <c r="NVK219" s="630"/>
      <c r="NVL219" s="630"/>
      <c r="NVM219" s="630"/>
      <c r="NVN219" s="630"/>
      <c r="NVO219" s="630"/>
      <c r="NVP219" s="630"/>
      <c r="NVQ219" s="630"/>
      <c r="NVR219" s="630"/>
      <c r="NVS219" s="630"/>
      <c r="NVT219" s="630"/>
      <c r="NVU219" s="630"/>
      <c r="NVV219" s="630"/>
      <c r="NVW219" s="630"/>
      <c r="NVX219" s="630"/>
      <c r="NVY219" s="630"/>
      <c r="NVZ219" s="630"/>
      <c r="NWA219" s="630"/>
      <c r="NWB219" s="630"/>
      <c r="NWC219" s="630"/>
      <c r="NWD219" s="630"/>
      <c r="NWE219" s="630"/>
      <c r="NWF219" s="630"/>
      <c r="NWG219" s="630"/>
      <c r="NWH219" s="630"/>
      <c r="NWI219" s="630"/>
      <c r="NWJ219" s="630"/>
      <c r="NWK219" s="630"/>
      <c r="NWL219" s="630"/>
      <c r="NWM219" s="630"/>
      <c r="NWN219" s="630"/>
      <c r="NWO219" s="630"/>
      <c r="NWP219" s="630"/>
      <c r="NWQ219" s="630"/>
      <c r="NWR219" s="630"/>
      <c r="NWS219" s="630"/>
      <c r="NWT219" s="630"/>
      <c r="NWU219" s="630"/>
      <c r="NWV219" s="630"/>
      <c r="NWW219" s="630"/>
      <c r="NWX219" s="630"/>
      <c r="NWY219" s="630"/>
      <c r="NWZ219" s="630"/>
      <c r="NXA219" s="630"/>
      <c r="NXB219" s="630"/>
      <c r="NXC219" s="630"/>
      <c r="NXD219" s="630"/>
      <c r="NXE219" s="630"/>
      <c r="NXF219" s="630"/>
      <c r="NXG219" s="630"/>
      <c r="NXH219" s="630"/>
      <c r="NXI219" s="630"/>
      <c r="NXJ219" s="630"/>
      <c r="NXK219" s="630"/>
      <c r="NXL219" s="630"/>
      <c r="NXM219" s="630"/>
      <c r="NXN219" s="630"/>
      <c r="NXO219" s="630"/>
      <c r="NXP219" s="630"/>
      <c r="NXQ219" s="630"/>
      <c r="NXR219" s="630"/>
      <c r="NXS219" s="630"/>
      <c r="NXT219" s="630"/>
      <c r="NXU219" s="630"/>
      <c r="NXV219" s="630"/>
      <c r="NXW219" s="630"/>
      <c r="NXX219" s="630"/>
      <c r="NXY219" s="630"/>
      <c r="NXZ219" s="630"/>
      <c r="NYA219" s="630"/>
      <c r="NYB219" s="630"/>
      <c r="NYC219" s="630"/>
      <c r="NYD219" s="630"/>
      <c r="NYE219" s="630"/>
      <c r="NYF219" s="630"/>
      <c r="NYG219" s="630"/>
      <c r="NYH219" s="630"/>
      <c r="NYI219" s="630"/>
      <c r="NYJ219" s="630"/>
      <c r="NYK219" s="630"/>
      <c r="NYL219" s="630"/>
      <c r="NYM219" s="630"/>
      <c r="NYN219" s="630"/>
      <c r="NYO219" s="630"/>
      <c r="NYP219" s="630"/>
      <c r="NYQ219" s="630"/>
      <c r="NYR219" s="630"/>
      <c r="NYS219" s="630"/>
      <c r="NYT219" s="630"/>
      <c r="NYU219" s="630"/>
      <c r="NYV219" s="630"/>
      <c r="NYW219" s="630"/>
      <c r="NYX219" s="630"/>
      <c r="NYY219" s="630"/>
      <c r="NYZ219" s="630"/>
      <c r="NZA219" s="630"/>
      <c r="NZB219" s="630"/>
      <c r="NZC219" s="630"/>
      <c r="NZD219" s="630"/>
      <c r="NZE219" s="630"/>
      <c r="NZF219" s="630"/>
      <c r="NZG219" s="630"/>
      <c r="NZH219" s="630"/>
      <c r="NZI219" s="630"/>
      <c r="NZJ219" s="630"/>
      <c r="NZK219" s="630"/>
      <c r="NZL219" s="630"/>
      <c r="NZM219" s="630"/>
      <c r="NZN219" s="630"/>
      <c r="NZO219" s="630"/>
      <c r="NZP219" s="630"/>
      <c r="NZQ219" s="630"/>
      <c r="NZR219" s="630"/>
      <c r="NZS219" s="630"/>
      <c r="NZT219" s="630"/>
      <c r="NZU219" s="630"/>
      <c r="NZV219" s="630"/>
      <c r="NZW219" s="630"/>
      <c r="NZX219" s="630"/>
      <c r="NZY219" s="630"/>
      <c r="NZZ219" s="630"/>
      <c r="OAA219" s="630"/>
      <c r="OAB219" s="630"/>
      <c r="OAC219" s="630"/>
      <c r="OAD219" s="630"/>
      <c r="OAE219" s="630"/>
      <c r="OAF219" s="630"/>
      <c r="OAG219" s="630"/>
      <c r="OAH219" s="630"/>
      <c r="OAI219" s="630"/>
      <c r="OAJ219" s="630"/>
      <c r="OAK219" s="630"/>
      <c r="OAL219" s="630"/>
      <c r="OAM219" s="630"/>
      <c r="OAN219" s="630"/>
      <c r="OAO219" s="630"/>
      <c r="OAP219" s="630"/>
      <c r="OAQ219" s="630"/>
      <c r="OAR219" s="630"/>
      <c r="OAS219" s="630"/>
      <c r="OAT219" s="630"/>
      <c r="OAU219" s="630"/>
      <c r="OAV219" s="630"/>
      <c r="OAW219" s="630"/>
      <c r="OAX219" s="630"/>
      <c r="OAY219" s="630"/>
      <c r="OAZ219" s="630"/>
      <c r="OBA219" s="630"/>
      <c r="OBB219" s="630"/>
      <c r="OBC219" s="630"/>
      <c r="OBD219" s="630"/>
      <c r="OBE219" s="630"/>
      <c r="OBF219" s="630"/>
      <c r="OBG219" s="630"/>
      <c r="OBH219" s="630"/>
      <c r="OBI219" s="630"/>
      <c r="OBJ219" s="630"/>
      <c r="OBK219" s="630"/>
      <c r="OBL219" s="630"/>
      <c r="OBM219" s="630"/>
      <c r="OBN219" s="630"/>
      <c r="OBO219" s="630"/>
      <c r="OBP219" s="630"/>
      <c r="OBQ219" s="630"/>
      <c r="OBR219" s="630"/>
      <c r="OBS219" s="630"/>
      <c r="OBT219" s="630"/>
      <c r="OBU219" s="630"/>
      <c r="OBV219" s="630"/>
      <c r="OBW219" s="630"/>
      <c r="OBX219" s="630"/>
      <c r="OBY219" s="630"/>
      <c r="OBZ219" s="630"/>
      <c r="OCA219" s="630"/>
      <c r="OCB219" s="630"/>
      <c r="OCC219" s="630"/>
      <c r="OCD219" s="630"/>
      <c r="OCE219" s="630"/>
      <c r="OCF219" s="630"/>
      <c r="OCG219" s="630"/>
      <c r="OCH219" s="630"/>
      <c r="OCI219" s="630"/>
      <c r="OCJ219" s="630"/>
      <c r="OCK219" s="630"/>
      <c r="OCL219" s="630"/>
      <c r="OCM219" s="630"/>
      <c r="OCN219" s="630"/>
      <c r="OCO219" s="630"/>
      <c r="OCP219" s="630"/>
      <c r="OCQ219" s="630"/>
      <c r="OCR219" s="630"/>
      <c r="OCS219" s="630"/>
      <c r="OCT219" s="630"/>
      <c r="OCU219" s="630"/>
      <c r="OCV219" s="630"/>
      <c r="OCW219" s="630"/>
      <c r="OCX219" s="630"/>
      <c r="OCY219" s="630"/>
      <c r="OCZ219" s="630"/>
      <c r="ODA219" s="630"/>
      <c r="ODB219" s="630"/>
      <c r="ODC219" s="630"/>
      <c r="ODD219" s="630"/>
      <c r="ODE219" s="630"/>
      <c r="ODF219" s="630"/>
      <c r="ODG219" s="630"/>
      <c r="ODH219" s="630"/>
      <c r="ODI219" s="630"/>
      <c r="ODJ219" s="630"/>
      <c r="ODK219" s="630"/>
      <c r="ODL219" s="630"/>
      <c r="ODM219" s="630"/>
      <c r="ODN219" s="630"/>
      <c r="ODO219" s="630"/>
      <c r="ODP219" s="630"/>
      <c r="ODQ219" s="630"/>
      <c r="ODR219" s="630"/>
      <c r="ODS219" s="630"/>
      <c r="ODT219" s="630"/>
      <c r="ODU219" s="630"/>
      <c r="ODV219" s="630"/>
      <c r="ODW219" s="630"/>
      <c r="ODX219" s="630"/>
      <c r="ODY219" s="630"/>
      <c r="ODZ219" s="630"/>
      <c r="OEA219" s="630"/>
      <c r="OEB219" s="630"/>
      <c r="OEC219" s="630"/>
      <c r="OED219" s="630"/>
      <c r="OEE219" s="630"/>
      <c r="OEF219" s="630"/>
      <c r="OEG219" s="630"/>
      <c r="OEH219" s="630"/>
      <c r="OEI219" s="630"/>
      <c r="OEJ219" s="630"/>
      <c r="OEK219" s="630"/>
      <c r="OEL219" s="630"/>
      <c r="OEM219" s="630"/>
      <c r="OEN219" s="630"/>
      <c r="OEO219" s="630"/>
      <c r="OEP219" s="630"/>
      <c r="OEQ219" s="630"/>
      <c r="OER219" s="630"/>
      <c r="OES219" s="630"/>
      <c r="OET219" s="630"/>
      <c r="OEU219" s="630"/>
      <c r="OEV219" s="630"/>
      <c r="OEW219" s="630"/>
      <c r="OEX219" s="630"/>
      <c r="OEY219" s="630"/>
      <c r="OEZ219" s="630"/>
      <c r="OFA219" s="630"/>
      <c r="OFB219" s="630"/>
      <c r="OFC219" s="630"/>
      <c r="OFD219" s="630"/>
      <c r="OFE219" s="630"/>
      <c r="OFF219" s="630"/>
      <c r="OFG219" s="630"/>
      <c r="OFH219" s="630"/>
      <c r="OFI219" s="630"/>
      <c r="OFJ219" s="630"/>
      <c r="OFK219" s="630"/>
      <c r="OFL219" s="630"/>
      <c r="OFM219" s="630"/>
      <c r="OFN219" s="630"/>
      <c r="OFO219" s="630"/>
      <c r="OFP219" s="630"/>
      <c r="OFQ219" s="630"/>
      <c r="OFR219" s="630"/>
      <c r="OFS219" s="630"/>
      <c r="OFT219" s="630"/>
      <c r="OFU219" s="630"/>
      <c r="OFV219" s="630"/>
      <c r="OFW219" s="630"/>
      <c r="OFX219" s="630"/>
      <c r="OFY219" s="630"/>
      <c r="OFZ219" s="630"/>
      <c r="OGA219" s="630"/>
      <c r="OGB219" s="630"/>
      <c r="OGC219" s="630"/>
      <c r="OGD219" s="630"/>
      <c r="OGE219" s="630"/>
      <c r="OGF219" s="630"/>
      <c r="OGG219" s="630"/>
      <c r="OGH219" s="630"/>
      <c r="OGI219" s="630"/>
      <c r="OGJ219" s="630"/>
      <c r="OGK219" s="630"/>
      <c r="OGL219" s="630"/>
      <c r="OGM219" s="630"/>
      <c r="OGN219" s="630"/>
      <c r="OGO219" s="630"/>
      <c r="OGP219" s="630"/>
      <c r="OGQ219" s="630"/>
      <c r="OGR219" s="630"/>
      <c r="OGS219" s="630"/>
      <c r="OGT219" s="630"/>
      <c r="OGU219" s="630"/>
      <c r="OGV219" s="630"/>
      <c r="OGW219" s="630"/>
      <c r="OGX219" s="630"/>
      <c r="OGY219" s="630"/>
      <c r="OGZ219" s="630"/>
      <c r="OHA219" s="630"/>
      <c r="OHB219" s="630"/>
      <c r="OHC219" s="630"/>
      <c r="OHD219" s="630"/>
      <c r="OHE219" s="630"/>
      <c r="OHF219" s="630"/>
      <c r="OHG219" s="630"/>
      <c r="OHH219" s="630"/>
      <c r="OHI219" s="630"/>
      <c r="OHJ219" s="630"/>
      <c r="OHK219" s="630"/>
      <c r="OHL219" s="630"/>
      <c r="OHM219" s="630"/>
      <c r="OHN219" s="630"/>
      <c r="OHO219" s="630"/>
      <c r="OHP219" s="630"/>
      <c r="OHQ219" s="630"/>
      <c r="OHR219" s="630"/>
      <c r="OHS219" s="630"/>
      <c r="OHT219" s="630"/>
      <c r="OHU219" s="630"/>
      <c r="OHV219" s="630"/>
      <c r="OHW219" s="630"/>
      <c r="OHX219" s="630"/>
      <c r="OHY219" s="630"/>
      <c r="OHZ219" s="630"/>
      <c r="OIA219" s="630"/>
      <c r="OIB219" s="630"/>
      <c r="OIC219" s="630"/>
      <c r="OID219" s="630"/>
      <c r="OIE219" s="630"/>
      <c r="OIF219" s="630"/>
      <c r="OIG219" s="630"/>
      <c r="OIH219" s="630"/>
      <c r="OII219" s="630"/>
      <c r="OIJ219" s="630"/>
      <c r="OIK219" s="630"/>
      <c r="OIL219" s="630"/>
      <c r="OIM219" s="630"/>
      <c r="OIN219" s="630"/>
      <c r="OIO219" s="630"/>
      <c r="OIP219" s="630"/>
      <c r="OIQ219" s="630"/>
      <c r="OIR219" s="630"/>
      <c r="OIS219" s="630"/>
      <c r="OIT219" s="630"/>
      <c r="OIU219" s="630"/>
      <c r="OIV219" s="630"/>
      <c r="OIW219" s="630"/>
      <c r="OIX219" s="630"/>
      <c r="OIY219" s="630"/>
      <c r="OIZ219" s="630"/>
      <c r="OJA219" s="630"/>
      <c r="OJB219" s="630"/>
      <c r="OJC219" s="630"/>
      <c r="OJD219" s="630"/>
      <c r="OJE219" s="630"/>
      <c r="OJF219" s="630"/>
      <c r="OJG219" s="630"/>
      <c r="OJH219" s="630"/>
      <c r="OJI219" s="630"/>
      <c r="OJJ219" s="630"/>
      <c r="OJK219" s="630"/>
      <c r="OJL219" s="630"/>
      <c r="OJM219" s="630"/>
      <c r="OJN219" s="630"/>
      <c r="OJO219" s="630"/>
      <c r="OJP219" s="630"/>
      <c r="OJQ219" s="630"/>
      <c r="OJR219" s="630"/>
      <c r="OJS219" s="630"/>
      <c r="OJT219" s="630"/>
      <c r="OJU219" s="630"/>
      <c r="OJV219" s="630"/>
      <c r="OJW219" s="630"/>
      <c r="OJX219" s="630"/>
      <c r="OJY219" s="630"/>
      <c r="OJZ219" s="630"/>
      <c r="OKA219" s="630"/>
      <c r="OKB219" s="630"/>
      <c r="OKC219" s="630"/>
      <c r="OKD219" s="630"/>
      <c r="OKE219" s="630"/>
      <c r="OKF219" s="630"/>
      <c r="OKG219" s="630"/>
      <c r="OKH219" s="630"/>
      <c r="OKI219" s="630"/>
      <c r="OKJ219" s="630"/>
      <c r="OKK219" s="630"/>
      <c r="OKL219" s="630"/>
      <c r="OKM219" s="630"/>
      <c r="OKN219" s="630"/>
      <c r="OKO219" s="630"/>
      <c r="OKP219" s="630"/>
      <c r="OKQ219" s="630"/>
      <c r="OKR219" s="630"/>
      <c r="OKS219" s="630"/>
      <c r="OKT219" s="630"/>
      <c r="OKU219" s="630"/>
      <c r="OKV219" s="630"/>
      <c r="OKW219" s="630"/>
      <c r="OKX219" s="630"/>
      <c r="OKY219" s="630"/>
      <c r="OKZ219" s="630"/>
      <c r="OLA219" s="630"/>
      <c r="OLB219" s="630"/>
      <c r="OLC219" s="630"/>
      <c r="OLD219" s="630"/>
      <c r="OLE219" s="630"/>
      <c r="OLF219" s="630"/>
      <c r="OLG219" s="630"/>
      <c r="OLH219" s="630"/>
      <c r="OLI219" s="630"/>
      <c r="OLJ219" s="630"/>
      <c r="OLK219" s="630"/>
      <c r="OLL219" s="630"/>
      <c r="OLM219" s="630"/>
      <c r="OLN219" s="630"/>
      <c r="OLO219" s="630"/>
      <c r="OLP219" s="630"/>
      <c r="OLQ219" s="630"/>
      <c r="OLR219" s="630"/>
      <c r="OLS219" s="630"/>
      <c r="OLT219" s="630"/>
      <c r="OLU219" s="630"/>
      <c r="OLV219" s="630"/>
      <c r="OLW219" s="630"/>
      <c r="OLX219" s="630"/>
      <c r="OLY219" s="630"/>
      <c r="OLZ219" s="630"/>
      <c r="OMA219" s="630"/>
      <c r="OMB219" s="630"/>
      <c r="OMC219" s="630"/>
      <c r="OMD219" s="630"/>
      <c r="OME219" s="630"/>
      <c r="OMF219" s="630"/>
      <c r="OMG219" s="630"/>
      <c r="OMH219" s="630"/>
      <c r="OMI219" s="630"/>
      <c r="OMJ219" s="630"/>
      <c r="OMK219" s="630"/>
      <c r="OML219" s="630"/>
      <c r="OMM219" s="630"/>
      <c r="OMN219" s="630"/>
      <c r="OMO219" s="630"/>
      <c r="OMP219" s="630"/>
      <c r="OMQ219" s="630"/>
      <c r="OMR219" s="630"/>
      <c r="OMS219" s="630"/>
      <c r="OMT219" s="630"/>
      <c r="OMU219" s="630"/>
      <c r="OMV219" s="630"/>
      <c r="OMW219" s="630"/>
      <c r="OMX219" s="630"/>
      <c r="OMY219" s="630"/>
      <c r="OMZ219" s="630"/>
      <c r="ONA219" s="630"/>
      <c r="ONB219" s="630"/>
      <c r="ONC219" s="630"/>
      <c r="OND219" s="630"/>
      <c r="ONE219" s="630"/>
      <c r="ONF219" s="630"/>
      <c r="ONG219" s="630"/>
      <c r="ONH219" s="630"/>
      <c r="ONI219" s="630"/>
      <c r="ONJ219" s="630"/>
      <c r="ONK219" s="630"/>
      <c r="ONL219" s="630"/>
      <c r="ONM219" s="630"/>
      <c r="ONN219" s="630"/>
      <c r="ONO219" s="630"/>
      <c r="ONP219" s="630"/>
      <c r="ONQ219" s="630"/>
      <c r="ONR219" s="630"/>
      <c r="ONS219" s="630"/>
      <c r="ONT219" s="630"/>
      <c r="ONU219" s="630"/>
      <c r="ONV219" s="630"/>
      <c r="ONW219" s="630"/>
      <c r="ONX219" s="630"/>
      <c r="ONY219" s="630"/>
      <c r="ONZ219" s="630"/>
      <c r="OOA219" s="630"/>
      <c r="OOB219" s="630"/>
      <c r="OOC219" s="630"/>
      <c r="OOD219" s="630"/>
      <c r="OOE219" s="630"/>
      <c r="OOF219" s="630"/>
      <c r="OOG219" s="630"/>
      <c r="OOH219" s="630"/>
      <c r="OOI219" s="630"/>
      <c r="OOJ219" s="630"/>
      <c r="OOK219" s="630"/>
      <c r="OOL219" s="630"/>
      <c r="OOM219" s="630"/>
      <c r="OON219" s="630"/>
      <c r="OOO219" s="630"/>
      <c r="OOP219" s="630"/>
      <c r="OOQ219" s="630"/>
      <c r="OOR219" s="630"/>
      <c r="OOS219" s="630"/>
      <c r="OOT219" s="630"/>
      <c r="OOU219" s="630"/>
      <c r="OOV219" s="630"/>
      <c r="OOW219" s="630"/>
      <c r="OOX219" s="630"/>
      <c r="OOY219" s="630"/>
      <c r="OOZ219" s="630"/>
      <c r="OPA219" s="630"/>
      <c r="OPB219" s="630"/>
      <c r="OPC219" s="630"/>
      <c r="OPD219" s="630"/>
      <c r="OPE219" s="630"/>
      <c r="OPF219" s="630"/>
      <c r="OPG219" s="630"/>
      <c r="OPH219" s="630"/>
      <c r="OPI219" s="630"/>
      <c r="OPJ219" s="630"/>
      <c r="OPK219" s="630"/>
      <c r="OPL219" s="630"/>
      <c r="OPM219" s="630"/>
      <c r="OPN219" s="630"/>
      <c r="OPO219" s="630"/>
      <c r="OPP219" s="630"/>
      <c r="OPQ219" s="630"/>
      <c r="OPR219" s="630"/>
      <c r="OPS219" s="630"/>
      <c r="OPT219" s="630"/>
      <c r="OPU219" s="630"/>
      <c r="OPV219" s="630"/>
      <c r="OPW219" s="630"/>
      <c r="OPX219" s="630"/>
      <c r="OPY219" s="630"/>
      <c r="OPZ219" s="630"/>
      <c r="OQA219" s="630"/>
      <c r="OQB219" s="630"/>
      <c r="OQC219" s="630"/>
      <c r="OQD219" s="630"/>
      <c r="OQE219" s="630"/>
      <c r="OQF219" s="630"/>
      <c r="OQG219" s="630"/>
      <c r="OQH219" s="630"/>
      <c r="OQI219" s="630"/>
      <c r="OQJ219" s="630"/>
      <c r="OQK219" s="630"/>
      <c r="OQL219" s="630"/>
      <c r="OQM219" s="630"/>
      <c r="OQN219" s="630"/>
      <c r="OQO219" s="630"/>
      <c r="OQP219" s="630"/>
      <c r="OQQ219" s="630"/>
      <c r="OQR219" s="630"/>
      <c r="OQS219" s="630"/>
      <c r="OQT219" s="630"/>
      <c r="OQU219" s="630"/>
      <c r="OQV219" s="630"/>
      <c r="OQW219" s="630"/>
      <c r="OQX219" s="630"/>
      <c r="OQY219" s="630"/>
      <c r="OQZ219" s="630"/>
      <c r="ORA219" s="630"/>
      <c r="ORB219" s="630"/>
      <c r="ORC219" s="630"/>
      <c r="ORD219" s="630"/>
      <c r="ORE219" s="630"/>
      <c r="ORF219" s="630"/>
      <c r="ORG219" s="630"/>
      <c r="ORH219" s="630"/>
      <c r="ORI219" s="630"/>
      <c r="ORJ219" s="630"/>
      <c r="ORK219" s="630"/>
      <c r="ORL219" s="630"/>
      <c r="ORM219" s="630"/>
      <c r="ORN219" s="630"/>
      <c r="ORO219" s="630"/>
      <c r="ORP219" s="630"/>
      <c r="ORQ219" s="630"/>
      <c r="ORR219" s="630"/>
      <c r="ORS219" s="630"/>
      <c r="ORT219" s="630"/>
      <c r="ORU219" s="630"/>
      <c r="ORV219" s="630"/>
      <c r="ORW219" s="630"/>
      <c r="ORX219" s="630"/>
      <c r="ORY219" s="630"/>
      <c r="ORZ219" s="630"/>
      <c r="OSA219" s="630"/>
      <c r="OSB219" s="630"/>
      <c r="OSC219" s="630"/>
      <c r="OSD219" s="630"/>
      <c r="OSE219" s="630"/>
      <c r="OSF219" s="630"/>
      <c r="OSG219" s="630"/>
      <c r="OSH219" s="630"/>
      <c r="OSI219" s="630"/>
      <c r="OSJ219" s="630"/>
      <c r="OSK219" s="630"/>
      <c r="OSL219" s="630"/>
      <c r="OSM219" s="630"/>
      <c r="OSN219" s="630"/>
      <c r="OSO219" s="630"/>
      <c r="OSP219" s="630"/>
      <c r="OSQ219" s="630"/>
      <c r="OSR219" s="630"/>
      <c r="OSS219" s="630"/>
      <c r="OST219" s="630"/>
      <c r="OSU219" s="630"/>
      <c r="OSV219" s="630"/>
      <c r="OSW219" s="630"/>
      <c r="OSX219" s="630"/>
      <c r="OSY219" s="630"/>
      <c r="OSZ219" s="630"/>
      <c r="OTA219" s="630"/>
      <c r="OTB219" s="630"/>
      <c r="OTC219" s="630"/>
      <c r="OTD219" s="630"/>
      <c r="OTE219" s="630"/>
      <c r="OTF219" s="630"/>
      <c r="OTG219" s="630"/>
      <c r="OTH219" s="630"/>
      <c r="OTI219" s="630"/>
      <c r="OTJ219" s="630"/>
      <c r="OTK219" s="630"/>
      <c r="OTL219" s="630"/>
      <c r="OTM219" s="630"/>
      <c r="OTN219" s="630"/>
      <c r="OTO219" s="630"/>
      <c r="OTP219" s="630"/>
      <c r="OTQ219" s="630"/>
      <c r="OTR219" s="630"/>
      <c r="OTS219" s="630"/>
      <c r="OTT219" s="630"/>
      <c r="OTU219" s="630"/>
      <c r="OTV219" s="630"/>
      <c r="OTW219" s="630"/>
      <c r="OTX219" s="630"/>
      <c r="OTY219" s="630"/>
      <c r="OTZ219" s="630"/>
      <c r="OUA219" s="630"/>
      <c r="OUB219" s="630"/>
      <c r="OUC219" s="630"/>
      <c r="OUD219" s="630"/>
      <c r="OUE219" s="630"/>
      <c r="OUF219" s="630"/>
      <c r="OUG219" s="630"/>
      <c r="OUH219" s="630"/>
      <c r="OUI219" s="630"/>
      <c r="OUJ219" s="630"/>
      <c r="OUK219" s="630"/>
      <c r="OUL219" s="630"/>
      <c r="OUM219" s="630"/>
      <c r="OUN219" s="630"/>
      <c r="OUO219" s="630"/>
      <c r="OUP219" s="630"/>
      <c r="OUQ219" s="630"/>
      <c r="OUR219" s="630"/>
      <c r="OUS219" s="630"/>
      <c r="OUT219" s="630"/>
      <c r="OUU219" s="630"/>
      <c r="OUV219" s="630"/>
      <c r="OUW219" s="630"/>
      <c r="OUX219" s="630"/>
      <c r="OUY219" s="630"/>
      <c r="OUZ219" s="630"/>
      <c r="OVA219" s="630"/>
      <c r="OVB219" s="630"/>
      <c r="OVC219" s="630"/>
      <c r="OVD219" s="630"/>
      <c r="OVE219" s="630"/>
      <c r="OVF219" s="630"/>
      <c r="OVG219" s="630"/>
      <c r="OVH219" s="630"/>
      <c r="OVI219" s="630"/>
      <c r="OVJ219" s="630"/>
      <c r="OVK219" s="630"/>
      <c r="OVL219" s="630"/>
      <c r="OVM219" s="630"/>
      <c r="OVN219" s="630"/>
      <c r="OVO219" s="630"/>
      <c r="OVP219" s="630"/>
      <c r="OVQ219" s="630"/>
      <c r="OVR219" s="630"/>
      <c r="OVS219" s="630"/>
      <c r="OVT219" s="630"/>
      <c r="OVU219" s="630"/>
      <c r="OVV219" s="630"/>
      <c r="OVW219" s="630"/>
      <c r="OVX219" s="630"/>
      <c r="OVY219" s="630"/>
      <c r="OVZ219" s="630"/>
      <c r="OWA219" s="630"/>
      <c r="OWB219" s="630"/>
      <c r="OWC219" s="630"/>
      <c r="OWD219" s="630"/>
      <c r="OWE219" s="630"/>
      <c r="OWF219" s="630"/>
      <c r="OWG219" s="630"/>
      <c r="OWH219" s="630"/>
      <c r="OWI219" s="630"/>
      <c r="OWJ219" s="630"/>
      <c r="OWK219" s="630"/>
      <c r="OWL219" s="630"/>
      <c r="OWM219" s="630"/>
      <c r="OWN219" s="630"/>
      <c r="OWO219" s="630"/>
      <c r="OWP219" s="630"/>
      <c r="OWQ219" s="630"/>
      <c r="OWR219" s="630"/>
      <c r="OWS219" s="630"/>
      <c r="OWT219" s="630"/>
      <c r="OWU219" s="630"/>
      <c r="OWV219" s="630"/>
      <c r="OWW219" s="630"/>
      <c r="OWX219" s="630"/>
      <c r="OWY219" s="630"/>
      <c r="OWZ219" s="630"/>
      <c r="OXA219" s="630"/>
      <c r="OXB219" s="630"/>
      <c r="OXC219" s="630"/>
      <c r="OXD219" s="630"/>
      <c r="OXE219" s="630"/>
      <c r="OXF219" s="630"/>
      <c r="OXG219" s="630"/>
      <c r="OXH219" s="630"/>
      <c r="OXI219" s="630"/>
      <c r="OXJ219" s="630"/>
      <c r="OXK219" s="630"/>
      <c r="OXL219" s="630"/>
      <c r="OXM219" s="630"/>
      <c r="OXN219" s="630"/>
      <c r="OXO219" s="630"/>
      <c r="OXP219" s="630"/>
      <c r="OXQ219" s="630"/>
      <c r="OXR219" s="630"/>
      <c r="OXS219" s="630"/>
      <c r="OXT219" s="630"/>
      <c r="OXU219" s="630"/>
      <c r="OXV219" s="630"/>
      <c r="OXW219" s="630"/>
      <c r="OXX219" s="630"/>
      <c r="OXY219" s="630"/>
      <c r="OXZ219" s="630"/>
      <c r="OYA219" s="630"/>
      <c r="OYB219" s="630"/>
      <c r="OYC219" s="630"/>
      <c r="OYD219" s="630"/>
      <c r="OYE219" s="630"/>
      <c r="OYF219" s="630"/>
      <c r="OYG219" s="630"/>
      <c r="OYH219" s="630"/>
      <c r="OYI219" s="630"/>
      <c r="OYJ219" s="630"/>
      <c r="OYK219" s="630"/>
      <c r="OYL219" s="630"/>
      <c r="OYM219" s="630"/>
      <c r="OYN219" s="630"/>
      <c r="OYO219" s="630"/>
      <c r="OYP219" s="630"/>
      <c r="OYQ219" s="630"/>
      <c r="OYR219" s="630"/>
      <c r="OYS219" s="630"/>
      <c r="OYT219" s="630"/>
      <c r="OYU219" s="630"/>
      <c r="OYV219" s="630"/>
      <c r="OYW219" s="630"/>
      <c r="OYX219" s="630"/>
      <c r="OYY219" s="630"/>
      <c r="OYZ219" s="630"/>
      <c r="OZA219" s="630"/>
      <c r="OZB219" s="630"/>
      <c r="OZC219" s="630"/>
      <c r="OZD219" s="630"/>
      <c r="OZE219" s="630"/>
      <c r="OZF219" s="630"/>
      <c r="OZG219" s="630"/>
      <c r="OZH219" s="630"/>
      <c r="OZI219" s="630"/>
      <c r="OZJ219" s="630"/>
      <c r="OZK219" s="630"/>
      <c r="OZL219" s="630"/>
      <c r="OZM219" s="630"/>
      <c r="OZN219" s="630"/>
      <c r="OZO219" s="630"/>
      <c r="OZP219" s="630"/>
      <c r="OZQ219" s="630"/>
      <c r="OZR219" s="630"/>
      <c r="OZS219" s="630"/>
      <c r="OZT219" s="630"/>
      <c r="OZU219" s="630"/>
      <c r="OZV219" s="630"/>
      <c r="OZW219" s="630"/>
      <c r="OZX219" s="630"/>
      <c r="OZY219" s="630"/>
      <c r="OZZ219" s="630"/>
      <c r="PAA219" s="630"/>
      <c r="PAB219" s="630"/>
      <c r="PAC219" s="630"/>
      <c r="PAD219" s="630"/>
      <c r="PAE219" s="630"/>
      <c r="PAF219" s="630"/>
      <c r="PAG219" s="630"/>
      <c r="PAH219" s="630"/>
      <c r="PAI219" s="630"/>
      <c r="PAJ219" s="630"/>
      <c r="PAK219" s="630"/>
      <c r="PAL219" s="630"/>
      <c r="PAM219" s="630"/>
      <c r="PAN219" s="630"/>
      <c r="PAO219" s="630"/>
      <c r="PAP219" s="630"/>
      <c r="PAQ219" s="630"/>
      <c r="PAR219" s="630"/>
      <c r="PAS219" s="630"/>
      <c r="PAT219" s="630"/>
      <c r="PAU219" s="630"/>
      <c r="PAV219" s="630"/>
      <c r="PAW219" s="630"/>
      <c r="PAX219" s="630"/>
      <c r="PAY219" s="630"/>
      <c r="PAZ219" s="630"/>
      <c r="PBA219" s="630"/>
      <c r="PBB219" s="630"/>
      <c r="PBC219" s="630"/>
      <c r="PBD219" s="630"/>
      <c r="PBE219" s="630"/>
      <c r="PBF219" s="630"/>
      <c r="PBG219" s="630"/>
      <c r="PBH219" s="630"/>
      <c r="PBI219" s="630"/>
      <c r="PBJ219" s="630"/>
      <c r="PBK219" s="630"/>
      <c r="PBL219" s="630"/>
      <c r="PBM219" s="630"/>
      <c r="PBN219" s="630"/>
      <c r="PBO219" s="630"/>
      <c r="PBP219" s="630"/>
      <c r="PBQ219" s="630"/>
      <c r="PBR219" s="630"/>
      <c r="PBS219" s="630"/>
      <c r="PBT219" s="630"/>
      <c r="PBU219" s="630"/>
      <c r="PBV219" s="630"/>
      <c r="PBW219" s="630"/>
      <c r="PBX219" s="630"/>
      <c r="PBY219" s="630"/>
      <c r="PBZ219" s="630"/>
      <c r="PCA219" s="630"/>
      <c r="PCB219" s="630"/>
      <c r="PCC219" s="630"/>
      <c r="PCD219" s="630"/>
      <c r="PCE219" s="630"/>
      <c r="PCF219" s="630"/>
      <c r="PCG219" s="630"/>
      <c r="PCH219" s="630"/>
      <c r="PCI219" s="630"/>
      <c r="PCJ219" s="630"/>
      <c r="PCK219" s="630"/>
      <c r="PCL219" s="630"/>
      <c r="PCM219" s="630"/>
      <c r="PCN219" s="630"/>
      <c r="PCO219" s="630"/>
      <c r="PCP219" s="630"/>
      <c r="PCQ219" s="630"/>
      <c r="PCR219" s="630"/>
      <c r="PCS219" s="630"/>
      <c r="PCT219" s="630"/>
      <c r="PCU219" s="630"/>
      <c r="PCV219" s="630"/>
      <c r="PCW219" s="630"/>
      <c r="PCX219" s="630"/>
      <c r="PCY219" s="630"/>
      <c r="PCZ219" s="630"/>
      <c r="PDA219" s="630"/>
      <c r="PDB219" s="630"/>
      <c r="PDC219" s="630"/>
      <c r="PDD219" s="630"/>
      <c r="PDE219" s="630"/>
      <c r="PDF219" s="630"/>
      <c r="PDG219" s="630"/>
      <c r="PDH219" s="630"/>
      <c r="PDI219" s="630"/>
      <c r="PDJ219" s="630"/>
      <c r="PDK219" s="630"/>
      <c r="PDL219" s="630"/>
      <c r="PDM219" s="630"/>
      <c r="PDN219" s="630"/>
      <c r="PDO219" s="630"/>
      <c r="PDP219" s="630"/>
      <c r="PDQ219" s="630"/>
      <c r="PDR219" s="630"/>
      <c r="PDS219" s="630"/>
      <c r="PDT219" s="630"/>
      <c r="PDU219" s="630"/>
      <c r="PDV219" s="630"/>
      <c r="PDW219" s="630"/>
      <c r="PDX219" s="630"/>
      <c r="PDY219" s="630"/>
      <c r="PDZ219" s="630"/>
      <c r="PEA219" s="630"/>
      <c r="PEB219" s="630"/>
      <c r="PEC219" s="630"/>
      <c r="PED219" s="630"/>
      <c r="PEE219" s="630"/>
      <c r="PEF219" s="630"/>
      <c r="PEG219" s="630"/>
      <c r="PEH219" s="630"/>
      <c r="PEI219" s="630"/>
      <c r="PEJ219" s="630"/>
      <c r="PEK219" s="630"/>
      <c r="PEL219" s="630"/>
      <c r="PEM219" s="630"/>
      <c r="PEN219" s="630"/>
      <c r="PEO219" s="630"/>
      <c r="PEP219" s="630"/>
      <c r="PEQ219" s="630"/>
      <c r="PER219" s="630"/>
      <c r="PES219" s="630"/>
      <c r="PET219" s="630"/>
      <c r="PEU219" s="630"/>
      <c r="PEV219" s="630"/>
      <c r="PEW219" s="630"/>
      <c r="PEX219" s="630"/>
      <c r="PEY219" s="630"/>
      <c r="PEZ219" s="630"/>
      <c r="PFA219" s="630"/>
      <c r="PFB219" s="630"/>
      <c r="PFC219" s="630"/>
      <c r="PFD219" s="630"/>
      <c r="PFE219" s="630"/>
      <c r="PFF219" s="630"/>
      <c r="PFG219" s="630"/>
      <c r="PFH219" s="630"/>
      <c r="PFI219" s="630"/>
      <c r="PFJ219" s="630"/>
      <c r="PFK219" s="630"/>
      <c r="PFL219" s="630"/>
      <c r="PFM219" s="630"/>
      <c r="PFN219" s="630"/>
      <c r="PFO219" s="630"/>
      <c r="PFP219" s="630"/>
      <c r="PFQ219" s="630"/>
      <c r="PFR219" s="630"/>
      <c r="PFS219" s="630"/>
      <c r="PFT219" s="630"/>
      <c r="PFU219" s="630"/>
      <c r="PFV219" s="630"/>
      <c r="PFW219" s="630"/>
      <c r="PFX219" s="630"/>
      <c r="PFY219" s="630"/>
      <c r="PFZ219" s="630"/>
      <c r="PGA219" s="630"/>
      <c r="PGB219" s="630"/>
      <c r="PGC219" s="630"/>
      <c r="PGD219" s="630"/>
      <c r="PGE219" s="630"/>
      <c r="PGF219" s="630"/>
      <c r="PGG219" s="630"/>
      <c r="PGH219" s="630"/>
      <c r="PGI219" s="630"/>
      <c r="PGJ219" s="630"/>
      <c r="PGK219" s="630"/>
      <c r="PGL219" s="630"/>
      <c r="PGM219" s="630"/>
      <c r="PGN219" s="630"/>
      <c r="PGO219" s="630"/>
      <c r="PGP219" s="630"/>
      <c r="PGQ219" s="630"/>
      <c r="PGR219" s="630"/>
      <c r="PGS219" s="630"/>
      <c r="PGT219" s="630"/>
      <c r="PGU219" s="630"/>
      <c r="PGV219" s="630"/>
      <c r="PGW219" s="630"/>
      <c r="PGX219" s="630"/>
      <c r="PGY219" s="630"/>
      <c r="PGZ219" s="630"/>
      <c r="PHA219" s="630"/>
      <c r="PHB219" s="630"/>
      <c r="PHC219" s="630"/>
      <c r="PHD219" s="630"/>
      <c r="PHE219" s="630"/>
      <c r="PHF219" s="630"/>
      <c r="PHG219" s="630"/>
      <c r="PHH219" s="630"/>
      <c r="PHI219" s="630"/>
      <c r="PHJ219" s="630"/>
      <c r="PHK219" s="630"/>
      <c r="PHL219" s="630"/>
      <c r="PHM219" s="630"/>
      <c r="PHN219" s="630"/>
      <c r="PHO219" s="630"/>
      <c r="PHP219" s="630"/>
      <c r="PHQ219" s="630"/>
      <c r="PHR219" s="630"/>
      <c r="PHS219" s="630"/>
      <c r="PHT219" s="630"/>
      <c r="PHU219" s="630"/>
      <c r="PHV219" s="630"/>
      <c r="PHW219" s="630"/>
      <c r="PHX219" s="630"/>
      <c r="PHY219" s="630"/>
      <c r="PHZ219" s="630"/>
      <c r="PIA219" s="630"/>
      <c r="PIB219" s="630"/>
      <c r="PIC219" s="630"/>
      <c r="PID219" s="630"/>
      <c r="PIE219" s="630"/>
      <c r="PIF219" s="630"/>
      <c r="PIG219" s="630"/>
      <c r="PIH219" s="630"/>
      <c r="PII219" s="630"/>
      <c r="PIJ219" s="630"/>
      <c r="PIK219" s="630"/>
      <c r="PIL219" s="630"/>
      <c r="PIM219" s="630"/>
      <c r="PIN219" s="630"/>
      <c r="PIO219" s="630"/>
      <c r="PIP219" s="630"/>
      <c r="PIQ219" s="630"/>
      <c r="PIR219" s="630"/>
      <c r="PIS219" s="630"/>
      <c r="PIT219" s="630"/>
      <c r="PIU219" s="630"/>
      <c r="PIV219" s="630"/>
      <c r="PIW219" s="630"/>
      <c r="PIX219" s="630"/>
      <c r="PIY219" s="630"/>
      <c r="PIZ219" s="630"/>
      <c r="PJA219" s="630"/>
      <c r="PJB219" s="630"/>
      <c r="PJC219" s="630"/>
      <c r="PJD219" s="630"/>
      <c r="PJE219" s="630"/>
      <c r="PJF219" s="630"/>
      <c r="PJG219" s="630"/>
      <c r="PJH219" s="630"/>
      <c r="PJI219" s="630"/>
      <c r="PJJ219" s="630"/>
      <c r="PJK219" s="630"/>
      <c r="PJL219" s="630"/>
      <c r="PJM219" s="630"/>
      <c r="PJN219" s="630"/>
      <c r="PJO219" s="630"/>
      <c r="PJP219" s="630"/>
      <c r="PJQ219" s="630"/>
      <c r="PJR219" s="630"/>
      <c r="PJS219" s="630"/>
      <c r="PJT219" s="630"/>
      <c r="PJU219" s="630"/>
      <c r="PJV219" s="630"/>
      <c r="PJW219" s="630"/>
      <c r="PJX219" s="630"/>
      <c r="PJY219" s="630"/>
      <c r="PJZ219" s="630"/>
      <c r="PKA219" s="630"/>
      <c r="PKB219" s="630"/>
      <c r="PKC219" s="630"/>
      <c r="PKD219" s="630"/>
      <c r="PKE219" s="630"/>
      <c r="PKF219" s="630"/>
      <c r="PKG219" s="630"/>
      <c r="PKH219" s="630"/>
      <c r="PKI219" s="630"/>
      <c r="PKJ219" s="630"/>
      <c r="PKK219" s="630"/>
      <c r="PKL219" s="630"/>
      <c r="PKM219" s="630"/>
      <c r="PKN219" s="630"/>
      <c r="PKO219" s="630"/>
      <c r="PKP219" s="630"/>
      <c r="PKQ219" s="630"/>
      <c r="PKR219" s="630"/>
      <c r="PKS219" s="630"/>
      <c r="PKT219" s="630"/>
      <c r="PKU219" s="630"/>
      <c r="PKV219" s="630"/>
      <c r="PKW219" s="630"/>
      <c r="PKX219" s="630"/>
      <c r="PKY219" s="630"/>
      <c r="PKZ219" s="630"/>
      <c r="PLA219" s="630"/>
      <c r="PLB219" s="630"/>
      <c r="PLC219" s="630"/>
      <c r="PLD219" s="630"/>
      <c r="PLE219" s="630"/>
      <c r="PLF219" s="630"/>
      <c r="PLG219" s="630"/>
      <c r="PLH219" s="630"/>
      <c r="PLI219" s="630"/>
      <c r="PLJ219" s="630"/>
      <c r="PLK219" s="630"/>
      <c r="PLL219" s="630"/>
      <c r="PLM219" s="630"/>
      <c r="PLN219" s="630"/>
      <c r="PLO219" s="630"/>
      <c r="PLP219" s="630"/>
      <c r="PLQ219" s="630"/>
      <c r="PLR219" s="630"/>
      <c r="PLS219" s="630"/>
      <c r="PLT219" s="630"/>
      <c r="PLU219" s="630"/>
      <c r="PLV219" s="630"/>
      <c r="PLW219" s="630"/>
      <c r="PLX219" s="630"/>
      <c r="PLY219" s="630"/>
      <c r="PLZ219" s="630"/>
      <c r="PMA219" s="630"/>
      <c r="PMB219" s="630"/>
      <c r="PMC219" s="630"/>
      <c r="PMD219" s="630"/>
      <c r="PME219" s="630"/>
      <c r="PMF219" s="630"/>
      <c r="PMG219" s="630"/>
      <c r="PMH219" s="630"/>
      <c r="PMI219" s="630"/>
      <c r="PMJ219" s="630"/>
      <c r="PMK219" s="630"/>
      <c r="PML219" s="630"/>
      <c r="PMM219" s="630"/>
      <c r="PMN219" s="630"/>
      <c r="PMO219" s="630"/>
      <c r="PMP219" s="630"/>
      <c r="PMQ219" s="630"/>
      <c r="PMR219" s="630"/>
      <c r="PMS219" s="630"/>
      <c r="PMT219" s="630"/>
      <c r="PMU219" s="630"/>
      <c r="PMV219" s="630"/>
      <c r="PMW219" s="630"/>
      <c r="PMX219" s="630"/>
      <c r="PMY219" s="630"/>
      <c r="PMZ219" s="630"/>
      <c r="PNA219" s="630"/>
      <c r="PNB219" s="630"/>
      <c r="PNC219" s="630"/>
      <c r="PND219" s="630"/>
      <c r="PNE219" s="630"/>
      <c r="PNF219" s="630"/>
      <c r="PNG219" s="630"/>
      <c r="PNH219" s="630"/>
      <c r="PNI219" s="630"/>
      <c r="PNJ219" s="630"/>
      <c r="PNK219" s="630"/>
      <c r="PNL219" s="630"/>
      <c r="PNM219" s="630"/>
      <c r="PNN219" s="630"/>
      <c r="PNO219" s="630"/>
      <c r="PNP219" s="630"/>
      <c r="PNQ219" s="630"/>
      <c r="PNR219" s="630"/>
      <c r="PNS219" s="630"/>
      <c r="PNT219" s="630"/>
      <c r="PNU219" s="630"/>
      <c r="PNV219" s="630"/>
      <c r="PNW219" s="630"/>
      <c r="PNX219" s="630"/>
      <c r="PNY219" s="630"/>
      <c r="PNZ219" s="630"/>
      <c r="POA219" s="630"/>
      <c r="POB219" s="630"/>
      <c r="POC219" s="630"/>
      <c r="POD219" s="630"/>
      <c r="POE219" s="630"/>
      <c r="POF219" s="630"/>
      <c r="POG219" s="630"/>
      <c r="POH219" s="630"/>
      <c r="POI219" s="630"/>
      <c r="POJ219" s="630"/>
      <c r="POK219" s="630"/>
      <c r="POL219" s="630"/>
      <c r="POM219" s="630"/>
      <c r="PON219" s="630"/>
      <c r="POO219" s="630"/>
      <c r="POP219" s="630"/>
      <c r="POQ219" s="630"/>
      <c r="POR219" s="630"/>
      <c r="POS219" s="630"/>
      <c r="POT219" s="630"/>
      <c r="POU219" s="630"/>
      <c r="POV219" s="630"/>
      <c r="POW219" s="630"/>
      <c r="POX219" s="630"/>
      <c r="POY219" s="630"/>
      <c r="POZ219" s="630"/>
      <c r="PPA219" s="630"/>
      <c r="PPB219" s="630"/>
      <c r="PPC219" s="630"/>
      <c r="PPD219" s="630"/>
      <c r="PPE219" s="630"/>
      <c r="PPF219" s="630"/>
      <c r="PPG219" s="630"/>
      <c r="PPH219" s="630"/>
      <c r="PPI219" s="630"/>
      <c r="PPJ219" s="630"/>
      <c r="PPK219" s="630"/>
      <c r="PPL219" s="630"/>
      <c r="PPM219" s="630"/>
      <c r="PPN219" s="630"/>
      <c r="PPO219" s="630"/>
      <c r="PPP219" s="630"/>
      <c r="PPQ219" s="630"/>
      <c r="PPR219" s="630"/>
      <c r="PPS219" s="630"/>
      <c r="PPT219" s="630"/>
      <c r="PPU219" s="630"/>
      <c r="PPV219" s="630"/>
      <c r="PPW219" s="630"/>
      <c r="PPX219" s="630"/>
      <c r="PPY219" s="630"/>
      <c r="PPZ219" s="630"/>
      <c r="PQA219" s="630"/>
      <c r="PQB219" s="630"/>
      <c r="PQC219" s="630"/>
      <c r="PQD219" s="630"/>
      <c r="PQE219" s="630"/>
      <c r="PQF219" s="630"/>
      <c r="PQG219" s="630"/>
      <c r="PQH219" s="630"/>
      <c r="PQI219" s="630"/>
      <c r="PQJ219" s="630"/>
      <c r="PQK219" s="630"/>
      <c r="PQL219" s="630"/>
      <c r="PQM219" s="630"/>
      <c r="PQN219" s="630"/>
      <c r="PQO219" s="630"/>
      <c r="PQP219" s="630"/>
      <c r="PQQ219" s="630"/>
      <c r="PQR219" s="630"/>
      <c r="PQS219" s="630"/>
      <c r="PQT219" s="630"/>
      <c r="PQU219" s="630"/>
      <c r="PQV219" s="630"/>
      <c r="PQW219" s="630"/>
      <c r="PQX219" s="630"/>
      <c r="PQY219" s="630"/>
      <c r="PQZ219" s="630"/>
      <c r="PRA219" s="630"/>
      <c r="PRB219" s="630"/>
      <c r="PRC219" s="630"/>
      <c r="PRD219" s="630"/>
      <c r="PRE219" s="630"/>
      <c r="PRF219" s="630"/>
      <c r="PRG219" s="630"/>
      <c r="PRH219" s="630"/>
      <c r="PRI219" s="630"/>
      <c r="PRJ219" s="630"/>
      <c r="PRK219" s="630"/>
      <c r="PRL219" s="630"/>
      <c r="PRM219" s="630"/>
      <c r="PRN219" s="630"/>
      <c r="PRO219" s="630"/>
      <c r="PRP219" s="630"/>
      <c r="PRQ219" s="630"/>
      <c r="PRR219" s="630"/>
      <c r="PRS219" s="630"/>
      <c r="PRT219" s="630"/>
      <c r="PRU219" s="630"/>
      <c r="PRV219" s="630"/>
      <c r="PRW219" s="630"/>
      <c r="PRX219" s="630"/>
      <c r="PRY219" s="630"/>
      <c r="PRZ219" s="630"/>
      <c r="PSA219" s="630"/>
      <c r="PSB219" s="630"/>
      <c r="PSC219" s="630"/>
      <c r="PSD219" s="630"/>
      <c r="PSE219" s="630"/>
      <c r="PSF219" s="630"/>
      <c r="PSG219" s="630"/>
      <c r="PSH219" s="630"/>
      <c r="PSI219" s="630"/>
      <c r="PSJ219" s="630"/>
      <c r="PSK219" s="630"/>
      <c r="PSL219" s="630"/>
      <c r="PSM219" s="630"/>
      <c r="PSN219" s="630"/>
      <c r="PSO219" s="630"/>
      <c r="PSP219" s="630"/>
      <c r="PSQ219" s="630"/>
      <c r="PSR219" s="630"/>
      <c r="PSS219" s="630"/>
      <c r="PST219" s="630"/>
      <c r="PSU219" s="630"/>
      <c r="PSV219" s="630"/>
      <c r="PSW219" s="630"/>
      <c r="PSX219" s="630"/>
      <c r="PSY219" s="630"/>
      <c r="PSZ219" s="630"/>
      <c r="PTA219" s="630"/>
      <c r="PTB219" s="630"/>
      <c r="PTC219" s="630"/>
      <c r="PTD219" s="630"/>
      <c r="PTE219" s="630"/>
      <c r="PTF219" s="630"/>
      <c r="PTG219" s="630"/>
      <c r="PTH219" s="630"/>
      <c r="PTI219" s="630"/>
      <c r="PTJ219" s="630"/>
      <c r="PTK219" s="630"/>
      <c r="PTL219" s="630"/>
      <c r="PTM219" s="630"/>
      <c r="PTN219" s="630"/>
      <c r="PTO219" s="630"/>
      <c r="PTP219" s="630"/>
      <c r="PTQ219" s="630"/>
      <c r="PTR219" s="630"/>
      <c r="PTS219" s="630"/>
      <c r="PTT219" s="630"/>
      <c r="PTU219" s="630"/>
      <c r="PTV219" s="630"/>
      <c r="PTW219" s="630"/>
      <c r="PTX219" s="630"/>
      <c r="PTY219" s="630"/>
      <c r="PTZ219" s="630"/>
      <c r="PUA219" s="630"/>
      <c r="PUB219" s="630"/>
      <c r="PUC219" s="630"/>
      <c r="PUD219" s="630"/>
      <c r="PUE219" s="630"/>
      <c r="PUF219" s="630"/>
      <c r="PUG219" s="630"/>
      <c r="PUH219" s="630"/>
      <c r="PUI219" s="630"/>
      <c r="PUJ219" s="630"/>
      <c r="PUK219" s="630"/>
      <c r="PUL219" s="630"/>
      <c r="PUM219" s="630"/>
      <c r="PUN219" s="630"/>
      <c r="PUO219" s="630"/>
      <c r="PUP219" s="630"/>
      <c r="PUQ219" s="630"/>
      <c r="PUR219" s="630"/>
      <c r="PUS219" s="630"/>
      <c r="PUT219" s="630"/>
      <c r="PUU219" s="630"/>
      <c r="PUV219" s="630"/>
      <c r="PUW219" s="630"/>
      <c r="PUX219" s="630"/>
      <c r="PUY219" s="630"/>
      <c r="PUZ219" s="630"/>
      <c r="PVA219" s="630"/>
      <c r="PVB219" s="630"/>
      <c r="PVC219" s="630"/>
      <c r="PVD219" s="630"/>
      <c r="PVE219" s="630"/>
      <c r="PVF219" s="630"/>
      <c r="PVG219" s="630"/>
      <c r="PVH219" s="630"/>
      <c r="PVI219" s="630"/>
      <c r="PVJ219" s="630"/>
      <c r="PVK219" s="630"/>
      <c r="PVL219" s="630"/>
      <c r="PVM219" s="630"/>
      <c r="PVN219" s="630"/>
      <c r="PVO219" s="630"/>
      <c r="PVP219" s="630"/>
      <c r="PVQ219" s="630"/>
      <c r="PVR219" s="630"/>
      <c r="PVS219" s="630"/>
      <c r="PVT219" s="630"/>
      <c r="PVU219" s="630"/>
      <c r="PVV219" s="630"/>
      <c r="PVW219" s="630"/>
      <c r="PVX219" s="630"/>
      <c r="PVY219" s="630"/>
      <c r="PVZ219" s="630"/>
      <c r="PWA219" s="630"/>
      <c r="PWB219" s="630"/>
      <c r="PWC219" s="630"/>
      <c r="PWD219" s="630"/>
      <c r="PWE219" s="630"/>
      <c r="PWF219" s="630"/>
      <c r="PWG219" s="630"/>
      <c r="PWH219" s="630"/>
      <c r="PWI219" s="630"/>
      <c r="PWJ219" s="630"/>
      <c r="PWK219" s="630"/>
      <c r="PWL219" s="630"/>
      <c r="PWM219" s="630"/>
      <c r="PWN219" s="630"/>
      <c r="PWO219" s="630"/>
      <c r="PWP219" s="630"/>
      <c r="PWQ219" s="630"/>
      <c r="PWR219" s="630"/>
      <c r="PWS219" s="630"/>
      <c r="PWT219" s="630"/>
      <c r="PWU219" s="630"/>
      <c r="PWV219" s="630"/>
      <c r="PWW219" s="630"/>
      <c r="PWX219" s="630"/>
      <c r="PWY219" s="630"/>
      <c r="PWZ219" s="630"/>
      <c r="PXA219" s="630"/>
      <c r="PXB219" s="630"/>
      <c r="PXC219" s="630"/>
      <c r="PXD219" s="630"/>
      <c r="PXE219" s="630"/>
      <c r="PXF219" s="630"/>
      <c r="PXG219" s="630"/>
      <c r="PXH219" s="630"/>
      <c r="PXI219" s="630"/>
      <c r="PXJ219" s="630"/>
      <c r="PXK219" s="630"/>
      <c r="PXL219" s="630"/>
      <c r="PXM219" s="630"/>
      <c r="PXN219" s="630"/>
      <c r="PXO219" s="630"/>
      <c r="PXP219" s="630"/>
      <c r="PXQ219" s="630"/>
      <c r="PXR219" s="630"/>
      <c r="PXS219" s="630"/>
      <c r="PXT219" s="630"/>
      <c r="PXU219" s="630"/>
      <c r="PXV219" s="630"/>
      <c r="PXW219" s="630"/>
      <c r="PXX219" s="630"/>
      <c r="PXY219" s="630"/>
      <c r="PXZ219" s="630"/>
      <c r="PYA219" s="630"/>
      <c r="PYB219" s="630"/>
      <c r="PYC219" s="630"/>
      <c r="PYD219" s="630"/>
      <c r="PYE219" s="630"/>
      <c r="PYF219" s="630"/>
      <c r="PYG219" s="630"/>
      <c r="PYH219" s="630"/>
      <c r="PYI219" s="630"/>
      <c r="PYJ219" s="630"/>
      <c r="PYK219" s="630"/>
      <c r="PYL219" s="630"/>
      <c r="PYM219" s="630"/>
      <c r="PYN219" s="630"/>
      <c r="PYO219" s="630"/>
      <c r="PYP219" s="630"/>
      <c r="PYQ219" s="630"/>
      <c r="PYR219" s="630"/>
      <c r="PYS219" s="630"/>
      <c r="PYT219" s="630"/>
      <c r="PYU219" s="630"/>
      <c r="PYV219" s="630"/>
      <c r="PYW219" s="630"/>
      <c r="PYX219" s="630"/>
      <c r="PYY219" s="630"/>
      <c r="PYZ219" s="630"/>
      <c r="PZA219" s="630"/>
      <c r="PZB219" s="630"/>
      <c r="PZC219" s="630"/>
      <c r="PZD219" s="630"/>
      <c r="PZE219" s="630"/>
      <c r="PZF219" s="630"/>
      <c r="PZG219" s="630"/>
      <c r="PZH219" s="630"/>
      <c r="PZI219" s="630"/>
      <c r="PZJ219" s="630"/>
      <c r="PZK219" s="630"/>
      <c r="PZL219" s="630"/>
      <c r="PZM219" s="630"/>
      <c r="PZN219" s="630"/>
      <c r="PZO219" s="630"/>
      <c r="PZP219" s="630"/>
      <c r="PZQ219" s="630"/>
      <c r="PZR219" s="630"/>
      <c r="PZS219" s="630"/>
      <c r="PZT219" s="630"/>
      <c r="PZU219" s="630"/>
      <c r="PZV219" s="630"/>
      <c r="PZW219" s="630"/>
      <c r="PZX219" s="630"/>
      <c r="PZY219" s="630"/>
      <c r="PZZ219" s="630"/>
      <c r="QAA219" s="630"/>
      <c r="QAB219" s="630"/>
      <c r="QAC219" s="630"/>
      <c r="QAD219" s="630"/>
      <c r="QAE219" s="630"/>
      <c r="QAF219" s="630"/>
      <c r="QAG219" s="630"/>
      <c r="QAH219" s="630"/>
      <c r="QAI219" s="630"/>
      <c r="QAJ219" s="630"/>
      <c r="QAK219" s="630"/>
      <c r="QAL219" s="630"/>
      <c r="QAM219" s="630"/>
      <c r="QAN219" s="630"/>
      <c r="QAO219" s="630"/>
      <c r="QAP219" s="630"/>
      <c r="QAQ219" s="630"/>
      <c r="QAR219" s="630"/>
      <c r="QAS219" s="630"/>
      <c r="QAT219" s="630"/>
      <c r="QAU219" s="630"/>
      <c r="QAV219" s="630"/>
      <c r="QAW219" s="630"/>
      <c r="QAX219" s="630"/>
      <c r="QAY219" s="630"/>
      <c r="QAZ219" s="630"/>
      <c r="QBA219" s="630"/>
      <c r="QBB219" s="630"/>
      <c r="QBC219" s="630"/>
      <c r="QBD219" s="630"/>
      <c r="QBE219" s="630"/>
      <c r="QBF219" s="630"/>
      <c r="QBG219" s="630"/>
      <c r="QBH219" s="630"/>
      <c r="QBI219" s="630"/>
      <c r="QBJ219" s="630"/>
      <c r="QBK219" s="630"/>
      <c r="QBL219" s="630"/>
      <c r="QBM219" s="630"/>
      <c r="QBN219" s="630"/>
      <c r="QBO219" s="630"/>
      <c r="QBP219" s="630"/>
      <c r="QBQ219" s="630"/>
      <c r="QBR219" s="630"/>
      <c r="QBS219" s="630"/>
      <c r="QBT219" s="630"/>
      <c r="QBU219" s="630"/>
      <c r="QBV219" s="630"/>
      <c r="QBW219" s="630"/>
      <c r="QBX219" s="630"/>
      <c r="QBY219" s="630"/>
      <c r="QBZ219" s="630"/>
      <c r="QCA219" s="630"/>
      <c r="QCB219" s="630"/>
      <c r="QCC219" s="630"/>
      <c r="QCD219" s="630"/>
      <c r="QCE219" s="630"/>
      <c r="QCF219" s="630"/>
      <c r="QCG219" s="630"/>
      <c r="QCH219" s="630"/>
      <c r="QCI219" s="630"/>
      <c r="QCJ219" s="630"/>
      <c r="QCK219" s="630"/>
      <c r="QCL219" s="630"/>
      <c r="QCM219" s="630"/>
      <c r="QCN219" s="630"/>
      <c r="QCO219" s="630"/>
      <c r="QCP219" s="630"/>
      <c r="QCQ219" s="630"/>
      <c r="QCR219" s="630"/>
      <c r="QCS219" s="630"/>
      <c r="QCT219" s="630"/>
      <c r="QCU219" s="630"/>
      <c r="QCV219" s="630"/>
      <c r="QCW219" s="630"/>
      <c r="QCX219" s="630"/>
      <c r="QCY219" s="630"/>
      <c r="QCZ219" s="630"/>
      <c r="QDA219" s="630"/>
      <c r="QDB219" s="630"/>
      <c r="QDC219" s="630"/>
      <c r="QDD219" s="630"/>
      <c r="QDE219" s="630"/>
      <c r="QDF219" s="630"/>
      <c r="QDG219" s="630"/>
      <c r="QDH219" s="630"/>
      <c r="QDI219" s="630"/>
      <c r="QDJ219" s="630"/>
      <c r="QDK219" s="630"/>
      <c r="QDL219" s="630"/>
      <c r="QDM219" s="630"/>
      <c r="QDN219" s="630"/>
      <c r="QDO219" s="630"/>
      <c r="QDP219" s="630"/>
      <c r="QDQ219" s="630"/>
      <c r="QDR219" s="630"/>
      <c r="QDS219" s="630"/>
      <c r="QDT219" s="630"/>
      <c r="QDU219" s="630"/>
      <c r="QDV219" s="630"/>
      <c r="QDW219" s="630"/>
      <c r="QDX219" s="630"/>
      <c r="QDY219" s="630"/>
      <c r="QDZ219" s="630"/>
      <c r="QEA219" s="630"/>
      <c r="QEB219" s="630"/>
      <c r="QEC219" s="630"/>
      <c r="QED219" s="630"/>
      <c r="QEE219" s="630"/>
      <c r="QEF219" s="630"/>
      <c r="QEG219" s="630"/>
      <c r="QEH219" s="630"/>
      <c r="QEI219" s="630"/>
      <c r="QEJ219" s="630"/>
      <c r="QEK219" s="630"/>
      <c r="QEL219" s="630"/>
      <c r="QEM219" s="630"/>
      <c r="QEN219" s="630"/>
      <c r="QEO219" s="630"/>
      <c r="QEP219" s="630"/>
      <c r="QEQ219" s="630"/>
      <c r="QER219" s="630"/>
      <c r="QES219" s="630"/>
      <c r="QET219" s="630"/>
      <c r="QEU219" s="630"/>
      <c r="QEV219" s="630"/>
      <c r="QEW219" s="630"/>
      <c r="QEX219" s="630"/>
      <c r="QEY219" s="630"/>
      <c r="QEZ219" s="630"/>
      <c r="QFA219" s="630"/>
      <c r="QFB219" s="630"/>
      <c r="QFC219" s="630"/>
      <c r="QFD219" s="630"/>
      <c r="QFE219" s="630"/>
      <c r="QFF219" s="630"/>
      <c r="QFG219" s="630"/>
      <c r="QFH219" s="630"/>
      <c r="QFI219" s="630"/>
      <c r="QFJ219" s="630"/>
      <c r="QFK219" s="630"/>
      <c r="QFL219" s="630"/>
      <c r="QFM219" s="630"/>
      <c r="QFN219" s="630"/>
      <c r="QFO219" s="630"/>
      <c r="QFP219" s="630"/>
      <c r="QFQ219" s="630"/>
      <c r="QFR219" s="630"/>
      <c r="QFS219" s="630"/>
      <c r="QFT219" s="630"/>
      <c r="QFU219" s="630"/>
      <c r="QFV219" s="630"/>
      <c r="QFW219" s="630"/>
      <c r="QFX219" s="630"/>
      <c r="QFY219" s="630"/>
      <c r="QFZ219" s="630"/>
      <c r="QGA219" s="630"/>
      <c r="QGB219" s="630"/>
      <c r="QGC219" s="630"/>
      <c r="QGD219" s="630"/>
      <c r="QGE219" s="630"/>
      <c r="QGF219" s="630"/>
      <c r="QGG219" s="630"/>
      <c r="QGH219" s="630"/>
      <c r="QGI219" s="630"/>
      <c r="QGJ219" s="630"/>
      <c r="QGK219" s="630"/>
      <c r="QGL219" s="630"/>
      <c r="QGM219" s="630"/>
      <c r="QGN219" s="630"/>
      <c r="QGO219" s="630"/>
      <c r="QGP219" s="630"/>
      <c r="QGQ219" s="630"/>
      <c r="QGR219" s="630"/>
      <c r="QGS219" s="630"/>
      <c r="QGT219" s="630"/>
      <c r="QGU219" s="630"/>
      <c r="QGV219" s="630"/>
      <c r="QGW219" s="630"/>
      <c r="QGX219" s="630"/>
      <c r="QGY219" s="630"/>
      <c r="QGZ219" s="630"/>
      <c r="QHA219" s="630"/>
      <c r="QHB219" s="630"/>
      <c r="QHC219" s="630"/>
      <c r="QHD219" s="630"/>
      <c r="QHE219" s="630"/>
      <c r="QHF219" s="630"/>
      <c r="QHG219" s="630"/>
      <c r="QHH219" s="630"/>
      <c r="QHI219" s="630"/>
      <c r="QHJ219" s="630"/>
      <c r="QHK219" s="630"/>
      <c r="QHL219" s="630"/>
      <c r="QHM219" s="630"/>
      <c r="QHN219" s="630"/>
      <c r="QHO219" s="630"/>
      <c r="QHP219" s="630"/>
      <c r="QHQ219" s="630"/>
      <c r="QHR219" s="630"/>
      <c r="QHS219" s="630"/>
      <c r="QHT219" s="630"/>
      <c r="QHU219" s="630"/>
      <c r="QHV219" s="630"/>
      <c r="QHW219" s="630"/>
      <c r="QHX219" s="630"/>
      <c r="QHY219" s="630"/>
      <c r="QHZ219" s="630"/>
      <c r="QIA219" s="630"/>
      <c r="QIB219" s="630"/>
      <c r="QIC219" s="630"/>
      <c r="QID219" s="630"/>
      <c r="QIE219" s="630"/>
      <c r="QIF219" s="630"/>
      <c r="QIG219" s="630"/>
      <c r="QIH219" s="630"/>
      <c r="QII219" s="630"/>
      <c r="QIJ219" s="630"/>
      <c r="QIK219" s="630"/>
      <c r="QIL219" s="630"/>
      <c r="QIM219" s="630"/>
      <c r="QIN219" s="630"/>
      <c r="QIO219" s="630"/>
      <c r="QIP219" s="630"/>
      <c r="QIQ219" s="630"/>
      <c r="QIR219" s="630"/>
      <c r="QIS219" s="630"/>
      <c r="QIT219" s="630"/>
      <c r="QIU219" s="630"/>
      <c r="QIV219" s="630"/>
      <c r="QIW219" s="630"/>
      <c r="QIX219" s="630"/>
      <c r="QIY219" s="630"/>
      <c r="QIZ219" s="630"/>
      <c r="QJA219" s="630"/>
      <c r="QJB219" s="630"/>
      <c r="QJC219" s="630"/>
      <c r="QJD219" s="630"/>
      <c r="QJE219" s="630"/>
      <c r="QJF219" s="630"/>
      <c r="QJG219" s="630"/>
      <c r="QJH219" s="630"/>
      <c r="QJI219" s="630"/>
      <c r="QJJ219" s="630"/>
      <c r="QJK219" s="630"/>
      <c r="QJL219" s="630"/>
      <c r="QJM219" s="630"/>
      <c r="QJN219" s="630"/>
      <c r="QJO219" s="630"/>
      <c r="QJP219" s="630"/>
      <c r="QJQ219" s="630"/>
      <c r="QJR219" s="630"/>
      <c r="QJS219" s="630"/>
      <c r="QJT219" s="630"/>
      <c r="QJU219" s="630"/>
      <c r="QJV219" s="630"/>
      <c r="QJW219" s="630"/>
      <c r="QJX219" s="630"/>
      <c r="QJY219" s="630"/>
      <c r="QJZ219" s="630"/>
      <c r="QKA219" s="630"/>
      <c r="QKB219" s="630"/>
      <c r="QKC219" s="630"/>
      <c r="QKD219" s="630"/>
      <c r="QKE219" s="630"/>
      <c r="QKF219" s="630"/>
      <c r="QKG219" s="630"/>
      <c r="QKH219" s="630"/>
      <c r="QKI219" s="630"/>
      <c r="QKJ219" s="630"/>
      <c r="QKK219" s="630"/>
      <c r="QKL219" s="630"/>
      <c r="QKM219" s="630"/>
      <c r="QKN219" s="630"/>
      <c r="QKO219" s="630"/>
      <c r="QKP219" s="630"/>
      <c r="QKQ219" s="630"/>
      <c r="QKR219" s="630"/>
      <c r="QKS219" s="630"/>
      <c r="QKT219" s="630"/>
      <c r="QKU219" s="630"/>
      <c r="QKV219" s="630"/>
      <c r="QKW219" s="630"/>
      <c r="QKX219" s="630"/>
      <c r="QKY219" s="630"/>
      <c r="QKZ219" s="630"/>
      <c r="QLA219" s="630"/>
      <c r="QLB219" s="630"/>
      <c r="QLC219" s="630"/>
      <c r="QLD219" s="630"/>
      <c r="QLE219" s="630"/>
      <c r="QLF219" s="630"/>
      <c r="QLG219" s="630"/>
      <c r="QLH219" s="630"/>
      <c r="QLI219" s="630"/>
      <c r="QLJ219" s="630"/>
      <c r="QLK219" s="630"/>
      <c r="QLL219" s="630"/>
      <c r="QLM219" s="630"/>
      <c r="QLN219" s="630"/>
      <c r="QLO219" s="630"/>
      <c r="QLP219" s="630"/>
      <c r="QLQ219" s="630"/>
      <c r="QLR219" s="630"/>
      <c r="QLS219" s="630"/>
      <c r="QLT219" s="630"/>
      <c r="QLU219" s="630"/>
      <c r="QLV219" s="630"/>
      <c r="QLW219" s="630"/>
      <c r="QLX219" s="630"/>
      <c r="QLY219" s="630"/>
      <c r="QLZ219" s="630"/>
      <c r="QMA219" s="630"/>
      <c r="QMB219" s="630"/>
      <c r="QMC219" s="630"/>
      <c r="QMD219" s="630"/>
      <c r="QME219" s="630"/>
      <c r="QMF219" s="630"/>
      <c r="QMG219" s="630"/>
      <c r="QMH219" s="630"/>
      <c r="QMI219" s="630"/>
      <c r="QMJ219" s="630"/>
      <c r="QMK219" s="630"/>
      <c r="QML219" s="630"/>
      <c r="QMM219" s="630"/>
      <c r="QMN219" s="630"/>
      <c r="QMO219" s="630"/>
      <c r="QMP219" s="630"/>
      <c r="QMQ219" s="630"/>
      <c r="QMR219" s="630"/>
      <c r="QMS219" s="630"/>
      <c r="QMT219" s="630"/>
      <c r="QMU219" s="630"/>
      <c r="QMV219" s="630"/>
      <c r="QMW219" s="630"/>
      <c r="QMX219" s="630"/>
      <c r="QMY219" s="630"/>
      <c r="QMZ219" s="630"/>
      <c r="QNA219" s="630"/>
      <c r="QNB219" s="630"/>
      <c r="QNC219" s="630"/>
      <c r="QND219" s="630"/>
      <c r="QNE219" s="630"/>
      <c r="QNF219" s="630"/>
      <c r="QNG219" s="630"/>
      <c r="QNH219" s="630"/>
      <c r="QNI219" s="630"/>
      <c r="QNJ219" s="630"/>
      <c r="QNK219" s="630"/>
      <c r="QNL219" s="630"/>
      <c r="QNM219" s="630"/>
      <c r="QNN219" s="630"/>
      <c r="QNO219" s="630"/>
      <c r="QNP219" s="630"/>
      <c r="QNQ219" s="630"/>
      <c r="QNR219" s="630"/>
      <c r="QNS219" s="630"/>
      <c r="QNT219" s="630"/>
      <c r="QNU219" s="630"/>
      <c r="QNV219" s="630"/>
      <c r="QNW219" s="630"/>
      <c r="QNX219" s="630"/>
      <c r="QNY219" s="630"/>
      <c r="QNZ219" s="630"/>
      <c r="QOA219" s="630"/>
      <c r="QOB219" s="630"/>
      <c r="QOC219" s="630"/>
      <c r="QOD219" s="630"/>
      <c r="QOE219" s="630"/>
      <c r="QOF219" s="630"/>
      <c r="QOG219" s="630"/>
      <c r="QOH219" s="630"/>
      <c r="QOI219" s="630"/>
      <c r="QOJ219" s="630"/>
      <c r="QOK219" s="630"/>
      <c r="QOL219" s="630"/>
      <c r="QOM219" s="630"/>
      <c r="QON219" s="630"/>
      <c r="QOO219" s="630"/>
      <c r="QOP219" s="630"/>
      <c r="QOQ219" s="630"/>
      <c r="QOR219" s="630"/>
      <c r="QOS219" s="630"/>
      <c r="QOT219" s="630"/>
      <c r="QOU219" s="630"/>
      <c r="QOV219" s="630"/>
      <c r="QOW219" s="630"/>
      <c r="QOX219" s="630"/>
      <c r="QOY219" s="630"/>
      <c r="QOZ219" s="630"/>
      <c r="QPA219" s="630"/>
      <c r="QPB219" s="630"/>
      <c r="QPC219" s="630"/>
      <c r="QPD219" s="630"/>
      <c r="QPE219" s="630"/>
      <c r="QPF219" s="630"/>
      <c r="QPG219" s="630"/>
      <c r="QPH219" s="630"/>
      <c r="QPI219" s="630"/>
      <c r="QPJ219" s="630"/>
      <c r="QPK219" s="630"/>
      <c r="QPL219" s="630"/>
      <c r="QPM219" s="630"/>
      <c r="QPN219" s="630"/>
      <c r="QPO219" s="630"/>
      <c r="QPP219" s="630"/>
      <c r="QPQ219" s="630"/>
      <c r="QPR219" s="630"/>
      <c r="QPS219" s="630"/>
      <c r="QPT219" s="630"/>
      <c r="QPU219" s="630"/>
      <c r="QPV219" s="630"/>
      <c r="QPW219" s="630"/>
      <c r="QPX219" s="630"/>
      <c r="QPY219" s="630"/>
      <c r="QPZ219" s="630"/>
      <c r="QQA219" s="630"/>
      <c r="QQB219" s="630"/>
      <c r="QQC219" s="630"/>
      <c r="QQD219" s="630"/>
      <c r="QQE219" s="630"/>
      <c r="QQF219" s="630"/>
      <c r="QQG219" s="630"/>
      <c r="QQH219" s="630"/>
      <c r="QQI219" s="630"/>
      <c r="QQJ219" s="630"/>
      <c r="QQK219" s="630"/>
      <c r="QQL219" s="630"/>
      <c r="QQM219" s="630"/>
      <c r="QQN219" s="630"/>
      <c r="QQO219" s="630"/>
      <c r="QQP219" s="630"/>
      <c r="QQQ219" s="630"/>
      <c r="QQR219" s="630"/>
      <c r="QQS219" s="630"/>
      <c r="QQT219" s="630"/>
      <c r="QQU219" s="630"/>
      <c r="QQV219" s="630"/>
      <c r="QQW219" s="630"/>
      <c r="QQX219" s="630"/>
      <c r="QQY219" s="630"/>
      <c r="QQZ219" s="630"/>
      <c r="QRA219" s="630"/>
      <c r="QRB219" s="630"/>
      <c r="QRC219" s="630"/>
      <c r="QRD219" s="630"/>
      <c r="QRE219" s="630"/>
      <c r="QRF219" s="630"/>
      <c r="QRG219" s="630"/>
      <c r="QRH219" s="630"/>
      <c r="QRI219" s="630"/>
      <c r="QRJ219" s="630"/>
      <c r="QRK219" s="630"/>
      <c r="QRL219" s="630"/>
      <c r="QRM219" s="630"/>
      <c r="QRN219" s="630"/>
      <c r="QRO219" s="630"/>
      <c r="QRP219" s="630"/>
      <c r="QRQ219" s="630"/>
      <c r="QRR219" s="630"/>
      <c r="QRS219" s="630"/>
      <c r="QRT219" s="630"/>
      <c r="QRU219" s="630"/>
      <c r="QRV219" s="630"/>
      <c r="QRW219" s="630"/>
      <c r="QRX219" s="630"/>
      <c r="QRY219" s="630"/>
      <c r="QRZ219" s="630"/>
      <c r="QSA219" s="630"/>
      <c r="QSB219" s="630"/>
      <c r="QSC219" s="630"/>
      <c r="QSD219" s="630"/>
      <c r="QSE219" s="630"/>
      <c r="QSF219" s="630"/>
      <c r="QSG219" s="630"/>
      <c r="QSH219" s="630"/>
      <c r="QSI219" s="630"/>
      <c r="QSJ219" s="630"/>
      <c r="QSK219" s="630"/>
      <c r="QSL219" s="630"/>
      <c r="QSM219" s="630"/>
      <c r="QSN219" s="630"/>
      <c r="QSO219" s="630"/>
      <c r="QSP219" s="630"/>
      <c r="QSQ219" s="630"/>
      <c r="QSR219" s="630"/>
      <c r="QSS219" s="630"/>
      <c r="QST219" s="630"/>
      <c r="QSU219" s="630"/>
      <c r="QSV219" s="630"/>
      <c r="QSW219" s="630"/>
      <c r="QSX219" s="630"/>
      <c r="QSY219" s="630"/>
      <c r="QSZ219" s="630"/>
      <c r="QTA219" s="630"/>
      <c r="QTB219" s="630"/>
      <c r="QTC219" s="630"/>
      <c r="QTD219" s="630"/>
      <c r="QTE219" s="630"/>
      <c r="QTF219" s="630"/>
      <c r="QTG219" s="630"/>
      <c r="QTH219" s="630"/>
      <c r="QTI219" s="630"/>
      <c r="QTJ219" s="630"/>
      <c r="QTK219" s="630"/>
      <c r="QTL219" s="630"/>
      <c r="QTM219" s="630"/>
      <c r="QTN219" s="630"/>
      <c r="QTO219" s="630"/>
      <c r="QTP219" s="630"/>
      <c r="QTQ219" s="630"/>
      <c r="QTR219" s="630"/>
      <c r="QTS219" s="630"/>
      <c r="QTT219" s="630"/>
      <c r="QTU219" s="630"/>
      <c r="QTV219" s="630"/>
      <c r="QTW219" s="630"/>
      <c r="QTX219" s="630"/>
      <c r="QTY219" s="630"/>
      <c r="QTZ219" s="630"/>
      <c r="QUA219" s="630"/>
      <c r="QUB219" s="630"/>
      <c r="QUC219" s="630"/>
      <c r="QUD219" s="630"/>
      <c r="QUE219" s="630"/>
      <c r="QUF219" s="630"/>
      <c r="QUG219" s="630"/>
      <c r="QUH219" s="630"/>
      <c r="QUI219" s="630"/>
      <c r="QUJ219" s="630"/>
      <c r="QUK219" s="630"/>
      <c r="QUL219" s="630"/>
      <c r="QUM219" s="630"/>
      <c r="QUN219" s="630"/>
      <c r="QUO219" s="630"/>
      <c r="QUP219" s="630"/>
      <c r="QUQ219" s="630"/>
      <c r="QUR219" s="630"/>
      <c r="QUS219" s="630"/>
      <c r="QUT219" s="630"/>
      <c r="QUU219" s="630"/>
      <c r="QUV219" s="630"/>
      <c r="QUW219" s="630"/>
      <c r="QUX219" s="630"/>
      <c r="QUY219" s="630"/>
      <c r="QUZ219" s="630"/>
      <c r="QVA219" s="630"/>
      <c r="QVB219" s="630"/>
      <c r="QVC219" s="630"/>
      <c r="QVD219" s="630"/>
      <c r="QVE219" s="630"/>
      <c r="QVF219" s="630"/>
      <c r="QVG219" s="630"/>
      <c r="QVH219" s="630"/>
      <c r="QVI219" s="630"/>
      <c r="QVJ219" s="630"/>
      <c r="QVK219" s="630"/>
      <c r="QVL219" s="630"/>
      <c r="QVM219" s="630"/>
      <c r="QVN219" s="630"/>
      <c r="QVO219" s="630"/>
      <c r="QVP219" s="630"/>
      <c r="QVQ219" s="630"/>
      <c r="QVR219" s="630"/>
      <c r="QVS219" s="630"/>
      <c r="QVT219" s="630"/>
      <c r="QVU219" s="630"/>
      <c r="QVV219" s="630"/>
      <c r="QVW219" s="630"/>
      <c r="QVX219" s="630"/>
      <c r="QVY219" s="630"/>
      <c r="QVZ219" s="630"/>
      <c r="QWA219" s="630"/>
      <c r="QWB219" s="630"/>
      <c r="QWC219" s="630"/>
      <c r="QWD219" s="630"/>
      <c r="QWE219" s="630"/>
      <c r="QWF219" s="630"/>
      <c r="QWG219" s="630"/>
      <c r="QWH219" s="630"/>
      <c r="QWI219" s="630"/>
      <c r="QWJ219" s="630"/>
      <c r="QWK219" s="630"/>
      <c r="QWL219" s="630"/>
      <c r="QWM219" s="630"/>
      <c r="QWN219" s="630"/>
      <c r="QWO219" s="630"/>
      <c r="QWP219" s="630"/>
      <c r="QWQ219" s="630"/>
      <c r="QWR219" s="630"/>
      <c r="QWS219" s="630"/>
      <c r="QWT219" s="630"/>
      <c r="QWU219" s="630"/>
      <c r="QWV219" s="630"/>
      <c r="QWW219" s="630"/>
      <c r="QWX219" s="630"/>
      <c r="QWY219" s="630"/>
      <c r="QWZ219" s="630"/>
      <c r="QXA219" s="630"/>
      <c r="QXB219" s="630"/>
      <c r="QXC219" s="630"/>
      <c r="QXD219" s="630"/>
      <c r="QXE219" s="630"/>
      <c r="QXF219" s="630"/>
      <c r="QXG219" s="630"/>
      <c r="QXH219" s="630"/>
      <c r="QXI219" s="630"/>
      <c r="QXJ219" s="630"/>
      <c r="QXK219" s="630"/>
      <c r="QXL219" s="630"/>
      <c r="QXM219" s="630"/>
      <c r="QXN219" s="630"/>
      <c r="QXO219" s="630"/>
      <c r="QXP219" s="630"/>
      <c r="QXQ219" s="630"/>
      <c r="QXR219" s="630"/>
      <c r="QXS219" s="630"/>
      <c r="QXT219" s="630"/>
      <c r="QXU219" s="630"/>
      <c r="QXV219" s="630"/>
      <c r="QXW219" s="630"/>
      <c r="QXX219" s="630"/>
      <c r="QXY219" s="630"/>
      <c r="QXZ219" s="630"/>
      <c r="QYA219" s="630"/>
      <c r="QYB219" s="630"/>
      <c r="QYC219" s="630"/>
      <c r="QYD219" s="630"/>
      <c r="QYE219" s="630"/>
      <c r="QYF219" s="630"/>
      <c r="QYG219" s="630"/>
      <c r="QYH219" s="630"/>
      <c r="QYI219" s="630"/>
      <c r="QYJ219" s="630"/>
      <c r="QYK219" s="630"/>
      <c r="QYL219" s="630"/>
      <c r="QYM219" s="630"/>
      <c r="QYN219" s="630"/>
      <c r="QYO219" s="630"/>
      <c r="QYP219" s="630"/>
      <c r="QYQ219" s="630"/>
      <c r="QYR219" s="630"/>
      <c r="QYS219" s="630"/>
      <c r="QYT219" s="630"/>
      <c r="QYU219" s="630"/>
      <c r="QYV219" s="630"/>
      <c r="QYW219" s="630"/>
      <c r="QYX219" s="630"/>
      <c r="QYY219" s="630"/>
      <c r="QYZ219" s="630"/>
      <c r="QZA219" s="630"/>
      <c r="QZB219" s="630"/>
      <c r="QZC219" s="630"/>
      <c r="QZD219" s="630"/>
      <c r="QZE219" s="630"/>
      <c r="QZF219" s="630"/>
      <c r="QZG219" s="630"/>
      <c r="QZH219" s="630"/>
      <c r="QZI219" s="630"/>
      <c r="QZJ219" s="630"/>
      <c r="QZK219" s="630"/>
      <c r="QZL219" s="630"/>
      <c r="QZM219" s="630"/>
      <c r="QZN219" s="630"/>
      <c r="QZO219" s="630"/>
      <c r="QZP219" s="630"/>
      <c r="QZQ219" s="630"/>
      <c r="QZR219" s="630"/>
      <c r="QZS219" s="630"/>
      <c r="QZT219" s="630"/>
      <c r="QZU219" s="630"/>
      <c r="QZV219" s="630"/>
      <c r="QZW219" s="630"/>
      <c r="QZX219" s="630"/>
      <c r="QZY219" s="630"/>
      <c r="QZZ219" s="630"/>
      <c r="RAA219" s="630"/>
      <c r="RAB219" s="630"/>
      <c r="RAC219" s="630"/>
      <c r="RAD219" s="630"/>
      <c r="RAE219" s="630"/>
      <c r="RAF219" s="630"/>
      <c r="RAG219" s="630"/>
      <c r="RAH219" s="630"/>
      <c r="RAI219" s="630"/>
      <c r="RAJ219" s="630"/>
      <c r="RAK219" s="630"/>
      <c r="RAL219" s="630"/>
      <c r="RAM219" s="630"/>
      <c r="RAN219" s="630"/>
      <c r="RAO219" s="630"/>
      <c r="RAP219" s="630"/>
      <c r="RAQ219" s="630"/>
      <c r="RAR219" s="630"/>
      <c r="RAS219" s="630"/>
      <c r="RAT219" s="630"/>
      <c r="RAU219" s="630"/>
      <c r="RAV219" s="630"/>
      <c r="RAW219" s="630"/>
      <c r="RAX219" s="630"/>
      <c r="RAY219" s="630"/>
      <c r="RAZ219" s="630"/>
      <c r="RBA219" s="630"/>
      <c r="RBB219" s="630"/>
      <c r="RBC219" s="630"/>
      <c r="RBD219" s="630"/>
      <c r="RBE219" s="630"/>
      <c r="RBF219" s="630"/>
      <c r="RBG219" s="630"/>
      <c r="RBH219" s="630"/>
      <c r="RBI219" s="630"/>
      <c r="RBJ219" s="630"/>
      <c r="RBK219" s="630"/>
      <c r="RBL219" s="630"/>
      <c r="RBM219" s="630"/>
      <c r="RBN219" s="630"/>
      <c r="RBO219" s="630"/>
      <c r="RBP219" s="630"/>
      <c r="RBQ219" s="630"/>
      <c r="RBR219" s="630"/>
      <c r="RBS219" s="630"/>
      <c r="RBT219" s="630"/>
      <c r="RBU219" s="630"/>
      <c r="RBV219" s="630"/>
      <c r="RBW219" s="630"/>
      <c r="RBX219" s="630"/>
      <c r="RBY219" s="630"/>
      <c r="RBZ219" s="630"/>
      <c r="RCA219" s="630"/>
      <c r="RCB219" s="630"/>
      <c r="RCC219" s="630"/>
      <c r="RCD219" s="630"/>
      <c r="RCE219" s="630"/>
      <c r="RCF219" s="630"/>
      <c r="RCG219" s="630"/>
      <c r="RCH219" s="630"/>
      <c r="RCI219" s="630"/>
      <c r="RCJ219" s="630"/>
      <c r="RCK219" s="630"/>
      <c r="RCL219" s="630"/>
      <c r="RCM219" s="630"/>
      <c r="RCN219" s="630"/>
      <c r="RCO219" s="630"/>
      <c r="RCP219" s="630"/>
      <c r="RCQ219" s="630"/>
      <c r="RCR219" s="630"/>
      <c r="RCS219" s="630"/>
      <c r="RCT219" s="630"/>
      <c r="RCU219" s="630"/>
      <c r="RCV219" s="630"/>
      <c r="RCW219" s="630"/>
      <c r="RCX219" s="630"/>
      <c r="RCY219" s="630"/>
      <c r="RCZ219" s="630"/>
      <c r="RDA219" s="630"/>
      <c r="RDB219" s="630"/>
      <c r="RDC219" s="630"/>
      <c r="RDD219" s="630"/>
      <c r="RDE219" s="630"/>
      <c r="RDF219" s="630"/>
      <c r="RDG219" s="630"/>
      <c r="RDH219" s="630"/>
      <c r="RDI219" s="630"/>
      <c r="RDJ219" s="630"/>
      <c r="RDK219" s="630"/>
      <c r="RDL219" s="630"/>
      <c r="RDM219" s="630"/>
      <c r="RDN219" s="630"/>
      <c r="RDO219" s="630"/>
      <c r="RDP219" s="630"/>
      <c r="RDQ219" s="630"/>
      <c r="RDR219" s="630"/>
      <c r="RDS219" s="630"/>
      <c r="RDT219" s="630"/>
      <c r="RDU219" s="630"/>
      <c r="RDV219" s="630"/>
      <c r="RDW219" s="630"/>
      <c r="RDX219" s="630"/>
      <c r="RDY219" s="630"/>
      <c r="RDZ219" s="630"/>
      <c r="REA219" s="630"/>
      <c r="REB219" s="630"/>
      <c r="REC219" s="630"/>
      <c r="RED219" s="630"/>
      <c r="REE219" s="630"/>
      <c r="REF219" s="630"/>
      <c r="REG219" s="630"/>
      <c r="REH219" s="630"/>
      <c r="REI219" s="630"/>
      <c r="REJ219" s="630"/>
      <c r="REK219" s="630"/>
      <c r="REL219" s="630"/>
      <c r="REM219" s="630"/>
      <c r="REN219" s="630"/>
      <c r="REO219" s="630"/>
      <c r="REP219" s="630"/>
      <c r="REQ219" s="630"/>
      <c r="RER219" s="630"/>
      <c r="RES219" s="630"/>
      <c r="RET219" s="630"/>
      <c r="REU219" s="630"/>
      <c r="REV219" s="630"/>
      <c r="REW219" s="630"/>
      <c r="REX219" s="630"/>
      <c r="REY219" s="630"/>
      <c r="REZ219" s="630"/>
      <c r="RFA219" s="630"/>
      <c r="RFB219" s="630"/>
      <c r="RFC219" s="630"/>
      <c r="RFD219" s="630"/>
      <c r="RFE219" s="630"/>
      <c r="RFF219" s="630"/>
      <c r="RFG219" s="630"/>
      <c r="RFH219" s="630"/>
      <c r="RFI219" s="630"/>
      <c r="RFJ219" s="630"/>
      <c r="RFK219" s="630"/>
      <c r="RFL219" s="630"/>
      <c r="RFM219" s="630"/>
      <c r="RFN219" s="630"/>
      <c r="RFO219" s="630"/>
      <c r="RFP219" s="630"/>
      <c r="RFQ219" s="630"/>
      <c r="RFR219" s="630"/>
      <c r="RFS219" s="630"/>
      <c r="RFT219" s="630"/>
      <c r="RFU219" s="630"/>
      <c r="RFV219" s="630"/>
      <c r="RFW219" s="630"/>
      <c r="RFX219" s="630"/>
      <c r="RFY219" s="630"/>
      <c r="RFZ219" s="630"/>
      <c r="RGA219" s="630"/>
      <c r="RGB219" s="630"/>
      <c r="RGC219" s="630"/>
      <c r="RGD219" s="630"/>
      <c r="RGE219" s="630"/>
      <c r="RGF219" s="630"/>
      <c r="RGG219" s="630"/>
      <c r="RGH219" s="630"/>
      <c r="RGI219" s="630"/>
      <c r="RGJ219" s="630"/>
      <c r="RGK219" s="630"/>
      <c r="RGL219" s="630"/>
      <c r="RGM219" s="630"/>
      <c r="RGN219" s="630"/>
      <c r="RGO219" s="630"/>
      <c r="RGP219" s="630"/>
      <c r="RGQ219" s="630"/>
      <c r="RGR219" s="630"/>
      <c r="RGS219" s="630"/>
      <c r="RGT219" s="630"/>
      <c r="RGU219" s="630"/>
      <c r="RGV219" s="630"/>
      <c r="RGW219" s="630"/>
      <c r="RGX219" s="630"/>
      <c r="RGY219" s="630"/>
      <c r="RGZ219" s="630"/>
      <c r="RHA219" s="630"/>
      <c r="RHB219" s="630"/>
      <c r="RHC219" s="630"/>
      <c r="RHD219" s="630"/>
      <c r="RHE219" s="630"/>
      <c r="RHF219" s="630"/>
      <c r="RHG219" s="630"/>
      <c r="RHH219" s="630"/>
      <c r="RHI219" s="630"/>
      <c r="RHJ219" s="630"/>
      <c r="RHK219" s="630"/>
      <c r="RHL219" s="630"/>
      <c r="RHM219" s="630"/>
      <c r="RHN219" s="630"/>
      <c r="RHO219" s="630"/>
      <c r="RHP219" s="630"/>
      <c r="RHQ219" s="630"/>
      <c r="RHR219" s="630"/>
      <c r="RHS219" s="630"/>
      <c r="RHT219" s="630"/>
      <c r="RHU219" s="630"/>
      <c r="RHV219" s="630"/>
      <c r="RHW219" s="630"/>
      <c r="RHX219" s="630"/>
      <c r="RHY219" s="630"/>
      <c r="RHZ219" s="630"/>
      <c r="RIA219" s="630"/>
      <c r="RIB219" s="630"/>
      <c r="RIC219" s="630"/>
      <c r="RID219" s="630"/>
      <c r="RIE219" s="630"/>
      <c r="RIF219" s="630"/>
      <c r="RIG219" s="630"/>
      <c r="RIH219" s="630"/>
      <c r="RII219" s="630"/>
      <c r="RIJ219" s="630"/>
      <c r="RIK219" s="630"/>
      <c r="RIL219" s="630"/>
      <c r="RIM219" s="630"/>
      <c r="RIN219" s="630"/>
      <c r="RIO219" s="630"/>
      <c r="RIP219" s="630"/>
      <c r="RIQ219" s="630"/>
      <c r="RIR219" s="630"/>
      <c r="RIS219" s="630"/>
      <c r="RIT219" s="630"/>
      <c r="RIU219" s="630"/>
      <c r="RIV219" s="630"/>
      <c r="RIW219" s="630"/>
      <c r="RIX219" s="630"/>
      <c r="RIY219" s="630"/>
      <c r="RIZ219" s="630"/>
      <c r="RJA219" s="630"/>
      <c r="RJB219" s="630"/>
      <c r="RJC219" s="630"/>
      <c r="RJD219" s="630"/>
      <c r="RJE219" s="630"/>
      <c r="RJF219" s="630"/>
      <c r="RJG219" s="630"/>
      <c r="RJH219" s="630"/>
      <c r="RJI219" s="630"/>
      <c r="RJJ219" s="630"/>
      <c r="RJK219" s="630"/>
      <c r="RJL219" s="630"/>
      <c r="RJM219" s="630"/>
      <c r="RJN219" s="630"/>
      <c r="RJO219" s="630"/>
      <c r="RJP219" s="630"/>
      <c r="RJQ219" s="630"/>
      <c r="RJR219" s="630"/>
      <c r="RJS219" s="630"/>
      <c r="RJT219" s="630"/>
      <c r="RJU219" s="630"/>
      <c r="RJV219" s="630"/>
      <c r="RJW219" s="630"/>
      <c r="RJX219" s="630"/>
      <c r="RJY219" s="630"/>
      <c r="RJZ219" s="630"/>
      <c r="RKA219" s="630"/>
      <c r="RKB219" s="630"/>
      <c r="RKC219" s="630"/>
      <c r="RKD219" s="630"/>
      <c r="RKE219" s="630"/>
      <c r="RKF219" s="630"/>
      <c r="RKG219" s="630"/>
      <c r="RKH219" s="630"/>
      <c r="RKI219" s="630"/>
      <c r="RKJ219" s="630"/>
      <c r="RKK219" s="630"/>
      <c r="RKL219" s="630"/>
      <c r="RKM219" s="630"/>
      <c r="RKN219" s="630"/>
      <c r="RKO219" s="630"/>
      <c r="RKP219" s="630"/>
      <c r="RKQ219" s="630"/>
      <c r="RKR219" s="630"/>
      <c r="RKS219" s="630"/>
      <c r="RKT219" s="630"/>
      <c r="RKU219" s="630"/>
      <c r="RKV219" s="630"/>
      <c r="RKW219" s="630"/>
      <c r="RKX219" s="630"/>
      <c r="RKY219" s="630"/>
      <c r="RKZ219" s="630"/>
      <c r="RLA219" s="630"/>
      <c r="RLB219" s="630"/>
      <c r="RLC219" s="630"/>
      <c r="RLD219" s="630"/>
      <c r="RLE219" s="630"/>
      <c r="RLF219" s="630"/>
      <c r="RLG219" s="630"/>
      <c r="RLH219" s="630"/>
      <c r="RLI219" s="630"/>
      <c r="RLJ219" s="630"/>
      <c r="RLK219" s="630"/>
      <c r="RLL219" s="630"/>
      <c r="RLM219" s="630"/>
      <c r="RLN219" s="630"/>
      <c r="RLO219" s="630"/>
      <c r="RLP219" s="630"/>
      <c r="RLQ219" s="630"/>
      <c r="RLR219" s="630"/>
      <c r="RLS219" s="630"/>
      <c r="RLT219" s="630"/>
      <c r="RLU219" s="630"/>
      <c r="RLV219" s="630"/>
      <c r="RLW219" s="630"/>
      <c r="RLX219" s="630"/>
      <c r="RLY219" s="630"/>
      <c r="RLZ219" s="630"/>
      <c r="RMA219" s="630"/>
      <c r="RMB219" s="630"/>
      <c r="RMC219" s="630"/>
      <c r="RMD219" s="630"/>
      <c r="RME219" s="630"/>
      <c r="RMF219" s="630"/>
      <c r="RMG219" s="630"/>
      <c r="RMH219" s="630"/>
      <c r="RMI219" s="630"/>
      <c r="RMJ219" s="630"/>
      <c r="RMK219" s="630"/>
      <c r="RML219" s="630"/>
      <c r="RMM219" s="630"/>
      <c r="RMN219" s="630"/>
      <c r="RMO219" s="630"/>
      <c r="RMP219" s="630"/>
      <c r="RMQ219" s="630"/>
      <c r="RMR219" s="630"/>
      <c r="RMS219" s="630"/>
      <c r="RMT219" s="630"/>
      <c r="RMU219" s="630"/>
      <c r="RMV219" s="630"/>
      <c r="RMW219" s="630"/>
      <c r="RMX219" s="630"/>
      <c r="RMY219" s="630"/>
      <c r="RMZ219" s="630"/>
      <c r="RNA219" s="630"/>
      <c r="RNB219" s="630"/>
      <c r="RNC219" s="630"/>
      <c r="RND219" s="630"/>
      <c r="RNE219" s="630"/>
      <c r="RNF219" s="630"/>
      <c r="RNG219" s="630"/>
      <c r="RNH219" s="630"/>
      <c r="RNI219" s="630"/>
      <c r="RNJ219" s="630"/>
      <c r="RNK219" s="630"/>
      <c r="RNL219" s="630"/>
      <c r="RNM219" s="630"/>
      <c r="RNN219" s="630"/>
      <c r="RNO219" s="630"/>
      <c r="RNP219" s="630"/>
      <c r="RNQ219" s="630"/>
      <c r="RNR219" s="630"/>
      <c r="RNS219" s="630"/>
      <c r="RNT219" s="630"/>
      <c r="RNU219" s="630"/>
      <c r="RNV219" s="630"/>
      <c r="RNW219" s="630"/>
      <c r="RNX219" s="630"/>
      <c r="RNY219" s="630"/>
      <c r="RNZ219" s="630"/>
      <c r="ROA219" s="630"/>
      <c r="ROB219" s="630"/>
      <c r="ROC219" s="630"/>
      <c r="ROD219" s="630"/>
      <c r="ROE219" s="630"/>
      <c r="ROF219" s="630"/>
      <c r="ROG219" s="630"/>
      <c r="ROH219" s="630"/>
      <c r="ROI219" s="630"/>
      <c r="ROJ219" s="630"/>
      <c r="ROK219" s="630"/>
      <c r="ROL219" s="630"/>
      <c r="ROM219" s="630"/>
      <c r="RON219" s="630"/>
      <c r="ROO219" s="630"/>
      <c r="ROP219" s="630"/>
      <c r="ROQ219" s="630"/>
      <c r="ROR219" s="630"/>
      <c r="ROS219" s="630"/>
      <c r="ROT219" s="630"/>
      <c r="ROU219" s="630"/>
      <c r="ROV219" s="630"/>
      <c r="ROW219" s="630"/>
      <c r="ROX219" s="630"/>
      <c r="ROY219" s="630"/>
      <c r="ROZ219" s="630"/>
      <c r="RPA219" s="630"/>
      <c r="RPB219" s="630"/>
      <c r="RPC219" s="630"/>
      <c r="RPD219" s="630"/>
      <c r="RPE219" s="630"/>
      <c r="RPF219" s="630"/>
      <c r="RPG219" s="630"/>
      <c r="RPH219" s="630"/>
      <c r="RPI219" s="630"/>
      <c r="RPJ219" s="630"/>
      <c r="RPK219" s="630"/>
      <c r="RPL219" s="630"/>
      <c r="RPM219" s="630"/>
      <c r="RPN219" s="630"/>
      <c r="RPO219" s="630"/>
      <c r="RPP219" s="630"/>
      <c r="RPQ219" s="630"/>
      <c r="RPR219" s="630"/>
      <c r="RPS219" s="630"/>
      <c r="RPT219" s="630"/>
      <c r="RPU219" s="630"/>
      <c r="RPV219" s="630"/>
      <c r="RPW219" s="630"/>
      <c r="RPX219" s="630"/>
      <c r="RPY219" s="630"/>
      <c r="RPZ219" s="630"/>
      <c r="RQA219" s="630"/>
      <c r="RQB219" s="630"/>
      <c r="RQC219" s="630"/>
      <c r="RQD219" s="630"/>
      <c r="RQE219" s="630"/>
      <c r="RQF219" s="630"/>
      <c r="RQG219" s="630"/>
      <c r="RQH219" s="630"/>
      <c r="RQI219" s="630"/>
      <c r="RQJ219" s="630"/>
      <c r="RQK219" s="630"/>
      <c r="RQL219" s="630"/>
      <c r="RQM219" s="630"/>
      <c r="RQN219" s="630"/>
      <c r="RQO219" s="630"/>
      <c r="RQP219" s="630"/>
      <c r="RQQ219" s="630"/>
      <c r="RQR219" s="630"/>
      <c r="RQS219" s="630"/>
      <c r="RQT219" s="630"/>
      <c r="RQU219" s="630"/>
      <c r="RQV219" s="630"/>
      <c r="RQW219" s="630"/>
      <c r="RQX219" s="630"/>
      <c r="RQY219" s="630"/>
      <c r="RQZ219" s="630"/>
      <c r="RRA219" s="630"/>
      <c r="RRB219" s="630"/>
      <c r="RRC219" s="630"/>
      <c r="RRD219" s="630"/>
      <c r="RRE219" s="630"/>
      <c r="RRF219" s="630"/>
      <c r="RRG219" s="630"/>
      <c r="RRH219" s="630"/>
      <c r="RRI219" s="630"/>
      <c r="RRJ219" s="630"/>
      <c r="RRK219" s="630"/>
      <c r="RRL219" s="630"/>
      <c r="RRM219" s="630"/>
      <c r="RRN219" s="630"/>
      <c r="RRO219" s="630"/>
      <c r="RRP219" s="630"/>
      <c r="RRQ219" s="630"/>
      <c r="RRR219" s="630"/>
      <c r="RRS219" s="630"/>
      <c r="RRT219" s="630"/>
      <c r="RRU219" s="630"/>
      <c r="RRV219" s="630"/>
      <c r="RRW219" s="630"/>
      <c r="RRX219" s="630"/>
      <c r="RRY219" s="630"/>
      <c r="RRZ219" s="630"/>
      <c r="RSA219" s="630"/>
      <c r="RSB219" s="630"/>
      <c r="RSC219" s="630"/>
      <c r="RSD219" s="630"/>
      <c r="RSE219" s="630"/>
      <c r="RSF219" s="630"/>
      <c r="RSG219" s="630"/>
      <c r="RSH219" s="630"/>
      <c r="RSI219" s="630"/>
      <c r="RSJ219" s="630"/>
      <c r="RSK219" s="630"/>
      <c r="RSL219" s="630"/>
      <c r="RSM219" s="630"/>
      <c r="RSN219" s="630"/>
      <c r="RSO219" s="630"/>
      <c r="RSP219" s="630"/>
      <c r="RSQ219" s="630"/>
      <c r="RSR219" s="630"/>
      <c r="RSS219" s="630"/>
      <c r="RST219" s="630"/>
      <c r="RSU219" s="630"/>
      <c r="RSV219" s="630"/>
      <c r="RSW219" s="630"/>
      <c r="RSX219" s="630"/>
      <c r="RSY219" s="630"/>
      <c r="RSZ219" s="630"/>
      <c r="RTA219" s="630"/>
      <c r="RTB219" s="630"/>
      <c r="RTC219" s="630"/>
      <c r="RTD219" s="630"/>
      <c r="RTE219" s="630"/>
      <c r="RTF219" s="630"/>
      <c r="RTG219" s="630"/>
      <c r="RTH219" s="630"/>
      <c r="RTI219" s="630"/>
      <c r="RTJ219" s="630"/>
      <c r="RTK219" s="630"/>
      <c r="RTL219" s="630"/>
      <c r="RTM219" s="630"/>
      <c r="RTN219" s="630"/>
      <c r="RTO219" s="630"/>
      <c r="RTP219" s="630"/>
      <c r="RTQ219" s="630"/>
      <c r="RTR219" s="630"/>
      <c r="RTS219" s="630"/>
      <c r="RTT219" s="630"/>
      <c r="RTU219" s="630"/>
      <c r="RTV219" s="630"/>
      <c r="RTW219" s="630"/>
      <c r="RTX219" s="630"/>
      <c r="RTY219" s="630"/>
      <c r="RTZ219" s="630"/>
      <c r="RUA219" s="630"/>
      <c r="RUB219" s="630"/>
      <c r="RUC219" s="630"/>
      <c r="RUD219" s="630"/>
      <c r="RUE219" s="630"/>
      <c r="RUF219" s="630"/>
      <c r="RUG219" s="630"/>
      <c r="RUH219" s="630"/>
      <c r="RUI219" s="630"/>
      <c r="RUJ219" s="630"/>
      <c r="RUK219" s="630"/>
      <c r="RUL219" s="630"/>
      <c r="RUM219" s="630"/>
      <c r="RUN219" s="630"/>
      <c r="RUO219" s="630"/>
      <c r="RUP219" s="630"/>
      <c r="RUQ219" s="630"/>
      <c r="RUR219" s="630"/>
      <c r="RUS219" s="630"/>
      <c r="RUT219" s="630"/>
      <c r="RUU219" s="630"/>
      <c r="RUV219" s="630"/>
      <c r="RUW219" s="630"/>
      <c r="RUX219" s="630"/>
      <c r="RUY219" s="630"/>
      <c r="RUZ219" s="630"/>
      <c r="RVA219" s="630"/>
      <c r="RVB219" s="630"/>
      <c r="RVC219" s="630"/>
      <c r="RVD219" s="630"/>
      <c r="RVE219" s="630"/>
      <c r="RVF219" s="630"/>
      <c r="RVG219" s="630"/>
      <c r="RVH219" s="630"/>
      <c r="RVI219" s="630"/>
      <c r="RVJ219" s="630"/>
      <c r="RVK219" s="630"/>
      <c r="RVL219" s="630"/>
      <c r="RVM219" s="630"/>
      <c r="RVN219" s="630"/>
      <c r="RVO219" s="630"/>
      <c r="RVP219" s="630"/>
      <c r="RVQ219" s="630"/>
      <c r="RVR219" s="630"/>
      <c r="RVS219" s="630"/>
      <c r="RVT219" s="630"/>
      <c r="RVU219" s="630"/>
      <c r="RVV219" s="630"/>
      <c r="RVW219" s="630"/>
      <c r="RVX219" s="630"/>
      <c r="RVY219" s="630"/>
      <c r="RVZ219" s="630"/>
      <c r="RWA219" s="630"/>
      <c r="RWB219" s="630"/>
      <c r="RWC219" s="630"/>
      <c r="RWD219" s="630"/>
      <c r="RWE219" s="630"/>
      <c r="RWF219" s="630"/>
      <c r="RWG219" s="630"/>
      <c r="RWH219" s="630"/>
      <c r="RWI219" s="630"/>
      <c r="RWJ219" s="630"/>
      <c r="RWK219" s="630"/>
      <c r="RWL219" s="630"/>
      <c r="RWM219" s="630"/>
      <c r="RWN219" s="630"/>
      <c r="RWO219" s="630"/>
      <c r="RWP219" s="630"/>
      <c r="RWQ219" s="630"/>
      <c r="RWR219" s="630"/>
      <c r="RWS219" s="630"/>
      <c r="RWT219" s="630"/>
      <c r="RWU219" s="630"/>
      <c r="RWV219" s="630"/>
      <c r="RWW219" s="630"/>
      <c r="RWX219" s="630"/>
      <c r="RWY219" s="630"/>
      <c r="RWZ219" s="630"/>
      <c r="RXA219" s="630"/>
      <c r="RXB219" s="630"/>
      <c r="RXC219" s="630"/>
      <c r="RXD219" s="630"/>
      <c r="RXE219" s="630"/>
      <c r="RXF219" s="630"/>
      <c r="RXG219" s="630"/>
      <c r="RXH219" s="630"/>
      <c r="RXI219" s="630"/>
      <c r="RXJ219" s="630"/>
      <c r="RXK219" s="630"/>
      <c r="RXL219" s="630"/>
      <c r="RXM219" s="630"/>
      <c r="RXN219" s="630"/>
      <c r="RXO219" s="630"/>
      <c r="RXP219" s="630"/>
      <c r="RXQ219" s="630"/>
      <c r="RXR219" s="630"/>
      <c r="RXS219" s="630"/>
      <c r="RXT219" s="630"/>
      <c r="RXU219" s="630"/>
      <c r="RXV219" s="630"/>
      <c r="RXW219" s="630"/>
      <c r="RXX219" s="630"/>
      <c r="RXY219" s="630"/>
      <c r="RXZ219" s="630"/>
      <c r="RYA219" s="630"/>
      <c r="RYB219" s="630"/>
      <c r="RYC219" s="630"/>
      <c r="RYD219" s="630"/>
      <c r="RYE219" s="630"/>
      <c r="RYF219" s="630"/>
      <c r="RYG219" s="630"/>
      <c r="RYH219" s="630"/>
      <c r="RYI219" s="630"/>
      <c r="RYJ219" s="630"/>
      <c r="RYK219" s="630"/>
      <c r="RYL219" s="630"/>
      <c r="RYM219" s="630"/>
      <c r="RYN219" s="630"/>
      <c r="RYO219" s="630"/>
      <c r="RYP219" s="630"/>
      <c r="RYQ219" s="630"/>
      <c r="RYR219" s="630"/>
      <c r="RYS219" s="630"/>
      <c r="RYT219" s="630"/>
      <c r="RYU219" s="630"/>
      <c r="RYV219" s="630"/>
      <c r="RYW219" s="630"/>
      <c r="RYX219" s="630"/>
      <c r="RYY219" s="630"/>
      <c r="RYZ219" s="630"/>
      <c r="RZA219" s="630"/>
      <c r="RZB219" s="630"/>
      <c r="RZC219" s="630"/>
      <c r="RZD219" s="630"/>
      <c r="RZE219" s="630"/>
      <c r="RZF219" s="630"/>
      <c r="RZG219" s="630"/>
      <c r="RZH219" s="630"/>
      <c r="RZI219" s="630"/>
      <c r="RZJ219" s="630"/>
      <c r="RZK219" s="630"/>
      <c r="RZL219" s="630"/>
      <c r="RZM219" s="630"/>
      <c r="RZN219" s="630"/>
      <c r="RZO219" s="630"/>
      <c r="RZP219" s="630"/>
      <c r="RZQ219" s="630"/>
      <c r="RZR219" s="630"/>
      <c r="RZS219" s="630"/>
      <c r="RZT219" s="630"/>
      <c r="RZU219" s="630"/>
      <c r="RZV219" s="630"/>
      <c r="RZW219" s="630"/>
      <c r="RZX219" s="630"/>
      <c r="RZY219" s="630"/>
      <c r="RZZ219" s="630"/>
      <c r="SAA219" s="630"/>
      <c r="SAB219" s="630"/>
      <c r="SAC219" s="630"/>
      <c r="SAD219" s="630"/>
      <c r="SAE219" s="630"/>
      <c r="SAF219" s="630"/>
      <c r="SAG219" s="630"/>
      <c r="SAH219" s="630"/>
      <c r="SAI219" s="630"/>
      <c r="SAJ219" s="630"/>
      <c r="SAK219" s="630"/>
      <c r="SAL219" s="630"/>
      <c r="SAM219" s="630"/>
      <c r="SAN219" s="630"/>
      <c r="SAO219" s="630"/>
      <c r="SAP219" s="630"/>
      <c r="SAQ219" s="630"/>
      <c r="SAR219" s="630"/>
      <c r="SAS219" s="630"/>
      <c r="SAT219" s="630"/>
      <c r="SAU219" s="630"/>
      <c r="SAV219" s="630"/>
      <c r="SAW219" s="630"/>
      <c r="SAX219" s="630"/>
      <c r="SAY219" s="630"/>
      <c r="SAZ219" s="630"/>
      <c r="SBA219" s="630"/>
      <c r="SBB219" s="630"/>
      <c r="SBC219" s="630"/>
      <c r="SBD219" s="630"/>
      <c r="SBE219" s="630"/>
      <c r="SBF219" s="630"/>
      <c r="SBG219" s="630"/>
      <c r="SBH219" s="630"/>
      <c r="SBI219" s="630"/>
      <c r="SBJ219" s="630"/>
      <c r="SBK219" s="630"/>
      <c r="SBL219" s="630"/>
      <c r="SBM219" s="630"/>
      <c r="SBN219" s="630"/>
      <c r="SBO219" s="630"/>
      <c r="SBP219" s="630"/>
      <c r="SBQ219" s="630"/>
      <c r="SBR219" s="630"/>
      <c r="SBS219" s="630"/>
      <c r="SBT219" s="630"/>
      <c r="SBU219" s="630"/>
      <c r="SBV219" s="630"/>
      <c r="SBW219" s="630"/>
      <c r="SBX219" s="630"/>
      <c r="SBY219" s="630"/>
      <c r="SBZ219" s="630"/>
      <c r="SCA219" s="630"/>
      <c r="SCB219" s="630"/>
      <c r="SCC219" s="630"/>
      <c r="SCD219" s="630"/>
      <c r="SCE219" s="630"/>
      <c r="SCF219" s="630"/>
      <c r="SCG219" s="630"/>
      <c r="SCH219" s="630"/>
      <c r="SCI219" s="630"/>
      <c r="SCJ219" s="630"/>
      <c r="SCK219" s="630"/>
      <c r="SCL219" s="630"/>
      <c r="SCM219" s="630"/>
      <c r="SCN219" s="630"/>
      <c r="SCO219" s="630"/>
      <c r="SCP219" s="630"/>
      <c r="SCQ219" s="630"/>
      <c r="SCR219" s="630"/>
      <c r="SCS219" s="630"/>
      <c r="SCT219" s="630"/>
      <c r="SCU219" s="630"/>
      <c r="SCV219" s="630"/>
      <c r="SCW219" s="630"/>
      <c r="SCX219" s="630"/>
      <c r="SCY219" s="630"/>
      <c r="SCZ219" s="630"/>
      <c r="SDA219" s="630"/>
      <c r="SDB219" s="630"/>
      <c r="SDC219" s="630"/>
      <c r="SDD219" s="630"/>
      <c r="SDE219" s="630"/>
      <c r="SDF219" s="630"/>
      <c r="SDG219" s="630"/>
      <c r="SDH219" s="630"/>
      <c r="SDI219" s="630"/>
      <c r="SDJ219" s="630"/>
      <c r="SDK219" s="630"/>
      <c r="SDL219" s="630"/>
      <c r="SDM219" s="630"/>
      <c r="SDN219" s="630"/>
      <c r="SDO219" s="630"/>
      <c r="SDP219" s="630"/>
      <c r="SDQ219" s="630"/>
      <c r="SDR219" s="630"/>
      <c r="SDS219" s="630"/>
      <c r="SDT219" s="630"/>
      <c r="SDU219" s="630"/>
      <c r="SDV219" s="630"/>
      <c r="SDW219" s="630"/>
      <c r="SDX219" s="630"/>
      <c r="SDY219" s="630"/>
      <c r="SDZ219" s="630"/>
      <c r="SEA219" s="630"/>
      <c r="SEB219" s="630"/>
      <c r="SEC219" s="630"/>
      <c r="SED219" s="630"/>
      <c r="SEE219" s="630"/>
      <c r="SEF219" s="630"/>
      <c r="SEG219" s="630"/>
      <c r="SEH219" s="630"/>
      <c r="SEI219" s="630"/>
      <c r="SEJ219" s="630"/>
      <c r="SEK219" s="630"/>
      <c r="SEL219" s="630"/>
      <c r="SEM219" s="630"/>
      <c r="SEN219" s="630"/>
      <c r="SEO219" s="630"/>
      <c r="SEP219" s="630"/>
      <c r="SEQ219" s="630"/>
      <c r="SER219" s="630"/>
      <c r="SES219" s="630"/>
      <c r="SET219" s="630"/>
      <c r="SEU219" s="630"/>
      <c r="SEV219" s="630"/>
      <c r="SEW219" s="630"/>
      <c r="SEX219" s="630"/>
      <c r="SEY219" s="630"/>
      <c r="SEZ219" s="630"/>
      <c r="SFA219" s="630"/>
      <c r="SFB219" s="630"/>
      <c r="SFC219" s="630"/>
      <c r="SFD219" s="630"/>
      <c r="SFE219" s="630"/>
      <c r="SFF219" s="630"/>
      <c r="SFG219" s="630"/>
      <c r="SFH219" s="630"/>
      <c r="SFI219" s="630"/>
      <c r="SFJ219" s="630"/>
      <c r="SFK219" s="630"/>
      <c r="SFL219" s="630"/>
      <c r="SFM219" s="630"/>
      <c r="SFN219" s="630"/>
      <c r="SFO219" s="630"/>
      <c r="SFP219" s="630"/>
      <c r="SFQ219" s="630"/>
      <c r="SFR219" s="630"/>
      <c r="SFS219" s="630"/>
      <c r="SFT219" s="630"/>
      <c r="SFU219" s="630"/>
      <c r="SFV219" s="630"/>
      <c r="SFW219" s="630"/>
      <c r="SFX219" s="630"/>
      <c r="SFY219" s="630"/>
      <c r="SFZ219" s="630"/>
      <c r="SGA219" s="630"/>
      <c r="SGB219" s="630"/>
      <c r="SGC219" s="630"/>
      <c r="SGD219" s="630"/>
      <c r="SGE219" s="630"/>
      <c r="SGF219" s="630"/>
      <c r="SGG219" s="630"/>
      <c r="SGH219" s="630"/>
      <c r="SGI219" s="630"/>
      <c r="SGJ219" s="630"/>
      <c r="SGK219" s="630"/>
      <c r="SGL219" s="630"/>
      <c r="SGM219" s="630"/>
      <c r="SGN219" s="630"/>
      <c r="SGO219" s="630"/>
      <c r="SGP219" s="630"/>
      <c r="SGQ219" s="630"/>
      <c r="SGR219" s="630"/>
      <c r="SGS219" s="630"/>
      <c r="SGT219" s="630"/>
      <c r="SGU219" s="630"/>
      <c r="SGV219" s="630"/>
      <c r="SGW219" s="630"/>
      <c r="SGX219" s="630"/>
      <c r="SGY219" s="630"/>
      <c r="SGZ219" s="630"/>
      <c r="SHA219" s="630"/>
      <c r="SHB219" s="630"/>
      <c r="SHC219" s="630"/>
      <c r="SHD219" s="630"/>
      <c r="SHE219" s="630"/>
      <c r="SHF219" s="630"/>
      <c r="SHG219" s="630"/>
      <c r="SHH219" s="630"/>
      <c r="SHI219" s="630"/>
      <c r="SHJ219" s="630"/>
      <c r="SHK219" s="630"/>
      <c r="SHL219" s="630"/>
      <c r="SHM219" s="630"/>
      <c r="SHN219" s="630"/>
      <c r="SHO219" s="630"/>
      <c r="SHP219" s="630"/>
      <c r="SHQ219" s="630"/>
      <c r="SHR219" s="630"/>
      <c r="SHS219" s="630"/>
      <c r="SHT219" s="630"/>
      <c r="SHU219" s="630"/>
      <c r="SHV219" s="630"/>
      <c r="SHW219" s="630"/>
      <c r="SHX219" s="630"/>
      <c r="SHY219" s="630"/>
      <c r="SHZ219" s="630"/>
      <c r="SIA219" s="630"/>
      <c r="SIB219" s="630"/>
      <c r="SIC219" s="630"/>
      <c r="SID219" s="630"/>
      <c r="SIE219" s="630"/>
      <c r="SIF219" s="630"/>
      <c r="SIG219" s="630"/>
      <c r="SIH219" s="630"/>
      <c r="SII219" s="630"/>
      <c r="SIJ219" s="630"/>
      <c r="SIK219" s="630"/>
      <c r="SIL219" s="630"/>
      <c r="SIM219" s="630"/>
      <c r="SIN219" s="630"/>
      <c r="SIO219" s="630"/>
      <c r="SIP219" s="630"/>
      <c r="SIQ219" s="630"/>
      <c r="SIR219" s="630"/>
      <c r="SIS219" s="630"/>
      <c r="SIT219" s="630"/>
      <c r="SIU219" s="630"/>
      <c r="SIV219" s="630"/>
      <c r="SIW219" s="630"/>
      <c r="SIX219" s="630"/>
      <c r="SIY219" s="630"/>
      <c r="SIZ219" s="630"/>
      <c r="SJA219" s="630"/>
      <c r="SJB219" s="630"/>
      <c r="SJC219" s="630"/>
      <c r="SJD219" s="630"/>
      <c r="SJE219" s="630"/>
      <c r="SJF219" s="630"/>
      <c r="SJG219" s="630"/>
      <c r="SJH219" s="630"/>
      <c r="SJI219" s="630"/>
      <c r="SJJ219" s="630"/>
      <c r="SJK219" s="630"/>
      <c r="SJL219" s="630"/>
      <c r="SJM219" s="630"/>
      <c r="SJN219" s="630"/>
      <c r="SJO219" s="630"/>
      <c r="SJP219" s="630"/>
      <c r="SJQ219" s="630"/>
      <c r="SJR219" s="630"/>
      <c r="SJS219" s="630"/>
      <c r="SJT219" s="630"/>
      <c r="SJU219" s="630"/>
      <c r="SJV219" s="630"/>
      <c r="SJW219" s="630"/>
      <c r="SJX219" s="630"/>
      <c r="SJY219" s="630"/>
      <c r="SJZ219" s="630"/>
      <c r="SKA219" s="630"/>
      <c r="SKB219" s="630"/>
      <c r="SKC219" s="630"/>
      <c r="SKD219" s="630"/>
      <c r="SKE219" s="630"/>
      <c r="SKF219" s="630"/>
      <c r="SKG219" s="630"/>
      <c r="SKH219" s="630"/>
      <c r="SKI219" s="630"/>
      <c r="SKJ219" s="630"/>
      <c r="SKK219" s="630"/>
      <c r="SKL219" s="630"/>
      <c r="SKM219" s="630"/>
      <c r="SKN219" s="630"/>
      <c r="SKO219" s="630"/>
      <c r="SKP219" s="630"/>
      <c r="SKQ219" s="630"/>
      <c r="SKR219" s="630"/>
      <c r="SKS219" s="630"/>
      <c r="SKT219" s="630"/>
      <c r="SKU219" s="630"/>
      <c r="SKV219" s="630"/>
      <c r="SKW219" s="630"/>
      <c r="SKX219" s="630"/>
      <c r="SKY219" s="630"/>
      <c r="SKZ219" s="630"/>
      <c r="SLA219" s="630"/>
      <c r="SLB219" s="630"/>
      <c r="SLC219" s="630"/>
      <c r="SLD219" s="630"/>
      <c r="SLE219" s="630"/>
      <c r="SLF219" s="630"/>
      <c r="SLG219" s="630"/>
      <c r="SLH219" s="630"/>
      <c r="SLI219" s="630"/>
      <c r="SLJ219" s="630"/>
      <c r="SLK219" s="630"/>
      <c r="SLL219" s="630"/>
      <c r="SLM219" s="630"/>
      <c r="SLN219" s="630"/>
      <c r="SLO219" s="630"/>
      <c r="SLP219" s="630"/>
      <c r="SLQ219" s="630"/>
      <c r="SLR219" s="630"/>
      <c r="SLS219" s="630"/>
      <c r="SLT219" s="630"/>
      <c r="SLU219" s="630"/>
      <c r="SLV219" s="630"/>
      <c r="SLW219" s="630"/>
      <c r="SLX219" s="630"/>
      <c r="SLY219" s="630"/>
      <c r="SLZ219" s="630"/>
      <c r="SMA219" s="630"/>
      <c r="SMB219" s="630"/>
      <c r="SMC219" s="630"/>
      <c r="SMD219" s="630"/>
      <c r="SME219" s="630"/>
      <c r="SMF219" s="630"/>
      <c r="SMG219" s="630"/>
      <c r="SMH219" s="630"/>
      <c r="SMI219" s="630"/>
      <c r="SMJ219" s="630"/>
      <c r="SMK219" s="630"/>
      <c r="SML219" s="630"/>
      <c r="SMM219" s="630"/>
      <c r="SMN219" s="630"/>
      <c r="SMO219" s="630"/>
      <c r="SMP219" s="630"/>
      <c r="SMQ219" s="630"/>
      <c r="SMR219" s="630"/>
      <c r="SMS219" s="630"/>
      <c r="SMT219" s="630"/>
      <c r="SMU219" s="630"/>
      <c r="SMV219" s="630"/>
      <c r="SMW219" s="630"/>
      <c r="SMX219" s="630"/>
      <c r="SMY219" s="630"/>
      <c r="SMZ219" s="630"/>
      <c r="SNA219" s="630"/>
      <c r="SNB219" s="630"/>
      <c r="SNC219" s="630"/>
      <c r="SND219" s="630"/>
      <c r="SNE219" s="630"/>
      <c r="SNF219" s="630"/>
      <c r="SNG219" s="630"/>
      <c r="SNH219" s="630"/>
      <c r="SNI219" s="630"/>
      <c r="SNJ219" s="630"/>
      <c r="SNK219" s="630"/>
      <c r="SNL219" s="630"/>
      <c r="SNM219" s="630"/>
      <c r="SNN219" s="630"/>
      <c r="SNO219" s="630"/>
      <c r="SNP219" s="630"/>
      <c r="SNQ219" s="630"/>
      <c r="SNR219" s="630"/>
      <c r="SNS219" s="630"/>
      <c r="SNT219" s="630"/>
      <c r="SNU219" s="630"/>
      <c r="SNV219" s="630"/>
      <c r="SNW219" s="630"/>
      <c r="SNX219" s="630"/>
      <c r="SNY219" s="630"/>
      <c r="SNZ219" s="630"/>
      <c r="SOA219" s="630"/>
      <c r="SOB219" s="630"/>
      <c r="SOC219" s="630"/>
      <c r="SOD219" s="630"/>
      <c r="SOE219" s="630"/>
      <c r="SOF219" s="630"/>
      <c r="SOG219" s="630"/>
      <c r="SOH219" s="630"/>
      <c r="SOI219" s="630"/>
      <c r="SOJ219" s="630"/>
      <c r="SOK219" s="630"/>
      <c r="SOL219" s="630"/>
      <c r="SOM219" s="630"/>
      <c r="SON219" s="630"/>
      <c r="SOO219" s="630"/>
      <c r="SOP219" s="630"/>
      <c r="SOQ219" s="630"/>
      <c r="SOR219" s="630"/>
      <c r="SOS219" s="630"/>
      <c r="SOT219" s="630"/>
      <c r="SOU219" s="630"/>
      <c r="SOV219" s="630"/>
      <c r="SOW219" s="630"/>
      <c r="SOX219" s="630"/>
      <c r="SOY219" s="630"/>
      <c r="SOZ219" s="630"/>
      <c r="SPA219" s="630"/>
      <c r="SPB219" s="630"/>
      <c r="SPC219" s="630"/>
      <c r="SPD219" s="630"/>
      <c r="SPE219" s="630"/>
      <c r="SPF219" s="630"/>
      <c r="SPG219" s="630"/>
      <c r="SPH219" s="630"/>
      <c r="SPI219" s="630"/>
      <c r="SPJ219" s="630"/>
      <c r="SPK219" s="630"/>
      <c r="SPL219" s="630"/>
      <c r="SPM219" s="630"/>
      <c r="SPN219" s="630"/>
      <c r="SPO219" s="630"/>
      <c r="SPP219" s="630"/>
      <c r="SPQ219" s="630"/>
      <c r="SPR219" s="630"/>
      <c r="SPS219" s="630"/>
      <c r="SPT219" s="630"/>
      <c r="SPU219" s="630"/>
      <c r="SPV219" s="630"/>
      <c r="SPW219" s="630"/>
      <c r="SPX219" s="630"/>
      <c r="SPY219" s="630"/>
      <c r="SPZ219" s="630"/>
      <c r="SQA219" s="630"/>
      <c r="SQB219" s="630"/>
      <c r="SQC219" s="630"/>
      <c r="SQD219" s="630"/>
      <c r="SQE219" s="630"/>
      <c r="SQF219" s="630"/>
      <c r="SQG219" s="630"/>
      <c r="SQH219" s="630"/>
      <c r="SQI219" s="630"/>
      <c r="SQJ219" s="630"/>
      <c r="SQK219" s="630"/>
      <c r="SQL219" s="630"/>
      <c r="SQM219" s="630"/>
      <c r="SQN219" s="630"/>
      <c r="SQO219" s="630"/>
      <c r="SQP219" s="630"/>
      <c r="SQQ219" s="630"/>
      <c r="SQR219" s="630"/>
      <c r="SQS219" s="630"/>
      <c r="SQT219" s="630"/>
      <c r="SQU219" s="630"/>
      <c r="SQV219" s="630"/>
      <c r="SQW219" s="630"/>
      <c r="SQX219" s="630"/>
      <c r="SQY219" s="630"/>
      <c r="SQZ219" s="630"/>
      <c r="SRA219" s="630"/>
      <c r="SRB219" s="630"/>
      <c r="SRC219" s="630"/>
      <c r="SRD219" s="630"/>
      <c r="SRE219" s="630"/>
      <c r="SRF219" s="630"/>
      <c r="SRG219" s="630"/>
      <c r="SRH219" s="630"/>
      <c r="SRI219" s="630"/>
      <c r="SRJ219" s="630"/>
      <c r="SRK219" s="630"/>
      <c r="SRL219" s="630"/>
      <c r="SRM219" s="630"/>
      <c r="SRN219" s="630"/>
      <c r="SRO219" s="630"/>
      <c r="SRP219" s="630"/>
      <c r="SRQ219" s="630"/>
      <c r="SRR219" s="630"/>
      <c r="SRS219" s="630"/>
      <c r="SRT219" s="630"/>
      <c r="SRU219" s="630"/>
      <c r="SRV219" s="630"/>
      <c r="SRW219" s="630"/>
      <c r="SRX219" s="630"/>
      <c r="SRY219" s="630"/>
      <c r="SRZ219" s="630"/>
      <c r="SSA219" s="630"/>
      <c r="SSB219" s="630"/>
      <c r="SSC219" s="630"/>
      <c r="SSD219" s="630"/>
      <c r="SSE219" s="630"/>
      <c r="SSF219" s="630"/>
      <c r="SSG219" s="630"/>
      <c r="SSH219" s="630"/>
      <c r="SSI219" s="630"/>
      <c r="SSJ219" s="630"/>
      <c r="SSK219" s="630"/>
      <c r="SSL219" s="630"/>
      <c r="SSM219" s="630"/>
      <c r="SSN219" s="630"/>
      <c r="SSO219" s="630"/>
      <c r="SSP219" s="630"/>
      <c r="SSQ219" s="630"/>
      <c r="SSR219" s="630"/>
      <c r="SSS219" s="630"/>
      <c r="SST219" s="630"/>
      <c r="SSU219" s="630"/>
      <c r="SSV219" s="630"/>
      <c r="SSW219" s="630"/>
      <c r="SSX219" s="630"/>
      <c r="SSY219" s="630"/>
      <c r="SSZ219" s="630"/>
      <c r="STA219" s="630"/>
      <c r="STB219" s="630"/>
      <c r="STC219" s="630"/>
      <c r="STD219" s="630"/>
      <c r="STE219" s="630"/>
      <c r="STF219" s="630"/>
      <c r="STG219" s="630"/>
      <c r="STH219" s="630"/>
      <c r="STI219" s="630"/>
      <c r="STJ219" s="630"/>
      <c r="STK219" s="630"/>
      <c r="STL219" s="630"/>
      <c r="STM219" s="630"/>
      <c r="STN219" s="630"/>
      <c r="STO219" s="630"/>
      <c r="STP219" s="630"/>
      <c r="STQ219" s="630"/>
      <c r="STR219" s="630"/>
      <c r="STS219" s="630"/>
      <c r="STT219" s="630"/>
      <c r="STU219" s="630"/>
      <c r="STV219" s="630"/>
      <c r="STW219" s="630"/>
      <c r="STX219" s="630"/>
      <c r="STY219" s="630"/>
      <c r="STZ219" s="630"/>
      <c r="SUA219" s="630"/>
      <c r="SUB219" s="630"/>
      <c r="SUC219" s="630"/>
      <c r="SUD219" s="630"/>
      <c r="SUE219" s="630"/>
      <c r="SUF219" s="630"/>
      <c r="SUG219" s="630"/>
      <c r="SUH219" s="630"/>
      <c r="SUI219" s="630"/>
      <c r="SUJ219" s="630"/>
      <c r="SUK219" s="630"/>
      <c r="SUL219" s="630"/>
      <c r="SUM219" s="630"/>
      <c r="SUN219" s="630"/>
      <c r="SUO219" s="630"/>
      <c r="SUP219" s="630"/>
      <c r="SUQ219" s="630"/>
      <c r="SUR219" s="630"/>
      <c r="SUS219" s="630"/>
      <c r="SUT219" s="630"/>
      <c r="SUU219" s="630"/>
      <c r="SUV219" s="630"/>
      <c r="SUW219" s="630"/>
      <c r="SUX219" s="630"/>
      <c r="SUY219" s="630"/>
      <c r="SUZ219" s="630"/>
      <c r="SVA219" s="630"/>
      <c r="SVB219" s="630"/>
      <c r="SVC219" s="630"/>
      <c r="SVD219" s="630"/>
      <c r="SVE219" s="630"/>
      <c r="SVF219" s="630"/>
      <c r="SVG219" s="630"/>
      <c r="SVH219" s="630"/>
      <c r="SVI219" s="630"/>
      <c r="SVJ219" s="630"/>
      <c r="SVK219" s="630"/>
      <c r="SVL219" s="630"/>
      <c r="SVM219" s="630"/>
      <c r="SVN219" s="630"/>
      <c r="SVO219" s="630"/>
      <c r="SVP219" s="630"/>
      <c r="SVQ219" s="630"/>
      <c r="SVR219" s="630"/>
      <c r="SVS219" s="630"/>
      <c r="SVT219" s="630"/>
      <c r="SVU219" s="630"/>
      <c r="SVV219" s="630"/>
      <c r="SVW219" s="630"/>
      <c r="SVX219" s="630"/>
      <c r="SVY219" s="630"/>
      <c r="SVZ219" s="630"/>
      <c r="SWA219" s="630"/>
      <c r="SWB219" s="630"/>
      <c r="SWC219" s="630"/>
      <c r="SWD219" s="630"/>
      <c r="SWE219" s="630"/>
      <c r="SWF219" s="630"/>
      <c r="SWG219" s="630"/>
      <c r="SWH219" s="630"/>
      <c r="SWI219" s="630"/>
      <c r="SWJ219" s="630"/>
      <c r="SWK219" s="630"/>
      <c r="SWL219" s="630"/>
      <c r="SWM219" s="630"/>
      <c r="SWN219" s="630"/>
      <c r="SWO219" s="630"/>
      <c r="SWP219" s="630"/>
      <c r="SWQ219" s="630"/>
      <c r="SWR219" s="630"/>
      <c r="SWS219" s="630"/>
      <c r="SWT219" s="630"/>
      <c r="SWU219" s="630"/>
      <c r="SWV219" s="630"/>
      <c r="SWW219" s="630"/>
      <c r="SWX219" s="630"/>
      <c r="SWY219" s="630"/>
      <c r="SWZ219" s="630"/>
      <c r="SXA219" s="630"/>
      <c r="SXB219" s="630"/>
      <c r="SXC219" s="630"/>
      <c r="SXD219" s="630"/>
      <c r="SXE219" s="630"/>
      <c r="SXF219" s="630"/>
      <c r="SXG219" s="630"/>
      <c r="SXH219" s="630"/>
      <c r="SXI219" s="630"/>
      <c r="SXJ219" s="630"/>
      <c r="SXK219" s="630"/>
      <c r="SXL219" s="630"/>
      <c r="SXM219" s="630"/>
      <c r="SXN219" s="630"/>
      <c r="SXO219" s="630"/>
      <c r="SXP219" s="630"/>
      <c r="SXQ219" s="630"/>
      <c r="SXR219" s="630"/>
      <c r="SXS219" s="630"/>
      <c r="SXT219" s="630"/>
      <c r="SXU219" s="630"/>
      <c r="SXV219" s="630"/>
      <c r="SXW219" s="630"/>
      <c r="SXX219" s="630"/>
      <c r="SXY219" s="630"/>
      <c r="SXZ219" s="630"/>
      <c r="SYA219" s="630"/>
      <c r="SYB219" s="630"/>
      <c r="SYC219" s="630"/>
      <c r="SYD219" s="630"/>
      <c r="SYE219" s="630"/>
      <c r="SYF219" s="630"/>
      <c r="SYG219" s="630"/>
      <c r="SYH219" s="630"/>
      <c r="SYI219" s="630"/>
      <c r="SYJ219" s="630"/>
      <c r="SYK219" s="630"/>
      <c r="SYL219" s="630"/>
      <c r="SYM219" s="630"/>
      <c r="SYN219" s="630"/>
      <c r="SYO219" s="630"/>
      <c r="SYP219" s="630"/>
      <c r="SYQ219" s="630"/>
      <c r="SYR219" s="630"/>
      <c r="SYS219" s="630"/>
      <c r="SYT219" s="630"/>
      <c r="SYU219" s="630"/>
      <c r="SYV219" s="630"/>
      <c r="SYW219" s="630"/>
      <c r="SYX219" s="630"/>
      <c r="SYY219" s="630"/>
      <c r="SYZ219" s="630"/>
      <c r="SZA219" s="630"/>
      <c r="SZB219" s="630"/>
      <c r="SZC219" s="630"/>
      <c r="SZD219" s="630"/>
      <c r="SZE219" s="630"/>
      <c r="SZF219" s="630"/>
      <c r="SZG219" s="630"/>
      <c r="SZH219" s="630"/>
      <c r="SZI219" s="630"/>
      <c r="SZJ219" s="630"/>
      <c r="SZK219" s="630"/>
      <c r="SZL219" s="630"/>
      <c r="SZM219" s="630"/>
      <c r="SZN219" s="630"/>
      <c r="SZO219" s="630"/>
      <c r="SZP219" s="630"/>
      <c r="SZQ219" s="630"/>
      <c r="SZR219" s="630"/>
      <c r="SZS219" s="630"/>
      <c r="SZT219" s="630"/>
      <c r="SZU219" s="630"/>
      <c r="SZV219" s="630"/>
      <c r="SZW219" s="630"/>
      <c r="SZX219" s="630"/>
      <c r="SZY219" s="630"/>
      <c r="SZZ219" s="630"/>
      <c r="TAA219" s="630"/>
      <c r="TAB219" s="630"/>
      <c r="TAC219" s="630"/>
      <c r="TAD219" s="630"/>
      <c r="TAE219" s="630"/>
      <c r="TAF219" s="630"/>
      <c r="TAG219" s="630"/>
      <c r="TAH219" s="630"/>
      <c r="TAI219" s="630"/>
      <c r="TAJ219" s="630"/>
      <c r="TAK219" s="630"/>
      <c r="TAL219" s="630"/>
      <c r="TAM219" s="630"/>
      <c r="TAN219" s="630"/>
      <c r="TAO219" s="630"/>
      <c r="TAP219" s="630"/>
      <c r="TAQ219" s="630"/>
      <c r="TAR219" s="630"/>
      <c r="TAS219" s="630"/>
      <c r="TAT219" s="630"/>
      <c r="TAU219" s="630"/>
      <c r="TAV219" s="630"/>
      <c r="TAW219" s="630"/>
      <c r="TAX219" s="630"/>
      <c r="TAY219" s="630"/>
      <c r="TAZ219" s="630"/>
      <c r="TBA219" s="630"/>
      <c r="TBB219" s="630"/>
      <c r="TBC219" s="630"/>
      <c r="TBD219" s="630"/>
      <c r="TBE219" s="630"/>
      <c r="TBF219" s="630"/>
      <c r="TBG219" s="630"/>
      <c r="TBH219" s="630"/>
      <c r="TBI219" s="630"/>
      <c r="TBJ219" s="630"/>
      <c r="TBK219" s="630"/>
      <c r="TBL219" s="630"/>
      <c r="TBM219" s="630"/>
      <c r="TBN219" s="630"/>
      <c r="TBO219" s="630"/>
      <c r="TBP219" s="630"/>
      <c r="TBQ219" s="630"/>
      <c r="TBR219" s="630"/>
      <c r="TBS219" s="630"/>
      <c r="TBT219" s="630"/>
      <c r="TBU219" s="630"/>
      <c r="TBV219" s="630"/>
      <c r="TBW219" s="630"/>
      <c r="TBX219" s="630"/>
      <c r="TBY219" s="630"/>
      <c r="TBZ219" s="630"/>
      <c r="TCA219" s="630"/>
      <c r="TCB219" s="630"/>
      <c r="TCC219" s="630"/>
      <c r="TCD219" s="630"/>
      <c r="TCE219" s="630"/>
      <c r="TCF219" s="630"/>
      <c r="TCG219" s="630"/>
      <c r="TCH219" s="630"/>
      <c r="TCI219" s="630"/>
      <c r="TCJ219" s="630"/>
      <c r="TCK219" s="630"/>
      <c r="TCL219" s="630"/>
      <c r="TCM219" s="630"/>
      <c r="TCN219" s="630"/>
      <c r="TCO219" s="630"/>
      <c r="TCP219" s="630"/>
      <c r="TCQ219" s="630"/>
      <c r="TCR219" s="630"/>
      <c r="TCS219" s="630"/>
      <c r="TCT219" s="630"/>
      <c r="TCU219" s="630"/>
      <c r="TCV219" s="630"/>
      <c r="TCW219" s="630"/>
      <c r="TCX219" s="630"/>
      <c r="TCY219" s="630"/>
      <c r="TCZ219" s="630"/>
      <c r="TDA219" s="630"/>
      <c r="TDB219" s="630"/>
      <c r="TDC219" s="630"/>
      <c r="TDD219" s="630"/>
      <c r="TDE219" s="630"/>
      <c r="TDF219" s="630"/>
      <c r="TDG219" s="630"/>
      <c r="TDH219" s="630"/>
      <c r="TDI219" s="630"/>
      <c r="TDJ219" s="630"/>
      <c r="TDK219" s="630"/>
      <c r="TDL219" s="630"/>
      <c r="TDM219" s="630"/>
      <c r="TDN219" s="630"/>
      <c r="TDO219" s="630"/>
      <c r="TDP219" s="630"/>
      <c r="TDQ219" s="630"/>
      <c r="TDR219" s="630"/>
      <c r="TDS219" s="630"/>
      <c r="TDT219" s="630"/>
      <c r="TDU219" s="630"/>
      <c r="TDV219" s="630"/>
      <c r="TDW219" s="630"/>
      <c r="TDX219" s="630"/>
      <c r="TDY219" s="630"/>
      <c r="TDZ219" s="630"/>
      <c r="TEA219" s="630"/>
      <c r="TEB219" s="630"/>
      <c r="TEC219" s="630"/>
      <c r="TED219" s="630"/>
      <c r="TEE219" s="630"/>
      <c r="TEF219" s="630"/>
      <c r="TEG219" s="630"/>
      <c r="TEH219" s="630"/>
      <c r="TEI219" s="630"/>
      <c r="TEJ219" s="630"/>
      <c r="TEK219" s="630"/>
      <c r="TEL219" s="630"/>
      <c r="TEM219" s="630"/>
      <c r="TEN219" s="630"/>
      <c r="TEO219" s="630"/>
      <c r="TEP219" s="630"/>
      <c r="TEQ219" s="630"/>
      <c r="TER219" s="630"/>
      <c r="TES219" s="630"/>
      <c r="TET219" s="630"/>
      <c r="TEU219" s="630"/>
      <c r="TEV219" s="630"/>
      <c r="TEW219" s="630"/>
      <c r="TEX219" s="630"/>
      <c r="TEY219" s="630"/>
      <c r="TEZ219" s="630"/>
      <c r="TFA219" s="630"/>
      <c r="TFB219" s="630"/>
      <c r="TFC219" s="630"/>
      <c r="TFD219" s="630"/>
      <c r="TFE219" s="630"/>
      <c r="TFF219" s="630"/>
      <c r="TFG219" s="630"/>
      <c r="TFH219" s="630"/>
      <c r="TFI219" s="630"/>
      <c r="TFJ219" s="630"/>
      <c r="TFK219" s="630"/>
      <c r="TFL219" s="630"/>
      <c r="TFM219" s="630"/>
      <c r="TFN219" s="630"/>
      <c r="TFO219" s="630"/>
      <c r="TFP219" s="630"/>
      <c r="TFQ219" s="630"/>
      <c r="TFR219" s="630"/>
      <c r="TFS219" s="630"/>
      <c r="TFT219" s="630"/>
      <c r="TFU219" s="630"/>
      <c r="TFV219" s="630"/>
      <c r="TFW219" s="630"/>
      <c r="TFX219" s="630"/>
      <c r="TFY219" s="630"/>
      <c r="TFZ219" s="630"/>
      <c r="TGA219" s="630"/>
      <c r="TGB219" s="630"/>
      <c r="TGC219" s="630"/>
      <c r="TGD219" s="630"/>
      <c r="TGE219" s="630"/>
      <c r="TGF219" s="630"/>
      <c r="TGG219" s="630"/>
      <c r="TGH219" s="630"/>
      <c r="TGI219" s="630"/>
      <c r="TGJ219" s="630"/>
      <c r="TGK219" s="630"/>
      <c r="TGL219" s="630"/>
      <c r="TGM219" s="630"/>
      <c r="TGN219" s="630"/>
      <c r="TGO219" s="630"/>
      <c r="TGP219" s="630"/>
      <c r="TGQ219" s="630"/>
      <c r="TGR219" s="630"/>
      <c r="TGS219" s="630"/>
      <c r="TGT219" s="630"/>
      <c r="TGU219" s="630"/>
      <c r="TGV219" s="630"/>
      <c r="TGW219" s="630"/>
      <c r="TGX219" s="630"/>
      <c r="TGY219" s="630"/>
      <c r="TGZ219" s="630"/>
      <c r="THA219" s="630"/>
      <c r="THB219" s="630"/>
      <c r="THC219" s="630"/>
      <c r="THD219" s="630"/>
      <c r="THE219" s="630"/>
      <c r="THF219" s="630"/>
      <c r="THG219" s="630"/>
      <c r="THH219" s="630"/>
      <c r="THI219" s="630"/>
      <c r="THJ219" s="630"/>
      <c r="THK219" s="630"/>
      <c r="THL219" s="630"/>
      <c r="THM219" s="630"/>
      <c r="THN219" s="630"/>
      <c r="THO219" s="630"/>
      <c r="THP219" s="630"/>
      <c r="THQ219" s="630"/>
      <c r="THR219" s="630"/>
      <c r="THS219" s="630"/>
      <c r="THT219" s="630"/>
      <c r="THU219" s="630"/>
      <c r="THV219" s="630"/>
      <c r="THW219" s="630"/>
      <c r="THX219" s="630"/>
      <c r="THY219" s="630"/>
      <c r="THZ219" s="630"/>
      <c r="TIA219" s="630"/>
      <c r="TIB219" s="630"/>
      <c r="TIC219" s="630"/>
      <c r="TID219" s="630"/>
      <c r="TIE219" s="630"/>
      <c r="TIF219" s="630"/>
      <c r="TIG219" s="630"/>
      <c r="TIH219" s="630"/>
      <c r="TII219" s="630"/>
      <c r="TIJ219" s="630"/>
      <c r="TIK219" s="630"/>
      <c r="TIL219" s="630"/>
      <c r="TIM219" s="630"/>
      <c r="TIN219" s="630"/>
      <c r="TIO219" s="630"/>
      <c r="TIP219" s="630"/>
      <c r="TIQ219" s="630"/>
      <c r="TIR219" s="630"/>
      <c r="TIS219" s="630"/>
      <c r="TIT219" s="630"/>
      <c r="TIU219" s="630"/>
      <c r="TIV219" s="630"/>
      <c r="TIW219" s="630"/>
      <c r="TIX219" s="630"/>
      <c r="TIY219" s="630"/>
      <c r="TIZ219" s="630"/>
      <c r="TJA219" s="630"/>
      <c r="TJB219" s="630"/>
      <c r="TJC219" s="630"/>
      <c r="TJD219" s="630"/>
      <c r="TJE219" s="630"/>
      <c r="TJF219" s="630"/>
      <c r="TJG219" s="630"/>
      <c r="TJH219" s="630"/>
      <c r="TJI219" s="630"/>
      <c r="TJJ219" s="630"/>
      <c r="TJK219" s="630"/>
      <c r="TJL219" s="630"/>
      <c r="TJM219" s="630"/>
      <c r="TJN219" s="630"/>
      <c r="TJO219" s="630"/>
      <c r="TJP219" s="630"/>
      <c r="TJQ219" s="630"/>
      <c r="TJR219" s="630"/>
      <c r="TJS219" s="630"/>
      <c r="TJT219" s="630"/>
      <c r="TJU219" s="630"/>
      <c r="TJV219" s="630"/>
      <c r="TJW219" s="630"/>
      <c r="TJX219" s="630"/>
      <c r="TJY219" s="630"/>
      <c r="TJZ219" s="630"/>
      <c r="TKA219" s="630"/>
      <c r="TKB219" s="630"/>
      <c r="TKC219" s="630"/>
      <c r="TKD219" s="630"/>
      <c r="TKE219" s="630"/>
      <c r="TKF219" s="630"/>
      <c r="TKG219" s="630"/>
      <c r="TKH219" s="630"/>
      <c r="TKI219" s="630"/>
      <c r="TKJ219" s="630"/>
      <c r="TKK219" s="630"/>
      <c r="TKL219" s="630"/>
      <c r="TKM219" s="630"/>
      <c r="TKN219" s="630"/>
      <c r="TKO219" s="630"/>
      <c r="TKP219" s="630"/>
      <c r="TKQ219" s="630"/>
      <c r="TKR219" s="630"/>
      <c r="TKS219" s="630"/>
      <c r="TKT219" s="630"/>
      <c r="TKU219" s="630"/>
      <c r="TKV219" s="630"/>
      <c r="TKW219" s="630"/>
      <c r="TKX219" s="630"/>
      <c r="TKY219" s="630"/>
      <c r="TKZ219" s="630"/>
      <c r="TLA219" s="630"/>
      <c r="TLB219" s="630"/>
      <c r="TLC219" s="630"/>
      <c r="TLD219" s="630"/>
      <c r="TLE219" s="630"/>
      <c r="TLF219" s="630"/>
      <c r="TLG219" s="630"/>
      <c r="TLH219" s="630"/>
      <c r="TLI219" s="630"/>
      <c r="TLJ219" s="630"/>
      <c r="TLK219" s="630"/>
      <c r="TLL219" s="630"/>
      <c r="TLM219" s="630"/>
      <c r="TLN219" s="630"/>
      <c r="TLO219" s="630"/>
      <c r="TLP219" s="630"/>
      <c r="TLQ219" s="630"/>
      <c r="TLR219" s="630"/>
      <c r="TLS219" s="630"/>
      <c r="TLT219" s="630"/>
      <c r="TLU219" s="630"/>
      <c r="TLV219" s="630"/>
      <c r="TLW219" s="630"/>
      <c r="TLX219" s="630"/>
      <c r="TLY219" s="630"/>
      <c r="TLZ219" s="630"/>
      <c r="TMA219" s="630"/>
      <c r="TMB219" s="630"/>
      <c r="TMC219" s="630"/>
      <c r="TMD219" s="630"/>
      <c r="TME219" s="630"/>
      <c r="TMF219" s="630"/>
      <c r="TMG219" s="630"/>
      <c r="TMH219" s="630"/>
      <c r="TMI219" s="630"/>
      <c r="TMJ219" s="630"/>
      <c r="TMK219" s="630"/>
      <c r="TML219" s="630"/>
      <c r="TMM219" s="630"/>
      <c r="TMN219" s="630"/>
      <c r="TMO219" s="630"/>
      <c r="TMP219" s="630"/>
      <c r="TMQ219" s="630"/>
      <c r="TMR219" s="630"/>
      <c r="TMS219" s="630"/>
      <c r="TMT219" s="630"/>
      <c r="TMU219" s="630"/>
      <c r="TMV219" s="630"/>
      <c r="TMW219" s="630"/>
      <c r="TMX219" s="630"/>
      <c r="TMY219" s="630"/>
      <c r="TMZ219" s="630"/>
      <c r="TNA219" s="630"/>
      <c r="TNB219" s="630"/>
      <c r="TNC219" s="630"/>
      <c r="TND219" s="630"/>
      <c r="TNE219" s="630"/>
      <c r="TNF219" s="630"/>
      <c r="TNG219" s="630"/>
      <c r="TNH219" s="630"/>
      <c r="TNI219" s="630"/>
      <c r="TNJ219" s="630"/>
      <c r="TNK219" s="630"/>
      <c r="TNL219" s="630"/>
      <c r="TNM219" s="630"/>
      <c r="TNN219" s="630"/>
      <c r="TNO219" s="630"/>
      <c r="TNP219" s="630"/>
      <c r="TNQ219" s="630"/>
      <c r="TNR219" s="630"/>
      <c r="TNS219" s="630"/>
      <c r="TNT219" s="630"/>
      <c r="TNU219" s="630"/>
      <c r="TNV219" s="630"/>
      <c r="TNW219" s="630"/>
      <c r="TNX219" s="630"/>
      <c r="TNY219" s="630"/>
      <c r="TNZ219" s="630"/>
      <c r="TOA219" s="630"/>
      <c r="TOB219" s="630"/>
      <c r="TOC219" s="630"/>
      <c r="TOD219" s="630"/>
      <c r="TOE219" s="630"/>
      <c r="TOF219" s="630"/>
      <c r="TOG219" s="630"/>
      <c r="TOH219" s="630"/>
      <c r="TOI219" s="630"/>
      <c r="TOJ219" s="630"/>
      <c r="TOK219" s="630"/>
      <c r="TOL219" s="630"/>
      <c r="TOM219" s="630"/>
      <c r="TON219" s="630"/>
      <c r="TOO219" s="630"/>
      <c r="TOP219" s="630"/>
      <c r="TOQ219" s="630"/>
      <c r="TOR219" s="630"/>
      <c r="TOS219" s="630"/>
      <c r="TOT219" s="630"/>
      <c r="TOU219" s="630"/>
      <c r="TOV219" s="630"/>
      <c r="TOW219" s="630"/>
      <c r="TOX219" s="630"/>
      <c r="TOY219" s="630"/>
      <c r="TOZ219" s="630"/>
      <c r="TPA219" s="630"/>
      <c r="TPB219" s="630"/>
      <c r="TPC219" s="630"/>
      <c r="TPD219" s="630"/>
      <c r="TPE219" s="630"/>
      <c r="TPF219" s="630"/>
      <c r="TPG219" s="630"/>
      <c r="TPH219" s="630"/>
      <c r="TPI219" s="630"/>
      <c r="TPJ219" s="630"/>
      <c r="TPK219" s="630"/>
      <c r="TPL219" s="630"/>
      <c r="TPM219" s="630"/>
      <c r="TPN219" s="630"/>
      <c r="TPO219" s="630"/>
      <c r="TPP219" s="630"/>
      <c r="TPQ219" s="630"/>
      <c r="TPR219" s="630"/>
      <c r="TPS219" s="630"/>
      <c r="TPT219" s="630"/>
      <c r="TPU219" s="630"/>
      <c r="TPV219" s="630"/>
      <c r="TPW219" s="630"/>
      <c r="TPX219" s="630"/>
      <c r="TPY219" s="630"/>
      <c r="TPZ219" s="630"/>
      <c r="TQA219" s="630"/>
      <c r="TQB219" s="630"/>
      <c r="TQC219" s="630"/>
      <c r="TQD219" s="630"/>
      <c r="TQE219" s="630"/>
      <c r="TQF219" s="630"/>
      <c r="TQG219" s="630"/>
      <c r="TQH219" s="630"/>
      <c r="TQI219" s="630"/>
      <c r="TQJ219" s="630"/>
      <c r="TQK219" s="630"/>
      <c r="TQL219" s="630"/>
      <c r="TQM219" s="630"/>
      <c r="TQN219" s="630"/>
      <c r="TQO219" s="630"/>
      <c r="TQP219" s="630"/>
      <c r="TQQ219" s="630"/>
      <c r="TQR219" s="630"/>
      <c r="TQS219" s="630"/>
      <c r="TQT219" s="630"/>
      <c r="TQU219" s="630"/>
      <c r="TQV219" s="630"/>
      <c r="TQW219" s="630"/>
      <c r="TQX219" s="630"/>
      <c r="TQY219" s="630"/>
      <c r="TQZ219" s="630"/>
      <c r="TRA219" s="630"/>
      <c r="TRB219" s="630"/>
      <c r="TRC219" s="630"/>
      <c r="TRD219" s="630"/>
      <c r="TRE219" s="630"/>
      <c r="TRF219" s="630"/>
      <c r="TRG219" s="630"/>
      <c r="TRH219" s="630"/>
      <c r="TRI219" s="630"/>
      <c r="TRJ219" s="630"/>
      <c r="TRK219" s="630"/>
      <c r="TRL219" s="630"/>
      <c r="TRM219" s="630"/>
      <c r="TRN219" s="630"/>
      <c r="TRO219" s="630"/>
      <c r="TRP219" s="630"/>
      <c r="TRQ219" s="630"/>
      <c r="TRR219" s="630"/>
      <c r="TRS219" s="630"/>
      <c r="TRT219" s="630"/>
      <c r="TRU219" s="630"/>
      <c r="TRV219" s="630"/>
      <c r="TRW219" s="630"/>
      <c r="TRX219" s="630"/>
      <c r="TRY219" s="630"/>
      <c r="TRZ219" s="630"/>
      <c r="TSA219" s="630"/>
      <c r="TSB219" s="630"/>
      <c r="TSC219" s="630"/>
      <c r="TSD219" s="630"/>
      <c r="TSE219" s="630"/>
      <c r="TSF219" s="630"/>
      <c r="TSG219" s="630"/>
      <c r="TSH219" s="630"/>
      <c r="TSI219" s="630"/>
      <c r="TSJ219" s="630"/>
      <c r="TSK219" s="630"/>
      <c r="TSL219" s="630"/>
      <c r="TSM219" s="630"/>
      <c r="TSN219" s="630"/>
      <c r="TSO219" s="630"/>
      <c r="TSP219" s="630"/>
      <c r="TSQ219" s="630"/>
      <c r="TSR219" s="630"/>
      <c r="TSS219" s="630"/>
      <c r="TST219" s="630"/>
      <c r="TSU219" s="630"/>
      <c r="TSV219" s="630"/>
      <c r="TSW219" s="630"/>
      <c r="TSX219" s="630"/>
      <c r="TSY219" s="630"/>
      <c r="TSZ219" s="630"/>
      <c r="TTA219" s="630"/>
      <c r="TTB219" s="630"/>
      <c r="TTC219" s="630"/>
      <c r="TTD219" s="630"/>
      <c r="TTE219" s="630"/>
      <c r="TTF219" s="630"/>
      <c r="TTG219" s="630"/>
      <c r="TTH219" s="630"/>
      <c r="TTI219" s="630"/>
      <c r="TTJ219" s="630"/>
      <c r="TTK219" s="630"/>
      <c r="TTL219" s="630"/>
      <c r="TTM219" s="630"/>
      <c r="TTN219" s="630"/>
      <c r="TTO219" s="630"/>
      <c r="TTP219" s="630"/>
      <c r="TTQ219" s="630"/>
      <c r="TTR219" s="630"/>
      <c r="TTS219" s="630"/>
      <c r="TTT219" s="630"/>
      <c r="TTU219" s="630"/>
      <c r="TTV219" s="630"/>
      <c r="TTW219" s="630"/>
      <c r="TTX219" s="630"/>
      <c r="TTY219" s="630"/>
      <c r="TTZ219" s="630"/>
      <c r="TUA219" s="630"/>
      <c r="TUB219" s="630"/>
      <c r="TUC219" s="630"/>
      <c r="TUD219" s="630"/>
      <c r="TUE219" s="630"/>
      <c r="TUF219" s="630"/>
      <c r="TUG219" s="630"/>
      <c r="TUH219" s="630"/>
      <c r="TUI219" s="630"/>
      <c r="TUJ219" s="630"/>
      <c r="TUK219" s="630"/>
      <c r="TUL219" s="630"/>
      <c r="TUM219" s="630"/>
      <c r="TUN219" s="630"/>
      <c r="TUO219" s="630"/>
      <c r="TUP219" s="630"/>
      <c r="TUQ219" s="630"/>
      <c r="TUR219" s="630"/>
      <c r="TUS219" s="630"/>
      <c r="TUT219" s="630"/>
      <c r="TUU219" s="630"/>
      <c r="TUV219" s="630"/>
      <c r="TUW219" s="630"/>
      <c r="TUX219" s="630"/>
      <c r="TUY219" s="630"/>
      <c r="TUZ219" s="630"/>
      <c r="TVA219" s="630"/>
      <c r="TVB219" s="630"/>
      <c r="TVC219" s="630"/>
      <c r="TVD219" s="630"/>
      <c r="TVE219" s="630"/>
      <c r="TVF219" s="630"/>
      <c r="TVG219" s="630"/>
      <c r="TVH219" s="630"/>
      <c r="TVI219" s="630"/>
      <c r="TVJ219" s="630"/>
      <c r="TVK219" s="630"/>
      <c r="TVL219" s="630"/>
      <c r="TVM219" s="630"/>
      <c r="TVN219" s="630"/>
      <c r="TVO219" s="630"/>
      <c r="TVP219" s="630"/>
      <c r="TVQ219" s="630"/>
      <c r="TVR219" s="630"/>
      <c r="TVS219" s="630"/>
      <c r="TVT219" s="630"/>
      <c r="TVU219" s="630"/>
      <c r="TVV219" s="630"/>
      <c r="TVW219" s="630"/>
      <c r="TVX219" s="630"/>
      <c r="TVY219" s="630"/>
      <c r="TVZ219" s="630"/>
      <c r="TWA219" s="630"/>
      <c r="TWB219" s="630"/>
      <c r="TWC219" s="630"/>
      <c r="TWD219" s="630"/>
      <c r="TWE219" s="630"/>
      <c r="TWF219" s="630"/>
      <c r="TWG219" s="630"/>
      <c r="TWH219" s="630"/>
      <c r="TWI219" s="630"/>
      <c r="TWJ219" s="630"/>
      <c r="TWK219" s="630"/>
      <c r="TWL219" s="630"/>
      <c r="TWM219" s="630"/>
      <c r="TWN219" s="630"/>
      <c r="TWO219" s="630"/>
      <c r="TWP219" s="630"/>
      <c r="TWQ219" s="630"/>
      <c r="TWR219" s="630"/>
      <c r="TWS219" s="630"/>
      <c r="TWT219" s="630"/>
      <c r="TWU219" s="630"/>
      <c r="TWV219" s="630"/>
      <c r="TWW219" s="630"/>
      <c r="TWX219" s="630"/>
      <c r="TWY219" s="630"/>
      <c r="TWZ219" s="630"/>
      <c r="TXA219" s="630"/>
      <c r="TXB219" s="630"/>
      <c r="TXC219" s="630"/>
      <c r="TXD219" s="630"/>
      <c r="TXE219" s="630"/>
      <c r="TXF219" s="630"/>
      <c r="TXG219" s="630"/>
      <c r="TXH219" s="630"/>
      <c r="TXI219" s="630"/>
      <c r="TXJ219" s="630"/>
      <c r="TXK219" s="630"/>
      <c r="TXL219" s="630"/>
      <c r="TXM219" s="630"/>
      <c r="TXN219" s="630"/>
      <c r="TXO219" s="630"/>
      <c r="TXP219" s="630"/>
      <c r="TXQ219" s="630"/>
      <c r="TXR219" s="630"/>
      <c r="TXS219" s="630"/>
      <c r="TXT219" s="630"/>
      <c r="TXU219" s="630"/>
      <c r="TXV219" s="630"/>
      <c r="TXW219" s="630"/>
      <c r="TXX219" s="630"/>
      <c r="TXY219" s="630"/>
      <c r="TXZ219" s="630"/>
      <c r="TYA219" s="630"/>
      <c r="TYB219" s="630"/>
      <c r="TYC219" s="630"/>
      <c r="TYD219" s="630"/>
      <c r="TYE219" s="630"/>
      <c r="TYF219" s="630"/>
      <c r="TYG219" s="630"/>
      <c r="TYH219" s="630"/>
      <c r="TYI219" s="630"/>
      <c r="TYJ219" s="630"/>
      <c r="TYK219" s="630"/>
      <c r="TYL219" s="630"/>
      <c r="TYM219" s="630"/>
      <c r="TYN219" s="630"/>
      <c r="TYO219" s="630"/>
      <c r="TYP219" s="630"/>
      <c r="TYQ219" s="630"/>
      <c r="TYR219" s="630"/>
      <c r="TYS219" s="630"/>
      <c r="TYT219" s="630"/>
      <c r="TYU219" s="630"/>
      <c r="TYV219" s="630"/>
      <c r="TYW219" s="630"/>
      <c r="TYX219" s="630"/>
      <c r="TYY219" s="630"/>
      <c r="TYZ219" s="630"/>
      <c r="TZA219" s="630"/>
      <c r="TZB219" s="630"/>
      <c r="TZC219" s="630"/>
      <c r="TZD219" s="630"/>
      <c r="TZE219" s="630"/>
      <c r="TZF219" s="630"/>
      <c r="TZG219" s="630"/>
      <c r="TZH219" s="630"/>
      <c r="TZI219" s="630"/>
      <c r="TZJ219" s="630"/>
      <c r="TZK219" s="630"/>
      <c r="TZL219" s="630"/>
      <c r="TZM219" s="630"/>
      <c r="TZN219" s="630"/>
      <c r="TZO219" s="630"/>
      <c r="TZP219" s="630"/>
      <c r="TZQ219" s="630"/>
      <c r="TZR219" s="630"/>
      <c r="TZS219" s="630"/>
      <c r="TZT219" s="630"/>
      <c r="TZU219" s="630"/>
      <c r="TZV219" s="630"/>
      <c r="TZW219" s="630"/>
      <c r="TZX219" s="630"/>
      <c r="TZY219" s="630"/>
      <c r="TZZ219" s="630"/>
      <c r="UAA219" s="630"/>
      <c r="UAB219" s="630"/>
      <c r="UAC219" s="630"/>
      <c r="UAD219" s="630"/>
      <c r="UAE219" s="630"/>
      <c r="UAF219" s="630"/>
      <c r="UAG219" s="630"/>
      <c r="UAH219" s="630"/>
      <c r="UAI219" s="630"/>
      <c r="UAJ219" s="630"/>
      <c r="UAK219" s="630"/>
      <c r="UAL219" s="630"/>
      <c r="UAM219" s="630"/>
      <c r="UAN219" s="630"/>
      <c r="UAO219" s="630"/>
      <c r="UAP219" s="630"/>
      <c r="UAQ219" s="630"/>
      <c r="UAR219" s="630"/>
      <c r="UAS219" s="630"/>
      <c r="UAT219" s="630"/>
      <c r="UAU219" s="630"/>
      <c r="UAV219" s="630"/>
      <c r="UAW219" s="630"/>
      <c r="UAX219" s="630"/>
      <c r="UAY219" s="630"/>
      <c r="UAZ219" s="630"/>
      <c r="UBA219" s="630"/>
      <c r="UBB219" s="630"/>
      <c r="UBC219" s="630"/>
      <c r="UBD219" s="630"/>
      <c r="UBE219" s="630"/>
      <c r="UBF219" s="630"/>
      <c r="UBG219" s="630"/>
      <c r="UBH219" s="630"/>
      <c r="UBI219" s="630"/>
      <c r="UBJ219" s="630"/>
      <c r="UBK219" s="630"/>
      <c r="UBL219" s="630"/>
      <c r="UBM219" s="630"/>
      <c r="UBN219" s="630"/>
      <c r="UBO219" s="630"/>
      <c r="UBP219" s="630"/>
      <c r="UBQ219" s="630"/>
      <c r="UBR219" s="630"/>
      <c r="UBS219" s="630"/>
      <c r="UBT219" s="630"/>
      <c r="UBU219" s="630"/>
      <c r="UBV219" s="630"/>
      <c r="UBW219" s="630"/>
      <c r="UBX219" s="630"/>
      <c r="UBY219" s="630"/>
      <c r="UBZ219" s="630"/>
      <c r="UCA219" s="630"/>
      <c r="UCB219" s="630"/>
      <c r="UCC219" s="630"/>
      <c r="UCD219" s="630"/>
      <c r="UCE219" s="630"/>
      <c r="UCF219" s="630"/>
      <c r="UCG219" s="630"/>
      <c r="UCH219" s="630"/>
      <c r="UCI219" s="630"/>
      <c r="UCJ219" s="630"/>
      <c r="UCK219" s="630"/>
      <c r="UCL219" s="630"/>
      <c r="UCM219" s="630"/>
      <c r="UCN219" s="630"/>
      <c r="UCO219" s="630"/>
      <c r="UCP219" s="630"/>
      <c r="UCQ219" s="630"/>
      <c r="UCR219" s="630"/>
      <c r="UCS219" s="630"/>
      <c r="UCT219" s="630"/>
      <c r="UCU219" s="630"/>
      <c r="UCV219" s="630"/>
      <c r="UCW219" s="630"/>
      <c r="UCX219" s="630"/>
      <c r="UCY219" s="630"/>
      <c r="UCZ219" s="630"/>
      <c r="UDA219" s="630"/>
      <c r="UDB219" s="630"/>
      <c r="UDC219" s="630"/>
      <c r="UDD219" s="630"/>
      <c r="UDE219" s="630"/>
      <c r="UDF219" s="630"/>
      <c r="UDG219" s="630"/>
      <c r="UDH219" s="630"/>
      <c r="UDI219" s="630"/>
      <c r="UDJ219" s="630"/>
      <c r="UDK219" s="630"/>
      <c r="UDL219" s="630"/>
      <c r="UDM219" s="630"/>
      <c r="UDN219" s="630"/>
      <c r="UDO219" s="630"/>
      <c r="UDP219" s="630"/>
      <c r="UDQ219" s="630"/>
      <c r="UDR219" s="630"/>
      <c r="UDS219" s="630"/>
      <c r="UDT219" s="630"/>
      <c r="UDU219" s="630"/>
      <c r="UDV219" s="630"/>
      <c r="UDW219" s="630"/>
      <c r="UDX219" s="630"/>
      <c r="UDY219" s="630"/>
      <c r="UDZ219" s="630"/>
      <c r="UEA219" s="630"/>
      <c r="UEB219" s="630"/>
      <c r="UEC219" s="630"/>
      <c r="UED219" s="630"/>
      <c r="UEE219" s="630"/>
      <c r="UEF219" s="630"/>
      <c r="UEG219" s="630"/>
      <c r="UEH219" s="630"/>
      <c r="UEI219" s="630"/>
      <c r="UEJ219" s="630"/>
      <c r="UEK219" s="630"/>
      <c r="UEL219" s="630"/>
      <c r="UEM219" s="630"/>
      <c r="UEN219" s="630"/>
      <c r="UEO219" s="630"/>
      <c r="UEP219" s="630"/>
      <c r="UEQ219" s="630"/>
      <c r="UER219" s="630"/>
      <c r="UES219" s="630"/>
      <c r="UET219" s="630"/>
      <c r="UEU219" s="630"/>
      <c r="UEV219" s="630"/>
      <c r="UEW219" s="630"/>
      <c r="UEX219" s="630"/>
      <c r="UEY219" s="630"/>
      <c r="UEZ219" s="630"/>
      <c r="UFA219" s="630"/>
      <c r="UFB219" s="630"/>
      <c r="UFC219" s="630"/>
      <c r="UFD219" s="630"/>
      <c r="UFE219" s="630"/>
      <c r="UFF219" s="630"/>
      <c r="UFG219" s="630"/>
      <c r="UFH219" s="630"/>
      <c r="UFI219" s="630"/>
      <c r="UFJ219" s="630"/>
      <c r="UFK219" s="630"/>
      <c r="UFL219" s="630"/>
      <c r="UFM219" s="630"/>
      <c r="UFN219" s="630"/>
      <c r="UFO219" s="630"/>
      <c r="UFP219" s="630"/>
      <c r="UFQ219" s="630"/>
      <c r="UFR219" s="630"/>
      <c r="UFS219" s="630"/>
      <c r="UFT219" s="630"/>
      <c r="UFU219" s="630"/>
      <c r="UFV219" s="630"/>
      <c r="UFW219" s="630"/>
      <c r="UFX219" s="630"/>
      <c r="UFY219" s="630"/>
      <c r="UFZ219" s="630"/>
      <c r="UGA219" s="630"/>
      <c r="UGB219" s="630"/>
      <c r="UGC219" s="630"/>
      <c r="UGD219" s="630"/>
      <c r="UGE219" s="630"/>
      <c r="UGF219" s="630"/>
      <c r="UGG219" s="630"/>
      <c r="UGH219" s="630"/>
      <c r="UGI219" s="630"/>
      <c r="UGJ219" s="630"/>
      <c r="UGK219" s="630"/>
      <c r="UGL219" s="630"/>
      <c r="UGM219" s="630"/>
      <c r="UGN219" s="630"/>
      <c r="UGO219" s="630"/>
      <c r="UGP219" s="630"/>
      <c r="UGQ219" s="630"/>
      <c r="UGR219" s="630"/>
      <c r="UGS219" s="630"/>
      <c r="UGT219" s="630"/>
      <c r="UGU219" s="630"/>
      <c r="UGV219" s="630"/>
      <c r="UGW219" s="630"/>
      <c r="UGX219" s="630"/>
      <c r="UGY219" s="630"/>
      <c r="UGZ219" s="630"/>
      <c r="UHA219" s="630"/>
      <c r="UHB219" s="630"/>
      <c r="UHC219" s="630"/>
      <c r="UHD219" s="630"/>
      <c r="UHE219" s="630"/>
      <c r="UHF219" s="630"/>
      <c r="UHG219" s="630"/>
      <c r="UHH219" s="630"/>
      <c r="UHI219" s="630"/>
      <c r="UHJ219" s="630"/>
      <c r="UHK219" s="630"/>
      <c r="UHL219" s="630"/>
      <c r="UHM219" s="630"/>
      <c r="UHN219" s="630"/>
      <c r="UHO219" s="630"/>
      <c r="UHP219" s="630"/>
      <c r="UHQ219" s="630"/>
      <c r="UHR219" s="630"/>
      <c r="UHS219" s="630"/>
      <c r="UHT219" s="630"/>
      <c r="UHU219" s="630"/>
      <c r="UHV219" s="630"/>
      <c r="UHW219" s="630"/>
      <c r="UHX219" s="630"/>
      <c r="UHY219" s="630"/>
      <c r="UHZ219" s="630"/>
      <c r="UIA219" s="630"/>
      <c r="UIB219" s="630"/>
      <c r="UIC219" s="630"/>
      <c r="UID219" s="630"/>
      <c r="UIE219" s="630"/>
      <c r="UIF219" s="630"/>
      <c r="UIG219" s="630"/>
      <c r="UIH219" s="630"/>
      <c r="UII219" s="630"/>
      <c r="UIJ219" s="630"/>
      <c r="UIK219" s="630"/>
      <c r="UIL219" s="630"/>
      <c r="UIM219" s="630"/>
      <c r="UIN219" s="630"/>
      <c r="UIO219" s="630"/>
      <c r="UIP219" s="630"/>
      <c r="UIQ219" s="630"/>
      <c r="UIR219" s="630"/>
      <c r="UIS219" s="630"/>
      <c r="UIT219" s="630"/>
      <c r="UIU219" s="630"/>
      <c r="UIV219" s="630"/>
      <c r="UIW219" s="630"/>
      <c r="UIX219" s="630"/>
      <c r="UIY219" s="630"/>
      <c r="UIZ219" s="630"/>
      <c r="UJA219" s="630"/>
      <c r="UJB219" s="630"/>
      <c r="UJC219" s="630"/>
      <c r="UJD219" s="630"/>
      <c r="UJE219" s="630"/>
      <c r="UJF219" s="630"/>
      <c r="UJG219" s="630"/>
      <c r="UJH219" s="630"/>
      <c r="UJI219" s="630"/>
      <c r="UJJ219" s="630"/>
      <c r="UJK219" s="630"/>
      <c r="UJL219" s="630"/>
      <c r="UJM219" s="630"/>
      <c r="UJN219" s="630"/>
      <c r="UJO219" s="630"/>
      <c r="UJP219" s="630"/>
      <c r="UJQ219" s="630"/>
      <c r="UJR219" s="630"/>
      <c r="UJS219" s="630"/>
      <c r="UJT219" s="630"/>
      <c r="UJU219" s="630"/>
      <c r="UJV219" s="630"/>
      <c r="UJW219" s="630"/>
      <c r="UJX219" s="630"/>
      <c r="UJY219" s="630"/>
      <c r="UJZ219" s="630"/>
      <c r="UKA219" s="630"/>
      <c r="UKB219" s="630"/>
      <c r="UKC219" s="630"/>
      <c r="UKD219" s="630"/>
      <c r="UKE219" s="630"/>
      <c r="UKF219" s="630"/>
      <c r="UKG219" s="630"/>
      <c r="UKH219" s="630"/>
      <c r="UKI219" s="630"/>
      <c r="UKJ219" s="630"/>
      <c r="UKK219" s="630"/>
      <c r="UKL219" s="630"/>
      <c r="UKM219" s="630"/>
      <c r="UKN219" s="630"/>
      <c r="UKO219" s="630"/>
      <c r="UKP219" s="630"/>
      <c r="UKQ219" s="630"/>
      <c r="UKR219" s="630"/>
      <c r="UKS219" s="630"/>
      <c r="UKT219" s="630"/>
      <c r="UKU219" s="630"/>
      <c r="UKV219" s="630"/>
      <c r="UKW219" s="630"/>
      <c r="UKX219" s="630"/>
      <c r="UKY219" s="630"/>
      <c r="UKZ219" s="630"/>
      <c r="ULA219" s="630"/>
      <c r="ULB219" s="630"/>
      <c r="ULC219" s="630"/>
      <c r="ULD219" s="630"/>
      <c r="ULE219" s="630"/>
      <c r="ULF219" s="630"/>
      <c r="ULG219" s="630"/>
      <c r="ULH219" s="630"/>
      <c r="ULI219" s="630"/>
      <c r="ULJ219" s="630"/>
      <c r="ULK219" s="630"/>
      <c r="ULL219" s="630"/>
      <c r="ULM219" s="630"/>
      <c r="ULN219" s="630"/>
      <c r="ULO219" s="630"/>
      <c r="ULP219" s="630"/>
      <c r="ULQ219" s="630"/>
      <c r="ULR219" s="630"/>
      <c r="ULS219" s="630"/>
      <c r="ULT219" s="630"/>
      <c r="ULU219" s="630"/>
      <c r="ULV219" s="630"/>
      <c r="ULW219" s="630"/>
      <c r="ULX219" s="630"/>
      <c r="ULY219" s="630"/>
      <c r="ULZ219" s="630"/>
      <c r="UMA219" s="630"/>
      <c r="UMB219" s="630"/>
      <c r="UMC219" s="630"/>
      <c r="UMD219" s="630"/>
      <c r="UME219" s="630"/>
      <c r="UMF219" s="630"/>
      <c r="UMG219" s="630"/>
      <c r="UMH219" s="630"/>
      <c r="UMI219" s="630"/>
      <c r="UMJ219" s="630"/>
      <c r="UMK219" s="630"/>
      <c r="UML219" s="630"/>
      <c r="UMM219" s="630"/>
      <c r="UMN219" s="630"/>
      <c r="UMO219" s="630"/>
      <c r="UMP219" s="630"/>
      <c r="UMQ219" s="630"/>
      <c r="UMR219" s="630"/>
      <c r="UMS219" s="630"/>
      <c r="UMT219" s="630"/>
      <c r="UMU219" s="630"/>
      <c r="UMV219" s="630"/>
      <c r="UMW219" s="630"/>
      <c r="UMX219" s="630"/>
      <c r="UMY219" s="630"/>
      <c r="UMZ219" s="630"/>
      <c r="UNA219" s="630"/>
      <c r="UNB219" s="630"/>
      <c r="UNC219" s="630"/>
      <c r="UND219" s="630"/>
      <c r="UNE219" s="630"/>
      <c r="UNF219" s="630"/>
      <c r="UNG219" s="630"/>
      <c r="UNH219" s="630"/>
      <c r="UNI219" s="630"/>
      <c r="UNJ219" s="630"/>
      <c r="UNK219" s="630"/>
      <c r="UNL219" s="630"/>
      <c r="UNM219" s="630"/>
      <c r="UNN219" s="630"/>
      <c r="UNO219" s="630"/>
      <c r="UNP219" s="630"/>
      <c r="UNQ219" s="630"/>
      <c r="UNR219" s="630"/>
      <c r="UNS219" s="630"/>
      <c r="UNT219" s="630"/>
      <c r="UNU219" s="630"/>
      <c r="UNV219" s="630"/>
      <c r="UNW219" s="630"/>
      <c r="UNX219" s="630"/>
      <c r="UNY219" s="630"/>
      <c r="UNZ219" s="630"/>
      <c r="UOA219" s="630"/>
      <c r="UOB219" s="630"/>
      <c r="UOC219" s="630"/>
      <c r="UOD219" s="630"/>
      <c r="UOE219" s="630"/>
      <c r="UOF219" s="630"/>
      <c r="UOG219" s="630"/>
      <c r="UOH219" s="630"/>
      <c r="UOI219" s="630"/>
      <c r="UOJ219" s="630"/>
      <c r="UOK219" s="630"/>
      <c r="UOL219" s="630"/>
      <c r="UOM219" s="630"/>
      <c r="UON219" s="630"/>
      <c r="UOO219" s="630"/>
      <c r="UOP219" s="630"/>
      <c r="UOQ219" s="630"/>
      <c r="UOR219" s="630"/>
      <c r="UOS219" s="630"/>
      <c r="UOT219" s="630"/>
      <c r="UOU219" s="630"/>
      <c r="UOV219" s="630"/>
      <c r="UOW219" s="630"/>
      <c r="UOX219" s="630"/>
      <c r="UOY219" s="630"/>
      <c r="UOZ219" s="630"/>
      <c r="UPA219" s="630"/>
      <c r="UPB219" s="630"/>
      <c r="UPC219" s="630"/>
      <c r="UPD219" s="630"/>
      <c r="UPE219" s="630"/>
      <c r="UPF219" s="630"/>
      <c r="UPG219" s="630"/>
      <c r="UPH219" s="630"/>
      <c r="UPI219" s="630"/>
      <c r="UPJ219" s="630"/>
      <c r="UPK219" s="630"/>
      <c r="UPL219" s="630"/>
      <c r="UPM219" s="630"/>
      <c r="UPN219" s="630"/>
      <c r="UPO219" s="630"/>
      <c r="UPP219" s="630"/>
      <c r="UPQ219" s="630"/>
      <c r="UPR219" s="630"/>
      <c r="UPS219" s="630"/>
      <c r="UPT219" s="630"/>
      <c r="UPU219" s="630"/>
      <c r="UPV219" s="630"/>
      <c r="UPW219" s="630"/>
      <c r="UPX219" s="630"/>
      <c r="UPY219" s="630"/>
      <c r="UPZ219" s="630"/>
      <c r="UQA219" s="630"/>
      <c r="UQB219" s="630"/>
      <c r="UQC219" s="630"/>
      <c r="UQD219" s="630"/>
      <c r="UQE219" s="630"/>
      <c r="UQF219" s="630"/>
      <c r="UQG219" s="630"/>
      <c r="UQH219" s="630"/>
      <c r="UQI219" s="630"/>
      <c r="UQJ219" s="630"/>
      <c r="UQK219" s="630"/>
      <c r="UQL219" s="630"/>
      <c r="UQM219" s="630"/>
      <c r="UQN219" s="630"/>
      <c r="UQO219" s="630"/>
      <c r="UQP219" s="630"/>
      <c r="UQQ219" s="630"/>
      <c r="UQR219" s="630"/>
      <c r="UQS219" s="630"/>
      <c r="UQT219" s="630"/>
      <c r="UQU219" s="630"/>
      <c r="UQV219" s="630"/>
      <c r="UQW219" s="630"/>
      <c r="UQX219" s="630"/>
      <c r="UQY219" s="630"/>
      <c r="UQZ219" s="630"/>
      <c r="URA219" s="630"/>
      <c r="URB219" s="630"/>
      <c r="URC219" s="630"/>
      <c r="URD219" s="630"/>
      <c r="URE219" s="630"/>
      <c r="URF219" s="630"/>
      <c r="URG219" s="630"/>
      <c r="URH219" s="630"/>
      <c r="URI219" s="630"/>
      <c r="URJ219" s="630"/>
      <c r="URK219" s="630"/>
      <c r="URL219" s="630"/>
      <c r="URM219" s="630"/>
      <c r="URN219" s="630"/>
      <c r="URO219" s="630"/>
      <c r="URP219" s="630"/>
      <c r="URQ219" s="630"/>
      <c r="URR219" s="630"/>
      <c r="URS219" s="630"/>
      <c r="URT219" s="630"/>
      <c r="URU219" s="630"/>
      <c r="URV219" s="630"/>
      <c r="URW219" s="630"/>
      <c r="URX219" s="630"/>
      <c r="URY219" s="630"/>
      <c r="URZ219" s="630"/>
      <c r="USA219" s="630"/>
      <c r="USB219" s="630"/>
      <c r="USC219" s="630"/>
      <c r="USD219" s="630"/>
      <c r="USE219" s="630"/>
      <c r="USF219" s="630"/>
      <c r="USG219" s="630"/>
      <c r="USH219" s="630"/>
      <c r="USI219" s="630"/>
      <c r="USJ219" s="630"/>
      <c r="USK219" s="630"/>
      <c r="USL219" s="630"/>
      <c r="USM219" s="630"/>
      <c r="USN219" s="630"/>
      <c r="USO219" s="630"/>
      <c r="USP219" s="630"/>
      <c r="USQ219" s="630"/>
      <c r="USR219" s="630"/>
      <c r="USS219" s="630"/>
      <c r="UST219" s="630"/>
      <c r="USU219" s="630"/>
      <c r="USV219" s="630"/>
      <c r="USW219" s="630"/>
      <c r="USX219" s="630"/>
      <c r="USY219" s="630"/>
      <c r="USZ219" s="630"/>
      <c r="UTA219" s="630"/>
      <c r="UTB219" s="630"/>
      <c r="UTC219" s="630"/>
      <c r="UTD219" s="630"/>
      <c r="UTE219" s="630"/>
      <c r="UTF219" s="630"/>
      <c r="UTG219" s="630"/>
      <c r="UTH219" s="630"/>
      <c r="UTI219" s="630"/>
      <c r="UTJ219" s="630"/>
      <c r="UTK219" s="630"/>
      <c r="UTL219" s="630"/>
      <c r="UTM219" s="630"/>
      <c r="UTN219" s="630"/>
      <c r="UTO219" s="630"/>
      <c r="UTP219" s="630"/>
      <c r="UTQ219" s="630"/>
      <c r="UTR219" s="630"/>
      <c r="UTS219" s="630"/>
      <c r="UTT219" s="630"/>
      <c r="UTU219" s="630"/>
      <c r="UTV219" s="630"/>
      <c r="UTW219" s="630"/>
      <c r="UTX219" s="630"/>
      <c r="UTY219" s="630"/>
      <c r="UTZ219" s="630"/>
      <c r="UUA219" s="630"/>
      <c r="UUB219" s="630"/>
      <c r="UUC219" s="630"/>
      <c r="UUD219" s="630"/>
      <c r="UUE219" s="630"/>
      <c r="UUF219" s="630"/>
      <c r="UUG219" s="630"/>
      <c r="UUH219" s="630"/>
      <c r="UUI219" s="630"/>
      <c r="UUJ219" s="630"/>
      <c r="UUK219" s="630"/>
      <c r="UUL219" s="630"/>
      <c r="UUM219" s="630"/>
      <c r="UUN219" s="630"/>
      <c r="UUO219" s="630"/>
      <c r="UUP219" s="630"/>
      <c r="UUQ219" s="630"/>
      <c r="UUR219" s="630"/>
      <c r="UUS219" s="630"/>
      <c r="UUT219" s="630"/>
      <c r="UUU219" s="630"/>
      <c r="UUV219" s="630"/>
      <c r="UUW219" s="630"/>
      <c r="UUX219" s="630"/>
      <c r="UUY219" s="630"/>
      <c r="UUZ219" s="630"/>
      <c r="UVA219" s="630"/>
      <c r="UVB219" s="630"/>
      <c r="UVC219" s="630"/>
      <c r="UVD219" s="630"/>
      <c r="UVE219" s="630"/>
      <c r="UVF219" s="630"/>
      <c r="UVG219" s="630"/>
      <c r="UVH219" s="630"/>
      <c r="UVI219" s="630"/>
      <c r="UVJ219" s="630"/>
      <c r="UVK219" s="630"/>
      <c r="UVL219" s="630"/>
      <c r="UVM219" s="630"/>
      <c r="UVN219" s="630"/>
      <c r="UVO219" s="630"/>
      <c r="UVP219" s="630"/>
      <c r="UVQ219" s="630"/>
      <c r="UVR219" s="630"/>
      <c r="UVS219" s="630"/>
      <c r="UVT219" s="630"/>
      <c r="UVU219" s="630"/>
      <c r="UVV219" s="630"/>
      <c r="UVW219" s="630"/>
      <c r="UVX219" s="630"/>
      <c r="UVY219" s="630"/>
      <c r="UVZ219" s="630"/>
      <c r="UWA219" s="630"/>
      <c r="UWB219" s="630"/>
      <c r="UWC219" s="630"/>
      <c r="UWD219" s="630"/>
      <c r="UWE219" s="630"/>
      <c r="UWF219" s="630"/>
      <c r="UWG219" s="630"/>
      <c r="UWH219" s="630"/>
      <c r="UWI219" s="630"/>
      <c r="UWJ219" s="630"/>
      <c r="UWK219" s="630"/>
      <c r="UWL219" s="630"/>
      <c r="UWM219" s="630"/>
      <c r="UWN219" s="630"/>
      <c r="UWO219" s="630"/>
      <c r="UWP219" s="630"/>
      <c r="UWQ219" s="630"/>
      <c r="UWR219" s="630"/>
      <c r="UWS219" s="630"/>
      <c r="UWT219" s="630"/>
      <c r="UWU219" s="630"/>
      <c r="UWV219" s="630"/>
      <c r="UWW219" s="630"/>
      <c r="UWX219" s="630"/>
      <c r="UWY219" s="630"/>
      <c r="UWZ219" s="630"/>
      <c r="UXA219" s="630"/>
      <c r="UXB219" s="630"/>
      <c r="UXC219" s="630"/>
      <c r="UXD219" s="630"/>
      <c r="UXE219" s="630"/>
      <c r="UXF219" s="630"/>
      <c r="UXG219" s="630"/>
      <c r="UXH219" s="630"/>
      <c r="UXI219" s="630"/>
      <c r="UXJ219" s="630"/>
      <c r="UXK219" s="630"/>
      <c r="UXL219" s="630"/>
      <c r="UXM219" s="630"/>
      <c r="UXN219" s="630"/>
      <c r="UXO219" s="630"/>
      <c r="UXP219" s="630"/>
      <c r="UXQ219" s="630"/>
      <c r="UXR219" s="630"/>
      <c r="UXS219" s="630"/>
      <c r="UXT219" s="630"/>
      <c r="UXU219" s="630"/>
      <c r="UXV219" s="630"/>
      <c r="UXW219" s="630"/>
      <c r="UXX219" s="630"/>
      <c r="UXY219" s="630"/>
      <c r="UXZ219" s="630"/>
      <c r="UYA219" s="630"/>
      <c r="UYB219" s="630"/>
      <c r="UYC219" s="630"/>
      <c r="UYD219" s="630"/>
      <c r="UYE219" s="630"/>
      <c r="UYF219" s="630"/>
      <c r="UYG219" s="630"/>
      <c r="UYH219" s="630"/>
      <c r="UYI219" s="630"/>
      <c r="UYJ219" s="630"/>
      <c r="UYK219" s="630"/>
      <c r="UYL219" s="630"/>
      <c r="UYM219" s="630"/>
      <c r="UYN219" s="630"/>
      <c r="UYO219" s="630"/>
      <c r="UYP219" s="630"/>
      <c r="UYQ219" s="630"/>
      <c r="UYR219" s="630"/>
      <c r="UYS219" s="630"/>
      <c r="UYT219" s="630"/>
      <c r="UYU219" s="630"/>
      <c r="UYV219" s="630"/>
      <c r="UYW219" s="630"/>
      <c r="UYX219" s="630"/>
      <c r="UYY219" s="630"/>
      <c r="UYZ219" s="630"/>
      <c r="UZA219" s="630"/>
      <c r="UZB219" s="630"/>
      <c r="UZC219" s="630"/>
      <c r="UZD219" s="630"/>
      <c r="UZE219" s="630"/>
      <c r="UZF219" s="630"/>
      <c r="UZG219" s="630"/>
      <c r="UZH219" s="630"/>
      <c r="UZI219" s="630"/>
      <c r="UZJ219" s="630"/>
      <c r="UZK219" s="630"/>
      <c r="UZL219" s="630"/>
      <c r="UZM219" s="630"/>
      <c r="UZN219" s="630"/>
      <c r="UZO219" s="630"/>
      <c r="UZP219" s="630"/>
      <c r="UZQ219" s="630"/>
      <c r="UZR219" s="630"/>
      <c r="UZS219" s="630"/>
      <c r="UZT219" s="630"/>
      <c r="UZU219" s="630"/>
      <c r="UZV219" s="630"/>
      <c r="UZW219" s="630"/>
      <c r="UZX219" s="630"/>
      <c r="UZY219" s="630"/>
      <c r="UZZ219" s="630"/>
      <c r="VAA219" s="630"/>
      <c r="VAB219" s="630"/>
      <c r="VAC219" s="630"/>
      <c r="VAD219" s="630"/>
      <c r="VAE219" s="630"/>
      <c r="VAF219" s="630"/>
      <c r="VAG219" s="630"/>
      <c r="VAH219" s="630"/>
      <c r="VAI219" s="630"/>
      <c r="VAJ219" s="630"/>
      <c r="VAK219" s="630"/>
      <c r="VAL219" s="630"/>
      <c r="VAM219" s="630"/>
      <c r="VAN219" s="630"/>
      <c r="VAO219" s="630"/>
      <c r="VAP219" s="630"/>
      <c r="VAQ219" s="630"/>
      <c r="VAR219" s="630"/>
      <c r="VAS219" s="630"/>
      <c r="VAT219" s="630"/>
      <c r="VAU219" s="630"/>
      <c r="VAV219" s="630"/>
      <c r="VAW219" s="630"/>
      <c r="VAX219" s="630"/>
      <c r="VAY219" s="630"/>
      <c r="VAZ219" s="630"/>
      <c r="VBA219" s="630"/>
      <c r="VBB219" s="630"/>
      <c r="VBC219" s="630"/>
      <c r="VBD219" s="630"/>
      <c r="VBE219" s="630"/>
      <c r="VBF219" s="630"/>
      <c r="VBG219" s="630"/>
      <c r="VBH219" s="630"/>
      <c r="VBI219" s="630"/>
      <c r="VBJ219" s="630"/>
      <c r="VBK219" s="630"/>
      <c r="VBL219" s="630"/>
      <c r="VBM219" s="630"/>
      <c r="VBN219" s="630"/>
      <c r="VBO219" s="630"/>
      <c r="VBP219" s="630"/>
      <c r="VBQ219" s="630"/>
      <c r="VBR219" s="630"/>
      <c r="VBS219" s="630"/>
      <c r="VBT219" s="630"/>
      <c r="VBU219" s="630"/>
      <c r="VBV219" s="630"/>
      <c r="VBW219" s="630"/>
      <c r="VBX219" s="630"/>
      <c r="VBY219" s="630"/>
      <c r="VBZ219" s="630"/>
      <c r="VCA219" s="630"/>
      <c r="VCB219" s="630"/>
      <c r="VCC219" s="630"/>
      <c r="VCD219" s="630"/>
      <c r="VCE219" s="630"/>
      <c r="VCF219" s="630"/>
      <c r="VCG219" s="630"/>
      <c r="VCH219" s="630"/>
      <c r="VCI219" s="630"/>
      <c r="VCJ219" s="630"/>
      <c r="VCK219" s="630"/>
      <c r="VCL219" s="630"/>
      <c r="VCM219" s="630"/>
      <c r="VCN219" s="630"/>
      <c r="VCO219" s="630"/>
      <c r="VCP219" s="630"/>
      <c r="VCQ219" s="630"/>
      <c r="VCR219" s="630"/>
      <c r="VCS219" s="630"/>
      <c r="VCT219" s="630"/>
      <c r="VCU219" s="630"/>
      <c r="VCV219" s="630"/>
      <c r="VCW219" s="630"/>
      <c r="VCX219" s="630"/>
      <c r="VCY219" s="630"/>
      <c r="VCZ219" s="630"/>
      <c r="VDA219" s="630"/>
      <c r="VDB219" s="630"/>
      <c r="VDC219" s="630"/>
      <c r="VDD219" s="630"/>
      <c r="VDE219" s="630"/>
      <c r="VDF219" s="630"/>
      <c r="VDG219" s="630"/>
      <c r="VDH219" s="630"/>
      <c r="VDI219" s="630"/>
      <c r="VDJ219" s="630"/>
      <c r="VDK219" s="630"/>
      <c r="VDL219" s="630"/>
      <c r="VDM219" s="630"/>
      <c r="VDN219" s="630"/>
      <c r="VDO219" s="630"/>
      <c r="VDP219" s="630"/>
      <c r="VDQ219" s="630"/>
      <c r="VDR219" s="630"/>
      <c r="VDS219" s="630"/>
      <c r="VDT219" s="630"/>
      <c r="VDU219" s="630"/>
      <c r="VDV219" s="630"/>
      <c r="VDW219" s="630"/>
      <c r="VDX219" s="630"/>
      <c r="VDY219" s="630"/>
      <c r="VDZ219" s="630"/>
      <c r="VEA219" s="630"/>
      <c r="VEB219" s="630"/>
      <c r="VEC219" s="630"/>
      <c r="VED219" s="630"/>
      <c r="VEE219" s="630"/>
      <c r="VEF219" s="630"/>
      <c r="VEG219" s="630"/>
      <c r="VEH219" s="630"/>
      <c r="VEI219" s="630"/>
      <c r="VEJ219" s="630"/>
      <c r="VEK219" s="630"/>
      <c r="VEL219" s="630"/>
      <c r="VEM219" s="630"/>
      <c r="VEN219" s="630"/>
      <c r="VEO219" s="630"/>
      <c r="VEP219" s="630"/>
      <c r="VEQ219" s="630"/>
      <c r="VER219" s="630"/>
      <c r="VES219" s="630"/>
      <c r="VET219" s="630"/>
      <c r="VEU219" s="630"/>
      <c r="VEV219" s="630"/>
      <c r="VEW219" s="630"/>
      <c r="VEX219" s="630"/>
      <c r="VEY219" s="630"/>
      <c r="VEZ219" s="630"/>
      <c r="VFA219" s="630"/>
      <c r="VFB219" s="630"/>
      <c r="VFC219" s="630"/>
      <c r="VFD219" s="630"/>
      <c r="VFE219" s="630"/>
      <c r="VFF219" s="630"/>
      <c r="VFG219" s="630"/>
      <c r="VFH219" s="630"/>
      <c r="VFI219" s="630"/>
      <c r="VFJ219" s="630"/>
      <c r="VFK219" s="630"/>
      <c r="VFL219" s="630"/>
      <c r="VFM219" s="630"/>
      <c r="VFN219" s="630"/>
      <c r="VFO219" s="630"/>
      <c r="VFP219" s="630"/>
      <c r="VFQ219" s="630"/>
      <c r="VFR219" s="630"/>
      <c r="VFS219" s="630"/>
      <c r="VFT219" s="630"/>
      <c r="VFU219" s="630"/>
      <c r="VFV219" s="630"/>
      <c r="VFW219" s="630"/>
      <c r="VFX219" s="630"/>
      <c r="VFY219" s="630"/>
      <c r="VFZ219" s="630"/>
      <c r="VGA219" s="630"/>
      <c r="VGB219" s="630"/>
      <c r="VGC219" s="630"/>
      <c r="VGD219" s="630"/>
      <c r="VGE219" s="630"/>
      <c r="VGF219" s="630"/>
      <c r="VGG219" s="630"/>
      <c r="VGH219" s="630"/>
      <c r="VGI219" s="630"/>
      <c r="VGJ219" s="630"/>
      <c r="VGK219" s="630"/>
      <c r="VGL219" s="630"/>
      <c r="VGM219" s="630"/>
      <c r="VGN219" s="630"/>
      <c r="VGO219" s="630"/>
      <c r="VGP219" s="630"/>
      <c r="VGQ219" s="630"/>
      <c r="VGR219" s="630"/>
      <c r="VGS219" s="630"/>
      <c r="VGT219" s="630"/>
      <c r="VGU219" s="630"/>
      <c r="VGV219" s="630"/>
      <c r="VGW219" s="630"/>
      <c r="VGX219" s="630"/>
      <c r="VGY219" s="630"/>
      <c r="VGZ219" s="630"/>
      <c r="VHA219" s="630"/>
      <c r="VHB219" s="630"/>
      <c r="VHC219" s="630"/>
      <c r="VHD219" s="630"/>
      <c r="VHE219" s="630"/>
      <c r="VHF219" s="630"/>
      <c r="VHG219" s="630"/>
      <c r="VHH219" s="630"/>
      <c r="VHI219" s="630"/>
      <c r="VHJ219" s="630"/>
      <c r="VHK219" s="630"/>
      <c r="VHL219" s="630"/>
      <c r="VHM219" s="630"/>
      <c r="VHN219" s="630"/>
      <c r="VHO219" s="630"/>
      <c r="VHP219" s="630"/>
      <c r="VHQ219" s="630"/>
      <c r="VHR219" s="630"/>
      <c r="VHS219" s="630"/>
      <c r="VHT219" s="630"/>
      <c r="VHU219" s="630"/>
      <c r="VHV219" s="630"/>
      <c r="VHW219" s="630"/>
      <c r="VHX219" s="630"/>
      <c r="VHY219" s="630"/>
      <c r="VHZ219" s="630"/>
      <c r="VIA219" s="630"/>
      <c r="VIB219" s="630"/>
      <c r="VIC219" s="630"/>
      <c r="VID219" s="630"/>
      <c r="VIE219" s="630"/>
      <c r="VIF219" s="630"/>
      <c r="VIG219" s="630"/>
      <c r="VIH219" s="630"/>
      <c r="VII219" s="630"/>
      <c r="VIJ219" s="630"/>
      <c r="VIK219" s="630"/>
      <c r="VIL219" s="630"/>
      <c r="VIM219" s="630"/>
      <c r="VIN219" s="630"/>
      <c r="VIO219" s="630"/>
      <c r="VIP219" s="630"/>
      <c r="VIQ219" s="630"/>
      <c r="VIR219" s="630"/>
      <c r="VIS219" s="630"/>
      <c r="VIT219" s="630"/>
      <c r="VIU219" s="630"/>
      <c r="VIV219" s="630"/>
      <c r="VIW219" s="630"/>
      <c r="VIX219" s="630"/>
      <c r="VIY219" s="630"/>
      <c r="VIZ219" s="630"/>
      <c r="VJA219" s="630"/>
      <c r="VJB219" s="630"/>
      <c r="VJC219" s="630"/>
      <c r="VJD219" s="630"/>
      <c r="VJE219" s="630"/>
      <c r="VJF219" s="630"/>
      <c r="VJG219" s="630"/>
      <c r="VJH219" s="630"/>
      <c r="VJI219" s="630"/>
      <c r="VJJ219" s="630"/>
      <c r="VJK219" s="630"/>
      <c r="VJL219" s="630"/>
      <c r="VJM219" s="630"/>
      <c r="VJN219" s="630"/>
      <c r="VJO219" s="630"/>
      <c r="VJP219" s="630"/>
      <c r="VJQ219" s="630"/>
      <c r="VJR219" s="630"/>
      <c r="VJS219" s="630"/>
      <c r="VJT219" s="630"/>
      <c r="VJU219" s="630"/>
      <c r="VJV219" s="630"/>
      <c r="VJW219" s="630"/>
      <c r="VJX219" s="630"/>
      <c r="VJY219" s="630"/>
      <c r="VJZ219" s="630"/>
      <c r="VKA219" s="630"/>
      <c r="VKB219" s="630"/>
      <c r="VKC219" s="630"/>
      <c r="VKD219" s="630"/>
      <c r="VKE219" s="630"/>
      <c r="VKF219" s="630"/>
      <c r="VKG219" s="630"/>
      <c r="VKH219" s="630"/>
      <c r="VKI219" s="630"/>
      <c r="VKJ219" s="630"/>
      <c r="VKK219" s="630"/>
      <c r="VKL219" s="630"/>
      <c r="VKM219" s="630"/>
      <c r="VKN219" s="630"/>
      <c r="VKO219" s="630"/>
      <c r="VKP219" s="630"/>
      <c r="VKQ219" s="630"/>
      <c r="VKR219" s="630"/>
      <c r="VKS219" s="630"/>
      <c r="VKT219" s="630"/>
      <c r="VKU219" s="630"/>
      <c r="VKV219" s="630"/>
      <c r="VKW219" s="630"/>
      <c r="VKX219" s="630"/>
      <c r="VKY219" s="630"/>
      <c r="VKZ219" s="630"/>
      <c r="VLA219" s="630"/>
      <c r="VLB219" s="630"/>
      <c r="VLC219" s="630"/>
      <c r="VLD219" s="630"/>
      <c r="VLE219" s="630"/>
      <c r="VLF219" s="630"/>
      <c r="VLG219" s="630"/>
      <c r="VLH219" s="630"/>
      <c r="VLI219" s="630"/>
      <c r="VLJ219" s="630"/>
      <c r="VLK219" s="630"/>
      <c r="VLL219" s="630"/>
      <c r="VLM219" s="630"/>
      <c r="VLN219" s="630"/>
      <c r="VLO219" s="630"/>
      <c r="VLP219" s="630"/>
      <c r="VLQ219" s="630"/>
      <c r="VLR219" s="630"/>
      <c r="VLS219" s="630"/>
      <c r="VLT219" s="630"/>
      <c r="VLU219" s="630"/>
      <c r="VLV219" s="630"/>
      <c r="VLW219" s="630"/>
      <c r="VLX219" s="630"/>
      <c r="VLY219" s="630"/>
      <c r="VLZ219" s="630"/>
      <c r="VMA219" s="630"/>
      <c r="VMB219" s="630"/>
      <c r="VMC219" s="630"/>
      <c r="VMD219" s="630"/>
      <c r="VME219" s="630"/>
      <c r="VMF219" s="630"/>
      <c r="VMG219" s="630"/>
      <c r="VMH219" s="630"/>
      <c r="VMI219" s="630"/>
      <c r="VMJ219" s="630"/>
      <c r="VMK219" s="630"/>
      <c r="VML219" s="630"/>
      <c r="VMM219" s="630"/>
      <c r="VMN219" s="630"/>
      <c r="VMO219" s="630"/>
      <c r="VMP219" s="630"/>
      <c r="VMQ219" s="630"/>
      <c r="VMR219" s="630"/>
      <c r="VMS219" s="630"/>
      <c r="VMT219" s="630"/>
      <c r="VMU219" s="630"/>
      <c r="VMV219" s="630"/>
      <c r="VMW219" s="630"/>
      <c r="VMX219" s="630"/>
      <c r="VMY219" s="630"/>
      <c r="VMZ219" s="630"/>
      <c r="VNA219" s="630"/>
      <c r="VNB219" s="630"/>
      <c r="VNC219" s="630"/>
      <c r="VND219" s="630"/>
      <c r="VNE219" s="630"/>
      <c r="VNF219" s="630"/>
      <c r="VNG219" s="630"/>
      <c r="VNH219" s="630"/>
      <c r="VNI219" s="630"/>
      <c r="VNJ219" s="630"/>
      <c r="VNK219" s="630"/>
      <c r="VNL219" s="630"/>
      <c r="VNM219" s="630"/>
      <c r="VNN219" s="630"/>
      <c r="VNO219" s="630"/>
      <c r="VNP219" s="630"/>
      <c r="VNQ219" s="630"/>
      <c r="VNR219" s="630"/>
      <c r="VNS219" s="630"/>
      <c r="VNT219" s="630"/>
      <c r="VNU219" s="630"/>
      <c r="VNV219" s="630"/>
      <c r="VNW219" s="630"/>
      <c r="VNX219" s="630"/>
      <c r="VNY219" s="630"/>
      <c r="VNZ219" s="630"/>
      <c r="VOA219" s="630"/>
      <c r="VOB219" s="630"/>
      <c r="VOC219" s="630"/>
      <c r="VOD219" s="630"/>
      <c r="VOE219" s="630"/>
      <c r="VOF219" s="630"/>
      <c r="VOG219" s="630"/>
      <c r="VOH219" s="630"/>
      <c r="VOI219" s="630"/>
      <c r="VOJ219" s="630"/>
      <c r="VOK219" s="630"/>
      <c r="VOL219" s="630"/>
      <c r="VOM219" s="630"/>
      <c r="VON219" s="630"/>
      <c r="VOO219" s="630"/>
      <c r="VOP219" s="630"/>
      <c r="VOQ219" s="630"/>
      <c r="VOR219" s="630"/>
      <c r="VOS219" s="630"/>
      <c r="VOT219" s="630"/>
      <c r="VOU219" s="630"/>
      <c r="VOV219" s="630"/>
      <c r="VOW219" s="630"/>
      <c r="VOX219" s="630"/>
      <c r="VOY219" s="630"/>
      <c r="VOZ219" s="630"/>
      <c r="VPA219" s="630"/>
      <c r="VPB219" s="630"/>
      <c r="VPC219" s="630"/>
      <c r="VPD219" s="630"/>
      <c r="VPE219" s="630"/>
      <c r="VPF219" s="630"/>
      <c r="VPG219" s="630"/>
      <c r="VPH219" s="630"/>
      <c r="VPI219" s="630"/>
      <c r="VPJ219" s="630"/>
      <c r="VPK219" s="630"/>
      <c r="VPL219" s="630"/>
      <c r="VPM219" s="630"/>
      <c r="VPN219" s="630"/>
      <c r="VPO219" s="630"/>
      <c r="VPP219" s="630"/>
      <c r="VPQ219" s="630"/>
      <c r="VPR219" s="630"/>
      <c r="VPS219" s="630"/>
      <c r="VPT219" s="630"/>
      <c r="VPU219" s="630"/>
      <c r="VPV219" s="630"/>
      <c r="VPW219" s="630"/>
      <c r="VPX219" s="630"/>
      <c r="VPY219" s="630"/>
      <c r="VPZ219" s="630"/>
      <c r="VQA219" s="630"/>
      <c r="VQB219" s="630"/>
      <c r="VQC219" s="630"/>
      <c r="VQD219" s="630"/>
      <c r="VQE219" s="630"/>
      <c r="VQF219" s="630"/>
      <c r="VQG219" s="630"/>
      <c r="VQH219" s="630"/>
      <c r="VQI219" s="630"/>
      <c r="VQJ219" s="630"/>
      <c r="VQK219" s="630"/>
      <c r="VQL219" s="630"/>
      <c r="VQM219" s="630"/>
      <c r="VQN219" s="630"/>
      <c r="VQO219" s="630"/>
      <c r="VQP219" s="630"/>
      <c r="VQQ219" s="630"/>
      <c r="VQR219" s="630"/>
      <c r="VQS219" s="630"/>
      <c r="VQT219" s="630"/>
      <c r="VQU219" s="630"/>
      <c r="VQV219" s="630"/>
      <c r="VQW219" s="630"/>
      <c r="VQX219" s="630"/>
      <c r="VQY219" s="630"/>
      <c r="VQZ219" s="630"/>
      <c r="VRA219" s="630"/>
      <c r="VRB219" s="630"/>
      <c r="VRC219" s="630"/>
      <c r="VRD219" s="630"/>
      <c r="VRE219" s="630"/>
      <c r="VRF219" s="630"/>
      <c r="VRG219" s="630"/>
      <c r="VRH219" s="630"/>
      <c r="VRI219" s="630"/>
      <c r="VRJ219" s="630"/>
      <c r="VRK219" s="630"/>
      <c r="VRL219" s="630"/>
      <c r="VRM219" s="630"/>
      <c r="VRN219" s="630"/>
      <c r="VRO219" s="630"/>
      <c r="VRP219" s="630"/>
      <c r="VRQ219" s="630"/>
      <c r="VRR219" s="630"/>
      <c r="VRS219" s="630"/>
      <c r="VRT219" s="630"/>
      <c r="VRU219" s="630"/>
      <c r="VRV219" s="630"/>
      <c r="VRW219" s="630"/>
      <c r="VRX219" s="630"/>
      <c r="VRY219" s="630"/>
      <c r="VRZ219" s="630"/>
      <c r="VSA219" s="630"/>
      <c r="VSB219" s="630"/>
      <c r="VSC219" s="630"/>
      <c r="VSD219" s="630"/>
      <c r="VSE219" s="630"/>
      <c r="VSF219" s="630"/>
      <c r="VSG219" s="630"/>
      <c r="VSH219" s="630"/>
      <c r="VSI219" s="630"/>
      <c r="VSJ219" s="630"/>
      <c r="VSK219" s="630"/>
      <c r="VSL219" s="630"/>
      <c r="VSM219" s="630"/>
      <c r="VSN219" s="630"/>
      <c r="VSO219" s="630"/>
      <c r="VSP219" s="630"/>
      <c r="VSQ219" s="630"/>
      <c r="VSR219" s="630"/>
      <c r="VSS219" s="630"/>
      <c r="VST219" s="630"/>
      <c r="VSU219" s="630"/>
      <c r="VSV219" s="630"/>
      <c r="VSW219" s="630"/>
      <c r="VSX219" s="630"/>
      <c r="VSY219" s="630"/>
      <c r="VSZ219" s="630"/>
      <c r="VTA219" s="630"/>
      <c r="VTB219" s="630"/>
      <c r="VTC219" s="630"/>
      <c r="VTD219" s="630"/>
      <c r="VTE219" s="630"/>
      <c r="VTF219" s="630"/>
      <c r="VTG219" s="630"/>
      <c r="VTH219" s="630"/>
      <c r="VTI219" s="630"/>
      <c r="VTJ219" s="630"/>
      <c r="VTK219" s="630"/>
      <c r="VTL219" s="630"/>
      <c r="VTM219" s="630"/>
      <c r="VTN219" s="630"/>
      <c r="VTO219" s="630"/>
      <c r="VTP219" s="630"/>
      <c r="VTQ219" s="630"/>
      <c r="VTR219" s="630"/>
      <c r="VTS219" s="630"/>
      <c r="VTT219" s="630"/>
      <c r="VTU219" s="630"/>
      <c r="VTV219" s="630"/>
      <c r="VTW219" s="630"/>
      <c r="VTX219" s="630"/>
      <c r="VTY219" s="630"/>
      <c r="VTZ219" s="630"/>
      <c r="VUA219" s="630"/>
      <c r="VUB219" s="630"/>
      <c r="VUC219" s="630"/>
      <c r="VUD219" s="630"/>
      <c r="VUE219" s="630"/>
      <c r="VUF219" s="630"/>
      <c r="VUG219" s="630"/>
      <c r="VUH219" s="630"/>
      <c r="VUI219" s="630"/>
      <c r="VUJ219" s="630"/>
      <c r="VUK219" s="630"/>
      <c r="VUL219" s="630"/>
      <c r="VUM219" s="630"/>
      <c r="VUN219" s="630"/>
      <c r="VUO219" s="630"/>
      <c r="VUP219" s="630"/>
      <c r="VUQ219" s="630"/>
      <c r="VUR219" s="630"/>
      <c r="VUS219" s="630"/>
      <c r="VUT219" s="630"/>
      <c r="VUU219" s="630"/>
      <c r="VUV219" s="630"/>
      <c r="VUW219" s="630"/>
      <c r="VUX219" s="630"/>
      <c r="VUY219" s="630"/>
      <c r="VUZ219" s="630"/>
      <c r="VVA219" s="630"/>
      <c r="VVB219" s="630"/>
      <c r="VVC219" s="630"/>
      <c r="VVD219" s="630"/>
      <c r="VVE219" s="630"/>
      <c r="VVF219" s="630"/>
      <c r="VVG219" s="630"/>
      <c r="VVH219" s="630"/>
      <c r="VVI219" s="630"/>
      <c r="VVJ219" s="630"/>
      <c r="VVK219" s="630"/>
      <c r="VVL219" s="630"/>
      <c r="VVM219" s="630"/>
      <c r="VVN219" s="630"/>
      <c r="VVO219" s="630"/>
      <c r="VVP219" s="630"/>
      <c r="VVQ219" s="630"/>
      <c r="VVR219" s="630"/>
      <c r="VVS219" s="630"/>
      <c r="VVT219" s="630"/>
      <c r="VVU219" s="630"/>
      <c r="VVV219" s="630"/>
      <c r="VVW219" s="630"/>
      <c r="VVX219" s="630"/>
      <c r="VVY219" s="630"/>
      <c r="VVZ219" s="630"/>
      <c r="VWA219" s="630"/>
      <c r="VWB219" s="630"/>
      <c r="VWC219" s="630"/>
      <c r="VWD219" s="630"/>
      <c r="VWE219" s="630"/>
      <c r="VWF219" s="630"/>
      <c r="VWG219" s="630"/>
      <c r="VWH219" s="630"/>
      <c r="VWI219" s="630"/>
      <c r="VWJ219" s="630"/>
      <c r="VWK219" s="630"/>
      <c r="VWL219" s="630"/>
      <c r="VWM219" s="630"/>
      <c r="VWN219" s="630"/>
      <c r="VWO219" s="630"/>
      <c r="VWP219" s="630"/>
      <c r="VWQ219" s="630"/>
      <c r="VWR219" s="630"/>
      <c r="VWS219" s="630"/>
      <c r="VWT219" s="630"/>
      <c r="VWU219" s="630"/>
      <c r="VWV219" s="630"/>
      <c r="VWW219" s="630"/>
      <c r="VWX219" s="630"/>
      <c r="VWY219" s="630"/>
      <c r="VWZ219" s="630"/>
      <c r="VXA219" s="630"/>
      <c r="VXB219" s="630"/>
      <c r="VXC219" s="630"/>
      <c r="VXD219" s="630"/>
      <c r="VXE219" s="630"/>
      <c r="VXF219" s="630"/>
      <c r="VXG219" s="630"/>
      <c r="VXH219" s="630"/>
      <c r="VXI219" s="630"/>
      <c r="VXJ219" s="630"/>
      <c r="VXK219" s="630"/>
      <c r="VXL219" s="630"/>
      <c r="VXM219" s="630"/>
      <c r="VXN219" s="630"/>
      <c r="VXO219" s="630"/>
      <c r="VXP219" s="630"/>
      <c r="VXQ219" s="630"/>
      <c r="VXR219" s="630"/>
      <c r="VXS219" s="630"/>
      <c r="VXT219" s="630"/>
      <c r="VXU219" s="630"/>
      <c r="VXV219" s="630"/>
      <c r="VXW219" s="630"/>
      <c r="VXX219" s="630"/>
      <c r="VXY219" s="630"/>
      <c r="VXZ219" s="630"/>
      <c r="VYA219" s="630"/>
      <c r="VYB219" s="630"/>
      <c r="VYC219" s="630"/>
      <c r="VYD219" s="630"/>
      <c r="VYE219" s="630"/>
      <c r="VYF219" s="630"/>
      <c r="VYG219" s="630"/>
      <c r="VYH219" s="630"/>
      <c r="VYI219" s="630"/>
      <c r="VYJ219" s="630"/>
      <c r="VYK219" s="630"/>
      <c r="VYL219" s="630"/>
      <c r="VYM219" s="630"/>
      <c r="VYN219" s="630"/>
      <c r="VYO219" s="630"/>
      <c r="VYP219" s="630"/>
      <c r="VYQ219" s="630"/>
      <c r="VYR219" s="630"/>
      <c r="VYS219" s="630"/>
      <c r="VYT219" s="630"/>
      <c r="VYU219" s="630"/>
      <c r="VYV219" s="630"/>
      <c r="VYW219" s="630"/>
      <c r="VYX219" s="630"/>
      <c r="VYY219" s="630"/>
      <c r="VYZ219" s="630"/>
      <c r="VZA219" s="630"/>
      <c r="VZB219" s="630"/>
      <c r="VZC219" s="630"/>
      <c r="VZD219" s="630"/>
      <c r="VZE219" s="630"/>
      <c r="VZF219" s="630"/>
      <c r="VZG219" s="630"/>
      <c r="VZH219" s="630"/>
      <c r="VZI219" s="630"/>
      <c r="VZJ219" s="630"/>
      <c r="VZK219" s="630"/>
      <c r="VZL219" s="630"/>
      <c r="VZM219" s="630"/>
      <c r="VZN219" s="630"/>
      <c r="VZO219" s="630"/>
      <c r="VZP219" s="630"/>
      <c r="VZQ219" s="630"/>
      <c r="VZR219" s="630"/>
      <c r="VZS219" s="630"/>
      <c r="VZT219" s="630"/>
      <c r="VZU219" s="630"/>
      <c r="VZV219" s="630"/>
      <c r="VZW219" s="630"/>
      <c r="VZX219" s="630"/>
      <c r="VZY219" s="630"/>
      <c r="VZZ219" s="630"/>
      <c r="WAA219" s="630"/>
      <c r="WAB219" s="630"/>
      <c r="WAC219" s="630"/>
      <c r="WAD219" s="630"/>
      <c r="WAE219" s="630"/>
      <c r="WAF219" s="630"/>
      <c r="WAG219" s="630"/>
      <c r="WAH219" s="630"/>
      <c r="WAI219" s="630"/>
      <c r="WAJ219" s="630"/>
      <c r="WAK219" s="630"/>
      <c r="WAL219" s="630"/>
      <c r="WAM219" s="630"/>
      <c r="WAN219" s="630"/>
      <c r="WAO219" s="630"/>
      <c r="WAP219" s="630"/>
      <c r="WAQ219" s="630"/>
      <c r="WAR219" s="630"/>
      <c r="WAS219" s="630"/>
      <c r="WAT219" s="630"/>
      <c r="WAU219" s="630"/>
      <c r="WAV219" s="630"/>
      <c r="WAW219" s="630"/>
      <c r="WAX219" s="630"/>
      <c r="WAY219" s="630"/>
      <c r="WAZ219" s="630"/>
      <c r="WBA219" s="630"/>
      <c r="WBB219" s="630"/>
      <c r="WBC219" s="630"/>
      <c r="WBD219" s="630"/>
      <c r="WBE219" s="630"/>
      <c r="WBF219" s="630"/>
      <c r="WBG219" s="630"/>
      <c r="WBH219" s="630"/>
      <c r="WBI219" s="630"/>
      <c r="WBJ219" s="630"/>
      <c r="WBK219" s="630"/>
      <c r="WBL219" s="630"/>
      <c r="WBM219" s="630"/>
      <c r="WBN219" s="630"/>
      <c r="WBO219" s="630"/>
      <c r="WBP219" s="630"/>
      <c r="WBQ219" s="630"/>
      <c r="WBR219" s="630"/>
      <c r="WBS219" s="630"/>
      <c r="WBT219" s="630"/>
      <c r="WBU219" s="630"/>
      <c r="WBV219" s="630"/>
      <c r="WBW219" s="630"/>
      <c r="WBX219" s="630"/>
      <c r="WBY219" s="630"/>
      <c r="WBZ219" s="630"/>
      <c r="WCA219" s="630"/>
      <c r="WCB219" s="630"/>
      <c r="WCC219" s="630"/>
      <c r="WCD219" s="630"/>
      <c r="WCE219" s="630"/>
      <c r="WCF219" s="630"/>
      <c r="WCG219" s="630"/>
      <c r="WCH219" s="630"/>
      <c r="WCI219" s="630"/>
      <c r="WCJ219" s="630"/>
      <c r="WCK219" s="630"/>
      <c r="WCL219" s="630"/>
      <c r="WCM219" s="630"/>
      <c r="WCN219" s="630"/>
      <c r="WCO219" s="630"/>
      <c r="WCP219" s="630"/>
      <c r="WCQ219" s="630"/>
      <c r="WCR219" s="630"/>
      <c r="WCS219" s="630"/>
      <c r="WCT219" s="630"/>
      <c r="WCU219" s="630"/>
      <c r="WCV219" s="630"/>
      <c r="WCW219" s="630"/>
      <c r="WCX219" s="630"/>
      <c r="WCY219" s="630"/>
      <c r="WCZ219" s="630"/>
      <c r="WDA219" s="630"/>
      <c r="WDB219" s="630"/>
      <c r="WDC219" s="630"/>
      <c r="WDD219" s="630"/>
      <c r="WDE219" s="630"/>
      <c r="WDF219" s="630"/>
      <c r="WDG219" s="630"/>
      <c r="WDH219" s="630"/>
      <c r="WDI219" s="630"/>
      <c r="WDJ219" s="630"/>
      <c r="WDK219" s="630"/>
      <c r="WDL219" s="630"/>
      <c r="WDM219" s="630"/>
      <c r="WDN219" s="630"/>
      <c r="WDO219" s="630"/>
      <c r="WDP219" s="630"/>
      <c r="WDQ219" s="630"/>
      <c r="WDR219" s="630"/>
      <c r="WDS219" s="630"/>
      <c r="WDT219" s="630"/>
      <c r="WDU219" s="630"/>
      <c r="WDV219" s="630"/>
      <c r="WDW219" s="630"/>
      <c r="WDX219" s="630"/>
      <c r="WDY219" s="630"/>
      <c r="WDZ219" s="630"/>
      <c r="WEA219" s="630"/>
      <c r="WEB219" s="630"/>
      <c r="WEC219" s="630"/>
      <c r="WED219" s="630"/>
      <c r="WEE219" s="630"/>
      <c r="WEF219" s="630"/>
      <c r="WEG219" s="630"/>
      <c r="WEH219" s="630"/>
      <c r="WEI219" s="630"/>
      <c r="WEJ219" s="630"/>
      <c r="WEK219" s="630"/>
      <c r="WEL219" s="630"/>
      <c r="WEM219" s="630"/>
      <c r="WEN219" s="630"/>
      <c r="WEO219" s="630"/>
      <c r="WEP219" s="630"/>
      <c r="WEQ219" s="630"/>
      <c r="WER219" s="630"/>
      <c r="WES219" s="630"/>
      <c r="WET219" s="630"/>
      <c r="WEU219" s="630"/>
      <c r="WEV219" s="630"/>
      <c r="WEW219" s="630"/>
      <c r="WEX219" s="630"/>
      <c r="WEY219" s="630"/>
      <c r="WEZ219" s="630"/>
      <c r="WFA219" s="630"/>
      <c r="WFB219" s="630"/>
      <c r="WFC219" s="630"/>
      <c r="WFD219" s="630"/>
      <c r="WFE219" s="630"/>
      <c r="WFF219" s="630"/>
      <c r="WFG219" s="630"/>
      <c r="WFH219" s="630"/>
      <c r="WFI219" s="630"/>
      <c r="WFJ219" s="630"/>
      <c r="WFK219" s="630"/>
      <c r="WFL219" s="630"/>
      <c r="WFM219" s="630"/>
      <c r="WFN219" s="630"/>
      <c r="WFO219" s="630"/>
      <c r="WFP219" s="630"/>
      <c r="WFQ219" s="630"/>
      <c r="WFR219" s="630"/>
      <c r="WFS219" s="630"/>
      <c r="WFT219" s="630"/>
      <c r="WFU219" s="630"/>
      <c r="WFV219" s="630"/>
      <c r="WFW219" s="630"/>
      <c r="WFX219" s="630"/>
      <c r="WFY219" s="630"/>
      <c r="WFZ219" s="630"/>
      <c r="WGA219" s="630"/>
      <c r="WGB219" s="630"/>
      <c r="WGC219" s="630"/>
      <c r="WGD219" s="630"/>
      <c r="WGE219" s="630"/>
      <c r="WGF219" s="630"/>
      <c r="WGG219" s="630"/>
      <c r="WGH219" s="630"/>
      <c r="WGI219" s="630"/>
      <c r="WGJ219" s="630"/>
      <c r="WGK219" s="630"/>
      <c r="WGL219" s="630"/>
      <c r="WGM219" s="630"/>
      <c r="WGN219" s="630"/>
      <c r="WGO219" s="630"/>
      <c r="WGP219" s="630"/>
      <c r="WGQ219" s="630"/>
      <c r="WGR219" s="630"/>
      <c r="WGS219" s="630"/>
      <c r="WGT219" s="630"/>
      <c r="WGU219" s="630"/>
      <c r="WGV219" s="630"/>
      <c r="WGW219" s="630"/>
      <c r="WGX219" s="630"/>
      <c r="WGY219" s="630"/>
      <c r="WGZ219" s="630"/>
      <c r="WHA219" s="630"/>
      <c r="WHB219" s="630"/>
      <c r="WHC219" s="630"/>
      <c r="WHD219" s="630"/>
      <c r="WHE219" s="630"/>
      <c r="WHF219" s="630"/>
      <c r="WHG219" s="630"/>
      <c r="WHH219" s="630"/>
      <c r="WHI219" s="630"/>
      <c r="WHJ219" s="630"/>
      <c r="WHK219" s="630"/>
      <c r="WHL219" s="630"/>
      <c r="WHM219" s="630"/>
      <c r="WHN219" s="630"/>
      <c r="WHO219" s="630"/>
      <c r="WHP219" s="630"/>
      <c r="WHQ219" s="630"/>
      <c r="WHR219" s="630"/>
      <c r="WHS219" s="630"/>
      <c r="WHT219" s="630"/>
      <c r="WHU219" s="630"/>
      <c r="WHV219" s="630"/>
      <c r="WHW219" s="630"/>
      <c r="WHX219" s="630"/>
      <c r="WHY219" s="630"/>
      <c r="WHZ219" s="630"/>
      <c r="WIA219" s="630"/>
      <c r="WIB219" s="630"/>
      <c r="WIC219" s="630"/>
      <c r="WID219" s="630"/>
      <c r="WIE219" s="630"/>
      <c r="WIF219" s="630"/>
      <c r="WIG219" s="630"/>
      <c r="WIH219" s="630"/>
      <c r="WII219" s="630"/>
      <c r="WIJ219" s="630"/>
      <c r="WIK219" s="630"/>
      <c r="WIL219" s="630"/>
      <c r="WIM219" s="630"/>
      <c r="WIN219" s="630"/>
      <c r="WIO219" s="630"/>
      <c r="WIP219" s="630"/>
      <c r="WIQ219" s="630"/>
      <c r="WIR219" s="630"/>
      <c r="WIS219" s="630"/>
      <c r="WIT219" s="630"/>
      <c r="WIU219" s="630"/>
      <c r="WIV219" s="630"/>
      <c r="WIW219" s="630"/>
      <c r="WIX219" s="630"/>
      <c r="WIY219" s="630"/>
      <c r="WIZ219" s="630"/>
      <c r="WJA219" s="630"/>
      <c r="WJB219" s="630"/>
      <c r="WJC219" s="630"/>
      <c r="WJD219" s="630"/>
      <c r="WJE219" s="630"/>
      <c r="WJF219" s="630"/>
      <c r="WJG219" s="630"/>
      <c r="WJH219" s="630"/>
      <c r="WJI219" s="630"/>
      <c r="WJJ219" s="630"/>
      <c r="WJK219" s="630"/>
      <c r="WJL219" s="630"/>
      <c r="WJM219" s="630"/>
      <c r="WJN219" s="630"/>
      <c r="WJO219" s="630"/>
      <c r="WJP219" s="630"/>
      <c r="WJQ219" s="630"/>
      <c r="WJR219" s="630"/>
      <c r="WJS219" s="630"/>
      <c r="WJT219" s="630"/>
      <c r="WJU219" s="630"/>
      <c r="WJV219" s="630"/>
      <c r="WJW219" s="630"/>
      <c r="WJX219" s="630"/>
      <c r="WJY219" s="630"/>
      <c r="WJZ219" s="630"/>
      <c r="WKA219" s="630"/>
      <c r="WKB219" s="630"/>
      <c r="WKC219" s="630"/>
      <c r="WKD219" s="630"/>
      <c r="WKE219" s="630"/>
      <c r="WKF219" s="630"/>
      <c r="WKG219" s="630"/>
      <c r="WKH219" s="630"/>
      <c r="WKI219" s="630"/>
      <c r="WKJ219" s="630"/>
      <c r="WKK219" s="630"/>
      <c r="WKL219" s="630"/>
      <c r="WKM219" s="630"/>
      <c r="WKN219" s="630"/>
      <c r="WKO219" s="630"/>
      <c r="WKP219" s="630"/>
      <c r="WKQ219" s="630"/>
      <c r="WKR219" s="630"/>
      <c r="WKS219" s="630"/>
      <c r="WKT219" s="630"/>
      <c r="WKU219" s="630"/>
      <c r="WKV219" s="630"/>
      <c r="WKW219" s="630"/>
      <c r="WKX219" s="630"/>
      <c r="WKY219" s="630"/>
      <c r="WKZ219" s="630"/>
      <c r="WLA219" s="630"/>
      <c r="WLB219" s="630"/>
      <c r="WLC219" s="630"/>
      <c r="WLD219" s="630"/>
      <c r="WLE219" s="630"/>
      <c r="WLF219" s="630"/>
      <c r="WLG219" s="630"/>
      <c r="WLH219" s="630"/>
      <c r="WLI219" s="630"/>
      <c r="WLJ219" s="630"/>
      <c r="WLK219" s="630"/>
      <c r="WLL219" s="630"/>
      <c r="WLM219" s="630"/>
      <c r="WLN219" s="630"/>
      <c r="WLO219" s="630"/>
      <c r="WLP219" s="630"/>
      <c r="WLQ219" s="630"/>
      <c r="WLR219" s="630"/>
      <c r="WLS219" s="630"/>
      <c r="WLT219" s="630"/>
      <c r="WLU219" s="630"/>
      <c r="WLV219" s="630"/>
      <c r="WLW219" s="630"/>
      <c r="WLX219" s="630"/>
      <c r="WLY219" s="630"/>
      <c r="WLZ219" s="630"/>
      <c r="WMA219" s="630"/>
      <c r="WMB219" s="630"/>
      <c r="WMC219" s="630"/>
      <c r="WMD219" s="630"/>
      <c r="WME219" s="630"/>
      <c r="WMF219" s="630"/>
      <c r="WMG219" s="630"/>
      <c r="WMH219" s="630"/>
      <c r="WMI219" s="630"/>
      <c r="WMJ219" s="630"/>
      <c r="WMK219" s="630"/>
      <c r="WML219" s="630"/>
      <c r="WMM219" s="630"/>
      <c r="WMN219" s="630"/>
      <c r="WMO219" s="630"/>
      <c r="WMP219" s="630"/>
      <c r="WMQ219" s="630"/>
      <c r="WMR219" s="630"/>
      <c r="WMS219" s="630"/>
      <c r="WMT219" s="630"/>
      <c r="WMU219" s="630"/>
      <c r="WMV219" s="630"/>
      <c r="WMW219" s="630"/>
      <c r="WMX219" s="630"/>
      <c r="WMY219" s="630"/>
      <c r="WMZ219" s="630"/>
      <c r="WNA219" s="630"/>
      <c r="WNB219" s="630"/>
      <c r="WNC219" s="630"/>
      <c r="WND219" s="630"/>
      <c r="WNE219" s="630"/>
      <c r="WNF219" s="630"/>
      <c r="WNG219" s="630"/>
      <c r="WNH219" s="630"/>
      <c r="WNI219" s="630"/>
      <c r="WNJ219" s="630"/>
      <c r="WNK219" s="630"/>
      <c r="WNL219" s="630"/>
      <c r="WNM219" s="630"/>
      <c r="WNN219" s="630"/>
      <c r="WNO219" s="630"/>
      <c r="WNP219" s="630"/>
      <c r="WNQ219" s="630"/>
      <c r="WNR219" s="630"/>
      <c r="WNS219" s="630"/>
      <c r="WNT219" s="630"/>
      <c r="WNU219" s="630"/>
      <c r="WNV219" s="630"/>
      <c r="WNW219" s="630"/>
      <c r="WNX219" s="630"/>
      <c r="WNY219" s="630"/>
      <c r="WNZ219" s="630"/>
      <c r="WOA219" s="630"/>
      <c r="WOB219" s="630"/>
      <c r="WOC219" s="630"/>
      <c r="WOD219" s="630"/>
      <c r="WOE219" s="630"/>
      <c r="WOF219" s="630"/>
      <c r="WOG219" s="630"/>
      <c r="WOH219" s="630"/>
      <c r="WOI219" s="630"/>
      <c r="WOJ219" s="630"/>
      <c r="WOK219" s="630"/>
      <c r="WOL219" s="630"/>
      <c r="WOM219" s="630"/>
      <c r="WON219" s="630"/>
      <c r="WOO219" s="630"/>
      <c r="WOP219" s="630"/>
      <c r="WOQ219" s="630"/>
      <c r="WOR219" s="630"/>
      <c r="WOS219" s="630"/>
      <c r="WOT219" s="630"/>
      <c r="WOU219" s="630"/>
      <c r="WOV219" s="630"/>
      <c r="WOW219" s="630"/>
      <c r="WOX219" s="630"/>
      <c r="WOY219" s="630"/>
      <c r="WOZ219" s="630"/>
      <c r="WPA219" s="630"/>
      <c r="WPB219" s="630"/>
      <c r="WPC219" s="630"/>
      <c r="WPD219" s="630"/>
      <c r="WPE219" s="630"/>
      <c r="WPF219" s="630"/>
      <c r="WPG219" s="630"/>
      <c r="WPH219" s="630"/>
      <c r="WPI219" s="630"/>
      <c r="WPJ219" s="630"/>
      <c r="WPK219" s="630"/>
      <c r="WPL219" s="630"/>
      <c r="WPM219" s="630"/>
      <c r="WPN219" s="630"/>
      <c r="WPO219" s="630"/>
      <c r="WPP219" s="630"/>
      <c r="WPQ219" s="630"/>
      <c r="WPR219" s="630"/>
      <c r="WPS219" s="630"/>
      <c r="WPT219" s="630"/>
      <c r="WPU219" s="630"/>
      <c r="WPV219" s="630"/>
      <c r="WPW219" s="630"/>
      <c r="WPX219" s="630"/>
      <c r="WPY219" s="630"/>
      <c r="WPZ219" s="630"/>
      <c r="WQA219" s="630"/>
      <c r="WQB219" s="630"/>
      <c r="WQC219" s="630"/>
      <c r="WQD219" s="630"/>
      <c r="WQE219" s="630"/>
      <c r="WQF219" s="630"/>
      <c r="WQG219" s="630"/>
      <c r="WQH219" s="630"/>
      <c r="WQI219" s="630"/>
      <c r="WQJ219" s="630"/>
      <c r="WQK219" s="630"/>
      <c r="WQL219" s="630"/>
      <c r="WQM219" s="630"/>
      <c r="WQN219" s="630"/>
      <c r="WQO219" s="630"/>
      <c r="WQP219" s="630"/>
      <c r="WQQ219" s="630"/>
      <c r="WQR219" s="630"/>
      <c r="WQS219" s="630"/>
      <c r="WQT219" s="630"/>
      <c r="WQU219" s="630"/>
      <c r="WQV219" s="630"/>
      <c r="WQW219" s="630"/>
      <c r="WQX219" s="630"/>
      <c r="WQY219" s="630"/>
      <c r="WQZ219" s="630"/>
      <c r="WRA219" s="630"/>
      <c r="WRB219" s="630"/>
      <c r="WRC219" s="630"/>
      <c r="WRD219" s="630"/>
      <c r="WRE219" s="630"/>
      <c r="WRF219" s="630"/>
      <c r="WRG219" s="630"/>
      <c r="WRH219" s="630"/>
      <c r="WRI219" s="630"/>
      <c r="WRJ219" s="630"/>
      <c r="WRK219" s="630"/>
      <c r="WRL219" s="630"/>
      <c r="WRM219" s="630"/>
      <c r="WRN219" s="630"/>
      <c r="WRO219" s="630"/>
      <c r="WRP219" s="630"/>
      <c r="WRQ219" s="630"/>
      <c r="WRR219" s="630"/>
      <c r="WRS219" s="630"/>
      <c r="WRT219" s="630"/>
      <c r="WRU219" s="630"/>
      <c r="WRV219" s="630"/>
      <c r="WRW219" s="630"/>
      <c r="WRX219" s="630"/>
      <c r="WRY219" s="630"/>
      <c r="WRZ219" s="630"/>
      <c r="WSA219" s="630"/>
      <c r="WSB219" s="630"/>
      <c r="WSC219" s="630"/>
      <c r="WSD219" s="630"/>
      <c r="WSE219" s="630"/>
      <c r="WSF219" s="630"/>
      <c r="WSG219" s="630"/>
      <c r="WSH219" s="630"/>
      <c r="WSI219" s="630"/>
      <c r="WSJ219" s="630"/>
      <c r="WSK219" s="630"/>
      <c r="WSL219" s="630"/>
      <c r="WSM219" s="630"/>
      <c r="WSN219" s="630"/>
      <c r="WSO219" s="630"/>
      <c r="WSP219" s="630"/>
      <c r="WSQ219" s="630"/>
      <c r="WSR219" s="630"/>
      <c r="WSS219" s="630"/>
      <c r="WST219" s="630"/>
      <c r="WSU219" s="630"/>
      <c r="WSV219" s="630"/>
      <c r="WSW219" s="630"/>
      <c r="WSX219" s="630"/>
      <c r="WSY219" s="630"/>
      <c r="WSZ219" s="630"/>
      <c r="WTA219" s="630"/>
      <c r="WTB219" s="630"/>
      <c r="WTC219" s="630"/>
      <c r="WTD219" s="630"/>
      <c r="WTE219" s="630"/>
      <c r="WTF219" s="630"/>
      <c r="WTG219" s="630"/>
      <c r="WTH219" s="630"/>
      <c r="WTI219" s="630"/>
      <c r="WTJ219" s="630"/>
      <c r="WTK219" s="630"/>
      <c r="WTL219" s="630"/>
      <c r="WTM219" s="630"/>
      <c r="WTN219" s="630"/>
      <c r="WTO219" s="630"/>
      <c r="WTP219" s="630"/>
      <c r="WTQ219" s="630"/>
      <c r="WTR219" s="630"/>
      <c r="WTS219" s="630"/>
      <c r="WTT219" s="630"/>
      <c r="WTU219" s="630"/>
      <c r="WTV219" s="630"/>
      <c r="WTW219" s="630"/>
      <c r="WTX219" s="630"/>
      <c r="WTY219" s="630"/>
      <c r="WTZ219" s="630"/>
      <c r="WUA219" s="630"/>
      <c r="WUB219" s="630"/>
      <c r="WUC219" s="630"/>
      <c r="WUD219" s="630"/>
      <c r="WUE219" s="630"/>
      <c r="WUF219" s="630"/>
      <c r="WUG219" s="630"/>
      <c r="WUH219" s="630"/>
      <c r="WUI219" s="630"/>
      <c r="WUJ219" s="630"/>
      <c r="WUK219" s="630"/>
      <c r="WUL219" s="630"/>
      <c r="WUM219" s="630"/>
      <c r="WUN219" s="630"/>
      <c r="WUO219" s="630"/>
      <c r="WUP219" s="630"/>
      <c r="WUQ219" s="630"/>
      <c r="WUR219" s="630"/>
      <c r="WUS219" s="630"/>
      <c r="WUT219" s="630"/>
      <c r="WUU219" s="630"/>
      <c r="WUV219" s="630"/>
      <c r="WUW219" s="630"/>
      <c r="WUX219" s="630"/>
      <c r="WUY219" s="630"/>
      <c r="WUZ219" s="630"/>
      <c r="WVA219" s="630"/>
      <c r="WVB219" s="630"/>
      <c r="WVC219" s="630"/>
      <c r="WVD219" s="630"/>
      <c r="WVE219" s="630"/>
      <c r="WVF219" s="630"/>
      <c r="WVG219" s="630"/>
      <c r="WVH219" s="630"/>
      <c r="WVI219" s="630"/>
      <c r="WVJ219" s="630"/>
      <c r="WVK219" s="630"/>
      <c r="WVL219" s="630"/>
      <c r="WVM219" s="630"/>
      <c r="WVN219" s="630"/>
      <c r="WVO219" s="630"/>
    </row>
    <row r="220" spans="1:16135" x14ac:dyDescent="0.25">
      <c r="F220" s="49"/>
      <c r="G220" s="49"/>
    </row>
    <row r="221" spans="1:16135" x14ac:dyDescent="0.25">
      <c r="F221" s="49"/>
      <c r="G221" s="49"/>
    </row>
    <row r="222" spans="1:16135" x14ac:dyDescent="0.25">
      <c r="F222" s="629"/>
      <c r="G222" s="629"/>
    </row>
    <row r="223" spans="1:16135" x14ac:dyDescent="0.25">
      <c r="F223" s="49"/>
      <c r="G223" s="628"/>
    </row>
    <row r="224" spans="1:16135" x14ac:dyDescent="0.25">
      <c r="F224" s="642"/>
      <c r="G224" s="642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1" manualBreakCount="1">
    <brk id="17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B4CF5-1819-4610-9E06-0947C9D9EF4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7</vt:i4>
      </vt:variant>
    </vt:vector>
  </HeadingPairs>
  <TitlesOfParts>
    <vt:vector size="16" baseType="lpstr">
      <vt:lpstr>Zał.Nr1</vt:lpstr>
      <vt:lpstr>Zał .Nr2</vt:lpstr>
      <vt:lpstr>Zał.Nr3</vt:lpstr>
      <vt:lpstr>Zał.Nr4</vt:lpstr>
      <vt:lpstr>Zał.Nr5</vt:lpstr>
      <vt:lpstr>Zał.Nr6</vt:lpstr>
      <vt:lpstr>Zał.Nr7</vt:lpstr>
      <vt:lpstr>Zał.Nr8</vt:lpstr>
      <vt:lpstr>Arkusz1</vt:lpstr>
      <vt:lpstr>'Zał .Nr2'!Obszar_wydruku</vt:lpstr>
      <vt:lpstr>Zał.Nr1!Obszar_wydruku</vt:lpstr>
      <vt:lpstr>Zał.Nr8!Obszar_wydruku</vt:lpstr>
      <vt:lpstr>'Zał .Nr2'!Tytuły_wydruku</vt:lpstr>
      <vt:lpstr>Zał.Nr1!Tytuły_wydruku</vt:lpstr>
      <vt:lpstr>Zał.Nr6!Tytuły_wydruku</vt:lpstr>
      <vt:lpstr>Zał.Nr8!Tytuły_wydruku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402/2023 Prezydenta Miasta Włocławek z dn. 31 października 2023 r.</dc:title>
  <dc:creator>Beata Duszeńska</dc:creator>
  <cp:keywords>Załącznik do Zarządzenia Prezydenta Miasta Włocławek </cp:keywords>
  <cp:lastModifiedBy>Karolina Budziszewska</cp:lastModifiedBy>
  <cp:lastPrinted>2023-11-07T08:30:24Z</cp:lastPrinted>
  <dcterms:created xsi:type="dcterms:W3CDTF">2023-06-19T06:39:13Z</dcterms:created>
  <dcterms:modified xsi:type="dcterms:W3CDTF">2023-11-07T13:36:18Z</dcterms:modified>
</cp:coreProperties>
</file>