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C3E32FBC-58E2-4AF5-ABCF-DEEABA766658}" xr6:coauthVersionLast="47" xr6:coauthVersionMax="47" xr10:uidLastSave="{00000000-0000-0000-0000-000000000000}"/>
  <bookViews>
    <workbookView xWindow="6750" yWindow="4155" windowWidth="21630" windowHeight="11385" xr2:uid="{C2E76864-9AE0-4293-8833-44C7AB564DF6}"/>
  </bookViews>
  <sheets>
    <sheet name="Zał.Nr1" sheetId="6" r:id="rId1"/>
    <sheet name="Zał.Nr2" sheetId="7" r:id="rId2"/>
    <sheet name="Zał.Nr3" sheetId="8" r:id="rId3"/>
    <sheet name="Zał.Nr4" sheetId="9" r:id="rId4"/>
    <sheet name="Zał.Nr5" sheetId="10" r:id="rId5"/>
  </sheets>
  <definedNames>
    <definedName name="_xlnm._FilterDatabase" localSheetId="0" hidden="1">Zał.Nr1!$A$10:$H$832</definedName>
    <definedName name="_xlnm.Print_Area" localSheetId="0">Zał.Nr1!$A$1:$H$909</definedName>
    <definedName name="_xlnm.Print_Area" localSheetId="4">Zał.Nr5!$A$1:$G$228</definedName>
    <definedName name="_xlnm.Print_Titles" localSheetId="0">Zał.Nr1!$7:$9</definedName>
    <definedName name="_xlnm.Print_Titles" localSheetId="2">Zał.Nr3!$9:$10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10" l="1"/>
  <c r="G225" i="10"/>
  <c r="G224" i="10"/>
  <c r="G223" i="10"/>
  <c r="G222" i="10"/>
  <c r="G220" i="10" s="1"/>
  <c r="F219" i="10"/>
  <c r="G216" i="10"/>
  <c r="G214" i="10"/>
  <c r="F213" i="10"/>
  <c r="G211" i="10"/>
  <c r="G210" i="10"/>
  <c r="G209" i="10"/>
  <c r="G207" i="10" s="1"/>
  <c r="G205" i="10"/>
  <c r="G204" i="10"/>
  <c r="G202" i="10"/>
  <c r="F199" i="10"/>
  <c r="G197" i="10"/>
  <c r="G196" i="10"/>
  <c r="G195" i="10"/>
  <c r="G194" i="10" s="1"/>
  <c r="G192" i="10" s="1"/>
  <c r="G190" i="10"/>
  <c r="G187" i="10" s="1"/>
  <c r="G185" i="10" s="1"/>
  <c r="G189" i="10"/>
  <c r="G188" i="10"/>
  <c r="G183" i="10"/>
  <c r="G182" i="10"/>
  <c r="G180" i="10"/>
  <c r="G178" i="10"/>
  <c r="G177" i="10" s="1"/>
  <c r="G175" i="10" s="1"/>
  <c r="G173" i="10"/>
  <c r="G172" i="10"/>
  <c r="G171" i="10"/>
  <c r="G170" i="10"/>
  <c r="G169" i="10"/>
  <c r="G168" i="10"/>
  <c r="G166" i="10" s="1"/>
  <c r="G164" i="10"/>
  <c r="G163" i="10"/>
  <c r="G161" i="10"/>
  <c r="G159" i="10"/>
  <c r="G158" i="10"/>
  <c r="G157" i="10"/>
  <c r="G156" i="10"/>
  <c r="G154" i="10" s="1"/>
  <c r="G152" i="10" s="1"/>
  <c r="G155" i="10"/>
  <c r="G150" i="10"/>
  <c r="G149" i="10" s="1"/>
  <c r="G147" i="10" s="1"/>
  <c r="G145" i="10"/>
  <c r="G144" i="10"/>
  <c r="G143" i="10"/>
  <c r="G142" i="10"/>
  <c r="G141" i="10"/>
  <c r="G140" i="10"/>
  <c r="G138" i="10" s="1"/>
  <c r="G136" i="10"/>
  <c r="G135" i="10"/>
  <c r="G133" i="10"/>
  <c r="G131" i="10"/>
  <c r="G130" i="10"/>
  <c r="G129" i="10"/>
  <c r="G128" i="10"/>
  <c r="G126" i="10" s="1"/>
  <c r="G124" i="10" s="1"/>
  <c r="G127" i="10"/>
  <c r="G122" i="10"/>
  <c r="G121" i="10"/>
  <c r="G120" i="10"/>
  <c r="G119" i="10"/>
  <c r="G118" i="10"/>
  <c r="G117" i="10" s="1"/>
  <c r="G115" i="10" s="1"/>
  <c r="G113" i="10"/>
  <c r="G112" i="10"/>
  <c r="G110" i="10" s="1"/>
  <c r="G108" i="10"/>
  <c r="G107" i="10"/>
  <c r="G106" i="10"/>
  <c r="G103" i="10" s="1"/>
  <c r="G101" i="10" s="1"/>
  <c r="G105" i="10"/>
  <c r="G104" i="10"/>
  <c r="G99" i="10"/>
  <c r="G98" i="10"/>
  <c r="G97" i="10"/>
  <c r="G96" i="10"/>
  <c r="G94" i="10" s="1"/>
  <c r="G92" i="10" s="1"/>
  <c r="G95" i="10"/>
  <c r="G90" i="10"/>
  <c r="G89" i="10" s="1"/>
  <c r="G87" i="10" s="1"/>
  <c r="G85" i="10"/>
  <c r="G84" i="10"/>
  <c r="G83" i="10"/>
  <c r="G82" i="10"/>
  <c r="G81" i="10"/>
  <c r="G80" i="10"/>
  <c r="G79" i="10" s="1"/>
  <c r="G77" i="10" s="1"/>
  <c r="F74" i="10"/>
  <c r="G72" i="10"/>
  <c r="G71" i="10"/>
  <c r="G70" i="10"/>
  <c r="G68" i="10" s="1"/>
  <c r="F67" i="10"/>
  <c r="G65" i="10"/>
  <c r="G64" i="10" s="1"/>
  <c r="G62" i="10" s="1"/>
  <c r="F61" i="10"/>
  <c r="G59" i="10"/>
  <c r="G56" i="10" s="1"/>
  <c r="G54" i="10" s="1"/>
  <c r="G58" i="10"/>
  <c r="G57" i="10"/>
  <c r="F53" i="10"/>
  <c r="G51" i="10"/>
  <c r="G50" i="10"/>
  <c r="G49" i="10"/>
  <c r="G47" i="10"/>
  <c r="G46" i="10" s="1"/>
  <c r="G44" i="10" s="1"/>
  <c r="F43" i="10"/>
  <c r="G41" i="10"/>
  <c r="G40" i="10"/>
  <c r="G39" i="10"/>
  <c r="G38" i="10"/>
  <c r="G36" i="10" s="1"/>
  <c r="F35" i="10"/>
  <c r="G33" i="10"/>
  <c r="G32" i="10"/>
  <c r="G31" i="10"/>
  <c r="G30" i="10" s="1"/>
  <c r="G28" i="10" s="1"/>
  <c r="F27" i="10"/>
  <c r="G25" i="10"/>
  <c r="G24" i="10"/>
  <c r="G23" i="10"/>
  <c r="G22" i="10"/>
  <c r="G21" i="10" s="1"/>
  <c r="G19" i="10" s="1"/>
  <c r="F18" i="10"/>
  <c r="G16" i="10"/>
  <c r="F12" i="10"/>
  <c r="F228" i="10" s="1"/>
  <c r="G75" i="10" l="1"/>
  <c r="G200" i="10"/>
  <c r="G15" i="10"/>
  <c r="G13" i="10" s="1"/>
  <c r="G228" i="10" l="1"/>
  <c r="G33" i="9" l="1"/>
  <c r="F33" i="9"/>
  <c r="E33" i="9"/>
  <c r="D33" i="9"/>
  <c r="F209" i="8" l="1"/>
  <c r="F206" i="8"/>
  <c r="F195" i="8"/>
  <c r="F193" i="8"/>
  <c r="F191" i="8"/>
  <c r="F184" i="8"/>
  <c r="F181" i="8"/>
  <c r="F176" i="8"/>
  <c r="F162" i="8"/>
  <c r="F152" i="8"/>
  <c r="F148" i="8"/>
  <c r="F137" i="8"/>
  <c r="F135" i="8"/>
  <c r="F133" i="8"/>
  <c r="F117" i="8"/>
  <c r="F114" i="8"/>
  <c r="F107" i="8"/>
  <c r="F211" i="8" s="1"/>
  <c r="F103" i="8"/>
  <c r="F102" i="8"/>
  <c r="F101" i="8"/>
  <c r="F100" i="8"/>
  <c r="F96" i="8"/>
  <c r="F95" i="8"/>
  <c r="F93" i="8"/>
  <c r="F91" i="8"/>
  <c r="F89" i="8"/>
  <c r="F88" i="8"/>
  <c r="F87" i="8"/>
  <c r="F86" i="8"/>
  <c r="F85" i="8"/>
  <c r="F84" i="8"/>
  <c r="F83" i="8"/>
  <c r="F82" i="8"/>
  <c r="F104" i="8" s="1"/>
  <c r="F81" i="8"/>
  <c r="F80" i="8"/>
  <c r="F79" i="8"/>
  <c r="F78" i="8"/>
  <c r="F72" i="8"/>
  <c r="F68" i="8"/>
  <c r="F58" i="8"/>
  <c r="F55" i="8"/>
  <c r="F43" i="8"/>
  <c r="F41" i="8"/>
  <c r="F39" i="8"/>
  <c r="F24" i="8"/>
  <c r="F17" i="8"/>
  <c r="F16" i="8"/>
  <c r="F15" i="8"/>
  <c r="I20" i="7"/>
  <c r="H20" i="7"/>
  <c r="G19" i="7"/>
  <c r="F19" i="7"/>
  <c r="E19" i="7" s="1"/>
  <c r="D19" i="7"/>
  <c r="E18" i="7"/>
  <c r="G17" i="7"/>
  <c r="F17" i="7"/>
  <c r="E17" i="7" s="1"/>
  <c r="D17" i="7"/>
  <c r="G16" i="7"/>
  <c r="F16" i="7"/>
  <c r="E16" i="7" s="1"/>
  <c r="D16" i="7"/>
  <c r="G15" i="7"/>
  <c r="G20" i="7" s="1"/>
  <c r="F15" i="7"/>
  <c r="E15" i="7" s="1"/>
  <c r="D15" i="7"/>
  <c r="F14" i="7"/>
  <c r="E14" i="7" s="1"/>
  <c r="D14" i="7"/>
  <c r="D20" i="7" s="1"/>
  <c r="H908" i="6"/>
  <c r="H907" i="6"/>
  <c r="H906" i="6"/>
  <c r="H905" i="6"/>
  <c r="G904" i="6"/>
  <c r="F904" i="6"/>
  <c r="G903" i="6"/>
  <c r="G902" i="6" s="1"/>
  <c r="F903" i="6"/>
  <c r="H903" i="6" s="1"/>
  <c r="H901" i="6"/>
  <c r="H900" i="6"/>
  <c r="H899" i="6"/>
  <c r="H898" i="6"/>
  <c r="G897" i="6"/>
  <c r="H897" i="6" s="1"/>
  <c r="F897" i="6"/>
  <c r="F896" i="6" s="1"/>
  <c r="H894" i="6"/>
  <c r="F893" i="6"/>
  <c r="H893" i="6" s="1"/>
  <c r="H892" i="6"/>
  <c r="H891" i="6"/>
  <c r="F890" i="6"/>
  <c r="H890" i="6" s="1"/>
  <c r="F889" i="6"/>
  <c r="H889" i="6" s="1"/>
  <c r="H888" i="6"/>
  <c r="H887" i="6"/>
  <c r="F886" i="6"/>
  <c r="H886" i="6" s="1"/>
  <c r="G885" i="6"/>
  <c r="F885" i="6"/>
  <c r="H884" i="6"/>
  <c r="H883" i="6"/>
  <c r="F882" i="6"/>
  <c r="H882" i="6" s="1"/>
  <c r="H881" i="6"/>
  <c r="F880" i="6"/>
  <c r="H880" i="6" s="1"/>
  <c r="G879" i="6"/>
  <c r="H879" i="6" s="1"/>
  <c r="H878" i="6"/>
  <c r="F877" i="6"/>
  <c r="H877" i="6" s="1"/>
  <c r="F876" i="6"/>
  <c r="H876" i="6" s="1"/>
  <c r="F875" i="6"/>
  <c r="H874" i="6"/>
  <c r="H870" i="6"/>
  <c r="H869" i="6"/>
  <c r="H868" i="6"/>
  <c r="H867" i="6"/>
  <c r="H866" i="6"/>
  <c r="H865" i="6"/>
  <c r="H864" i="6"/>
  <c r="H863" i="6"/>
  <c r="H862" i="6"/>
  <c r="H861" i="6"/>
  <c r="G861" i="6"/>
  <c r="F861" i="6"/>
  <c r="F860" i="6" s="1"/>
  <c r="G860" i="6"/>
  <c r="G859" i="6" s="1"/>
  <c r="H858" i="6"/>
  <c r="H857" i="6"/>
  <c r="H856" i="6"/>
  <c r="H855" i="6"/>
  <c r="H854" i="6"/>
  <c r="H853" i="6"/>
  <c r="H852" i="6"/>
  <c r="H851" i="6"/>
  <c r="G850" i="6"/>
  <c r="G849" i="6" s="1"/>
  <c r="F850" i="6"/>
  <c r="H848" i="6"/>
  <c r="H847" i="6"/>
  <c r="H846" i="6"/>
  <c r="G845" i="6"/>
  <c r="H845" i="6" s="1"/>
  <c r="F845" i="6"/>
  <c r="F844" i="6"/>
  <c r="H842" i="6"/>
  <c r="H841" i="6"/>
  <c r="H840" i="6"/>
  <c r="G839" i="6"/>
  <c r="F839" i="6"/>
  <c r="H838" i="6"/>
  <c r="H837" i="6"/>
  <c r="H836" i="6"/>
  <c r="G835" i="6"/>
  <c r="G834" i="6" s="1"/>
  <c r="G833" i="6" s="1"/>
  <c r="F835" i="6"/>
  <c r="H831" i="6"/>
  <c r="G830" i="6"/>
  <c r="F830" i="6"/>
  <c r="F829" i="6" s="1"/>
  <c r="H826" i="6"/>
  <c r="H825" i="6"/>
  <c r="H824" i="6"/>
  <c r="G824" i="6"/>
  <c r="F824" i="6"/>
  <c r="H823" i="6"/>
  <c r="G823" i="6"/>
  <c r="F823" i="6"/>
  <c r="H819" i="6"/>
  <c r="H818" i="6"/>
  <c r="G818" i="6"/>
  <c r="G817" i="6" s="1"/>
  <c r="F818" i="6"/>
  <c r="F817" i="6"/>
  <c r="H816" i="6"/>
  <c r="H815" i="6"/>
  <c r="G814" i="6"/>
  <c r="G813" i="6" s="1"/>
  <c r="F814" i="6"/>
  <c r="H812" i="6"/>
  <c r="H811" i="6"/>
  <c r="H810" i="6"/>
  <c r="H809" i="6"/>
  <c r="H808" i="6"/>
  <c r="G807" i="6"/>
  <c r="H807" i="6" s="1"/>
  <c r="F807" i="6"/>
  <c r="H805" i="6"/>
  <c r="H804" i="6"/>
  <c r="H803" i="6"/>
  <c r="H802" i="6"/>
  <c r="H801" i="6"/>
  <c r="H800" i="6"/>
  <c r="H799" i="6"/>
  <c r="H798" i="6"/>
  <c r="H797" i="6"/>
  <c r="H796" i="6"/>
  <c r="H795" i="6"/>
  <c r="H794" i="6"/>
  <c r="G793" i="6"/>
  <c r="F793" i="6"/>
  <c r="F792" i="6"/>
  <c r="H790" i="6"/>
  <c r="F790" i="6"/>
  <c r="F789" i="6"/>
  <c r="G788" i="6"/>
  <c r="G787" i="6"/>
  <c r="G786" i="6" s="1"/>
  <c r="F786" i="6"/>
  <c r="H785" i="6"/>
  <c r="H784" i="6"/>
  <c r="H783" i="6"/>
  <c r="G782" i="6"/>
  <c r="F782" i="6"/>
  <c r="F778" i="6"/>
  <c r="H778" i="6" s="1"/>
  <c r="F777" i="6"/>
  <c r="H777" i="6" s="1"/>
  <c r="G776" i="6"/>
  <c r="H775" i="6"/>
  <c r="H774" i="6"/>
  <c r="H773" i="6"/>
  <c r="G772" i="6"/>
  <c r="G771" i="6" s="1"/>
  <c r="G770" i="6" s="1"/>
  <c r="F772" i="6"/>
  <c r="H768" i="6"/>
  <c r="H767" i="6"/>
  <c r="H766" i="6"/>
  <c r="H765" i="6"/>
  <c r="H764" i="6"/>
  <c r="H763" i="6"/>
  <c r="H762" i="6"/>
  <c r="H761" i="6"/>
  <c r="G761" i="6"/>
  <c r="G760" i="6" s="1"/>
  <c r="G759" i="6" s="1"/>
  <c r="F761" i="6"/>
  <c r="F760" i="6" s="1"/>
  <c r="H758" i="6"/>
  <c r="H757" i="6"/>
  <c r="G756" i="6"/>
  <c r="G755" i="6" s="1"/>
  <c r="G754" i="6" s="1"/>
  <c r="F756" i="6"/>
  <c r="H753" i="6"/>
  <c r="H752" i="6"/>
  <c r="G751" i="6"/>
  <c r="H751" i="6" s="1"/>
  <c r="F751" i="6"/>
  <c r="H750" i="6"/>
  <c r="H749" i="6"/>
  <c r="G748" i="6"/>
  <c r="F748" i="6"/>
  <c r="H748" i="6" s="1"/>
  <c r="H747" i="6"/>
  <c r="H746" i="6"/>
  <c r="H745" i="6"/>
  <c r="G744" i="6"/>
  <c r="G743" i="6" s="1"/>
  <c r="F744" i="6"/>
  <c r="F743" i="6" s="1"/>
  <c r="H742" i="6"/>
  <c r="H741" i="6"/>
  <c r="H740" i="6"/>
  <c r="H739" i="6"/>
  <c r="H738" i="6"/>
  <c r="H737" i="6"/>
  <c r="G736" i="6"/>
  <c r="G735" i="6" s="1"/>
  <c r="F736" i="6"/>
  <c r="F735" i="6" s="1"/>
  <c r="H735" i="6" s="1"/>
  <c r="H734" i="6"/>
  <c r="H733" i="6"/>
  <c r="G732" i="6"/>
  <c r="G731" i="6" s="1"/>
  <c r="F732" i="6"/>
  <c r="F731" i="6"/>
  <c r="H731" i="6" s="1"/>
  <c r="H729" i="6"/>
  <c r="H728" i="6"/>
  <c r="H727" i="6"/>
  <c r="H726" i="6"/>
  <c r="H725" i="6"/>
  <c r="G725" i="6"/>
  <c r="F725" i="6"/>
  <c r="H724" i="6"/>
  <c r="H723" i="6"/>
  <c r="G722" i="6"/>
  <c r="G721" i="6" s="1"/>
  <c r="F722" i="6"/>
  <c r="H720" i="6"/>
  <c r="H719" i="6"/>
  <c r="G719" i="6"/>
  <c r="F719" i="6"/>
  <c r="F718" i="6" s="1"/>
  <c r="G718" i="6"/>
  <c r="H717" i="6"/>
  <c r="H716" i="6"/>
  <c r="H715" i="6"/>
  <c r="H714" i="6"/>
  <c r="G713" i="6"/>
  <c r="F713" i="6"/>
  <c r="G712" i="6"/>
  <c r="H712" i="6" s="1"/>
  <c r="G711" i="6"/>
  <c r="H711" i="6" s="1"/>
  <c r="F711" i="6"/>
  <c r="H710" i="6"/>
  <c r="H709" i="6"/>
  <c r="H708" i="6"/>
  <c r="H707" i="6"/>
  <c r="H706" i="6"/>
  <c r="H705" i="6"/>
  <c r="H704" i="6"/>
  <c r="H703" i="6"/>
  <c r="F702" i="6"/>
  <c r="H702" i="6" s="1"/>
  <c r="H701" i="6"/>
  <c r="G700" i="6"/>
  <c r="F700" i="6"/>
  <c r="H699" i="6"/>
  <c r="H698" i="6"/>
  <c r="H697" i="6"/>
  <c r="H696" i="6"/>
  <c r="H695" i="6"/>
  <c r="H694" i="6"/>
  <c r="H693" i="6"/>
  <c r="H692" i="6"/>
  <c r="H691" i="6"/>
  <c r="H690" i="6"/>
  <c r="H689" i="6"/>
  <c r="H688" i="6"/>
  <c r="H687" i="6"/>
  <c r="H686" i="6"/>
  <c r="G685" i="6"/>
  <c r="F685" i="6"/>
  <c r="H684" i="6"/>
  <c r="H683" i="6"/>
  <c r="H682" i="6"/>
  <c r="H681" i="6"/>
  <c r="G680" i="6"/>
  <c r="F680" i="6"/>
  <c r="H678" i="6"/>
  <c r="H677" i="6"/>
  <c r="H676" i="6"/>
  <c r="G675" i="6"/>
  <c r="G674" i="6" s="1"/>
  <c r="F675" i="6"/>
  <c r="H673" i="6"/>
  <c r="G672" i="6"/>
  <c r="G671" i="6" s="1"/>
  <c r="F672" i="6"/>
  <c r="H670" i="6"/>
  <c r="H669" i="6"/>
  <c r="G668" i="6"/>
  <c r="G667" i="6" s="1"/>
  <c r="F668" i="6"/>
  <c r="F665" i="6"/>
  <c r="H665" i="6" s="1"/>
  <c r="F664" i="6"/>
  <c r="H664" i="6" s="1"/>
  <c r="F663" i="6"/>
  <c r="G662" i="6"/>
  <c r="H661" i="6"/>
  <c r="G660" i="6"/>
  <c r="H659" i="6"/>
  <c r="F658" i="6"/>
  <c r="H656" i="6"/>
  <c r="G655" i="6"/>
  <c r="G654" i="6" s="1"/>
  <c r="F655" i="6"/>
  <c r="F653" i="6"/>
  <c r="H653" i="6" s="1"/>
  <c r="F652" i="6"/>
  <c r="H652" i="6" s="1"/>
  <c r="G651" i="6"/>
  <c r="H650" i="6"/>
  <c r="G649" i="6"/>
  <c r="G648" i="6" s="1"/>
  <c r="F649" i="6"/>
  <c r="H647" i="6"/>
  <c r="H646" i="6"/>
  <c r="H645" i="6"/>
  <c r="H644" i="6"/>
  <c r="H643" i="6"/>
  <c r="H642" i="6"/>
  <c r="H641" i="6"/>
  <c r="H640" i="6"/>
  <c r="H639" i="6"/>
  <c r="G638" i="6"/>
  <c r="G637" i="6" s="1"/>
  <c r="F638" i="6"/>
  <c r="F635" i="6"/>
  <c r="H635" i="6" s="1"/>
  <c r="H634" i="6"/>
  <c r="F634" i="6"/>
  <c r="F632" i="6" s="1"/>
  <c r="F633" i="6"/>
  <c r="H633" i="6" s="1"/>
  <c r="G632" i="6"/>
  <c r="G631" i="6"/>
  <c r="H629" i="6"/>
  <c r="H628" i="6"/>
  <c r="H627" i="6"/>
  <c r="H626" i="6"/>
  <c r="G625" i="6"/>
  <c r="H625" i="6" s="1"/>
  <c r="F625" i="6"/>
  <c r="H624" i="6"/>
  <c r="H623" i="6"/>
  <c r="H622" i="6"/>
  <c r="G621" i="6"/>
  <c r="F621" i="6"/>
  <c r="H621" i="6" s="1"/>
  <c r="H620" i="6"/>
  <c r="H619" i="6"/>
  <c r="H618" i="6"/>
  <c r="H617" i="6"/>
  <c r="H616" i="6"/>
  <c r="G615" i="6"/>
  <c r="G613" i="6" s="1"/>
  <c r="F615" i="6"/>
  <c r="H612" i="6"/>
  <c r="H611" i="6"/>
  <c r="H610" i="6"/>
  <c r="H609" i="6"/>
  <c r="H608" i="6"/>
  <c r="H607" i="6"/>
  <c r="H606" i="6"/>
  <c r="G605" i="6"/>
  <c r="G604" i="6" s="1"/>
  <c r="F605" i="6"/>
  <c r="F604" i="6"/>
  <c r="H602" i="6"/>
  <c r="H601" i="6"/>
  <c r="G600" i="6"/>
  <c r="G598" i="6" s="1"/>
  <c r="F600" i="6"/>
  <c r="H597" i="6"/>
  <c r="G596" i="6"/>
  <c r="F596" i="6"/>
  <c r="H596" i="6" s="1"/>
  <c r="H595" i="6"/>
  <c r="H594" i="6"/>
  <c r="G593" i="6"/>
  <c r="G592" i="6" s="1"/>
  <c r="F593" i="6"/>
  <c r="H591" i="6"/>
  <c r="H590" i="6"/>
  <c r="H589" i="6"/>
  <c r="G588" i="6"/>
  <c r="F588" i="6"/>
  <c r="F586" i="6" s="1"/>
  <c r="H584" i="6"/>
  <c r="H583" i="6"/>
  <c r="H582" i="6"/>
  <c r="G581" i="6"/>
  <c r="F581" i="6"/>
  <c r="G580" i="6"/>
  <c r="H579" i="6"/>
  <c r="G578" i="6"/>
  <c r="G577" i="6" s="1"/>
  <c r="F578" i="6"/>
  <c r="F577" i="6"/>
  <c r="H576" i="6"/>
  <c r="G575" i="6"/>
  <c r="F575" i="6"/>
  <c r="G574" i="6"/>
  <c r="H572" i="6"/>
  <c r="H571" i="6"/>
  <c r="H570" i="6"/>
  <c r="G569" i="6"/>
  <c r="F569" i="6"/>
  <c r="H569" i="6" s="1"/>
  <c r="H568" i="6"/>
  <c r="H567" i="6"/>
  <c r="H566" i="6"/>
  <c r="H565" i="6"/>
  <c r="G564" i="6"/>
  <c r="G563" i="6" s="1"/>
  <c r="F564" i="6"/>
  <c r="F563" i="6" s="1"/>
  <c r="H562" i="6"/>
  <c r="H561" i="6"/>
  <c r="H560" i="6"/>
  <c r="H559" i="6"/>
  <c r="H558" i="6"/>
  <c r="H557" i="6"/>
  <c r="H556" i="6"/>
  <c r="H555" i="6"/>
  <c r="H554" i="6"/>
  <c r="G553" i="6"/>
  <c r="F553" i="6"/>
  <c r="H552" i="6"/>
  <c r="H551" i="6"/>
  <c r="H550" i="6"/>
  <c r="H549" i="6"/>
  <c r="H548" i="6"/>
  <c r="H547" i="6"/>
  <c r="H546" i="6"/>
  <c r="H545" i="6"/>
  <c r="H544" i="6"/>
  <c r="H543" i="6"/>
  <c r="G542" i="6"/>
  <c r="F542" i="6"/>
  <c r="H539" i="6"/>
  <c r="H538" i="6"/>
  <c r="G538" i="6"/>
  <c r="F538" i="6"/>
  <c r="G537" i="6"/>
  <c r="F537" i="6"/>
  <c r="H536" i="6"/>
  <c r="H535" i="6"/>
  <c r="H534" i="6"/>
  <c r="H533" i="6"/>
  <c r="F532" i="6"/>
  <c r="H531" i="6"/>
  <c r="H530" i="6"/>
  <c r="H529" i="6"/>
  <c r="H528" i="6"/>
  <c r="G527" i="6"/>
  <c r="G526" i="6"/>
  <c r="H526" i="6" s="1"/>
  <c r="H525" i="6"/>
  <c r="H524" i="6"/>
  <c r="H523" i="6"/>
  <c r="G522" i="6"/>
  <c r="H522" i="6" s="1"/>
  <c r="F522" i="6"/>
  <c r="H519" i="6"/>
  <c r="H518" i="6"/>
  <c r="G517" i="6"/>
  <c r="F517" i="6"/>
  <c r="H516" i="6"/>
  <c r="H515" i="6"/>
  <c r="H514" i="6"/>
  <c r="H513" i="6"/>
  <c r="H512" i="6"/>
  <c r="H511" i="6"/>
  <c r="H510" i="6"/>
  <c r="G509" i="6"/>
  <c r="F509" i="6"/>
  <c r="H509" i="6" s="1"/>
  <c r="H506" i="6"/>
  <c r="H505" i="6"/>
  <c r="G504" i="6"/>
  <c r="F504" i="6"/>
  <c r="H504" i="6" s="1"/>
  <c r="H503" i="6"/>
  <c r="G502" i="6"/>
  <c r="F502" i="6"/>
  <c r="G501" i="6"/>
  <c r="H498" i="6"/>
  <c r="G498" i="6"/>
  <c r="F498" i="6"/>
  <c r="G497" i="6"/>
  <c r="H497" i="6" s="1"/>
  <c r="G496" i="6"/>
  <c r="F496" i="6"/>
  <c r="F495" i="6" s="1"/>
  <c r="G494" i="6"/>
  <c r="G493" i="6" s="1"/>
  <c r="F493" i="6"/>
  <c r="F492" i="6" s="1"/>
  <c r="G484" i="6"/>
  <c r="H484" i="6" s="1"/>
  <c r="G483" i="6"/>
  <c r="H483" i="6" s="1"/>
  <c r="H482" i="6"/>
  <c r="G482" i="6"/>
  <c r="G481" i="6" s="1"/>
  <c r="G480" i="6" s="1"/>
  <c r="F481" i="6"/>
  <c r="H479" i="6"/>
  <c r="F479" i="6"/>
  <c r="G478" i="6"/>
  <c r="F478" i="6"/>
  <c r="H477" i="6"/>
  <c r="G477" i="6"/>
  <c r="F477" i="6"/>
  <c r="G476" i="6"/>
  <c r="F476" i="6"/>
  <c r="H476" i="6" s="1"/>
  <c r="G475" i="6"/>
  <c r="F475" i="6"/>
  <c r="F470" i="6"/>
  <c r="H470" i="6" s="1"/>
  <c r="H469" i="6"/>
  <c r="G469" i="6"/>
  <c r="F468" i="6"/>
  <c r="G467" i="6"/>
  <c r="G466" i="6"/>
  <c r="H466" i="6" s="1"/>
  <c r="G465" i="6"/>
  <c r="H465" i="6" s="1"/>
  <c r="F464" i="6"/>
  <c r="G459" i="6"/>
  <c r="H458" i="6"/>
  <c r="G458" i="6"/>
  <c r="G457" i="6"/>
  <c r="F457" i="6"/>
  <c r="H457" i="6" s="1"/>
  <c r="F456" i="6"/>
  <c r="H456" i="6" s="1"/>
  <c r="H453" i="6"/>
  <c r="H452" i="6"/>
  <c r="H451" i="6"/>
  <c r="H450" i="6"/>
  <c r="G449" i="6"/>
  <c r="F449" i="6"/>
  <c r="F448" i="6"/>
  <c r="H448" i="6" s="1"/>
  <c r="H447" i="6"/>
  <c r="G447" i="6"/>
  <c r="F446" i="6"/>
  <c r="H446" i="6" s="1"/>
  <c r="H445" i="6"/>
  <c r="G445" i="6"/>
  <c r="F444" i="6"/>
  <c r="H444" i="6" s="1"/>
  <c r="H443" i="6"/>
  <c r="F443" i="6"/>
  <c r="G442" i="6"/>
  <c r="F440" i="6"/>
  <c r="H440" i="6" s="1"/>
  <c r="F439" i="6"/>
  <c r="H439" i="6" s="1"/>
  <c r="F438" i="6"/>
  <c r="G437" i="6"/>
  <c r="G436" i="6" s="1"/>
  <c r="G435" i="6" s="1"/>
  <c r="F433" i="6"/>
  <c r="F432" i="6" s="1"/>
  <c r="H432" i="6" s="1"/>
  <c r="G432" i="6"/>
  <c r="H431" i="6"/>
  <c r="F431" i="6"/>
  <c r="H430" i="6"/>
  <c r="G429" i="6"/>
  <c r="G428" i="6" s="1"/>
  <c r="G427" i="6" s="1"/>
  <c r="F428" i="6"/>
  <c r="F426" i="6"/>
  <c r="H426" i="6" s="1"/>
  <c r="H425" i="6"/>
  <c r="F425" i="6"/>
  <c r="F424" i="6"/>
  <c r="H424" i="6" s="1"/>
  <c r="F423" i="6"/>
  <c r="G422" i="6"/>
  <c r="F421" i="6"/>
  <c r="H421" i="6" s="1"/>
  <c r="G420" i="6"/>
  <c r="H420" i="6" s="1"/>
  <c r="F419" i="6"/>
  <c r="H419" i="6" s="1"/>
  <c r="H418" i="6"/>
  <c r="G418" i="6"/>
  <c r="G417" i="6"/>
  <c r="H417" i="6" s="1"/>
  <c r="H416" i="6"/>
  <c r="F416" i="6"/>
  <c r="H413" i="6"/>
  <c r="G412" i="6"/>
  <c r="F412" i="6"/>
  <c r="F411" i="6"/>
  <c r="H411" i="6" s="1"/>
  <c r="F410" i="6"/>
  <c r="H410" i="6" s="1"/>
  <c r="H409" i="6"/>
  <c r="F409" i="6"/>
  <c r="F408" i="6"/>
  <c r="H408" i="6" s="1"/>
  <c r="F407" i="6"/>
  <c r="H407" i="6" s="1"/>
  <c r="G406" i="6"/>
  <c r="G404" i="6" s="1"/>
  <c r="H405" i="6"/>
  <c r="F404" i="6"/>
  <c r="H403" i="6"/>
  <c r="G403" i="6"/>
  <c r="F402" i="6"/>
  <c r="H402" i="6" s="1"/>
  <c r="H401" i="6"/>
  <c r="G401" i="6"/>
  <c r="F400" i="6"/>
  <c r="H400" i="6" s="1"/>
  <c r="H399" i="6"/>
  <c r="F399" i="6"/>
  <c r="F398" i="6"/>
  <c r="H398" i="6" s="1"/>
  <c r="H397" i="6"/>
  <c r="F397" i="6"/>
  <c r="F396" i="6"/>
  <c r="H396" i="6" s="1"/>
  <c r="H395" i="6"/>
  <c r="F395" i="6"/>
  <c r="F394" i="6"/>
  <c r="H394" i="6" s="1"/>
  <c r="H393" i="6"/>
  <c r="G393" i="6"/>
  <c r="G392" i="6"/>
  <c r="H392" i="6" s="1"/>
  <c r="H391" i="6"/>
  <c r="G391" i="6"/>
  <c r="F390" i="6"/>
  <c r="H390" i="6" s="1"/>
  <c r="H389" i="6"/>
  <c r="G389" i="6"/>
  <c r="G387" i="6"/>
  <c r="F386" i="6"/>
  <c r="H384" i="6"/>
  <c r="G383" i="6"/>
  <c r="H383" i="6" s="1"/>
  <c r="F383" i="6"/>
  <c r="F382" i="6"/>
  <c r="H382" i="6" s="1"/>
  <c r="G381" i="6"/>
  <c r="G377" i="6" s="1"/>
  <c r="G380" i="6"/>
  <c r="H380" i="6" s="1"/>
  <c r="F379" i="6"/>
  <c r="H379" i="6" s="1"/>
  <c r="F378" i="6"/>
  <c r="F376" i="6"/>
  <c r="F366" i="6" s="1"/>
  <c r="H375" i="6"/>
  <c r="G375" i="6"/>
  <c r="G374" i="6"/>
  <c r="H374" i="6" s="1"/>
  <c r="H373" i="6"/>
  <c r="G373" i="6"/>
  <c r="G372" i="6"/>
  <c r="H372" i="6" s="1"/>
  <c r="F371" i="6"/>
  <c r="H371" i="6" s="1"/>
  <c r="G370" i="6"/>
  <c r="H370" i="6" s="1"/>
  <c r="H369" i="6"/>
  <c r="F369" i="6"/>
  <c r="G368" i="6"/>
  <c r="H368" i="6" s="1"/>
  <c r="H367" i="6"/>
  <c r="G367" i="6"/>
  <c r="H364" i="6"/>
  <c r="G364" i="6"/>
  <c r="G363" i="6"/>
  <c r="F362" i="6"/>
  <c r="G361" i="6"/>
  <c r="H361" i="6" s="1"/>
  <c r="F360" i="6"/>
  <c r="F359" i="6" s="1"/>
  <c r="H358" i="6"/>
  <c r="G357" i="6"/>
  <c r="F357" i="6"/>
  <c r="F356" i="6"/>
  <c r="H356" i="6" s="1"/>
  <c r="G355" i="6"/>
  <c r="H354" i="6"/>
  <c r="G354" i="6"/>
  <c r="F353" i="6"/>
  <c r="H353" i="6" s="1"/>
  <c r="F352" i="6"/>
  <c r="G350" i="6"/>
  <c r="H350" i="6" s="1"/>
  <c r="H349" i="6"/>
  <c r="G349" i="6"/>
  <c r="G348" i="6"/>
  <c r="H348" i="6" s="1"/>
  <c r="H347" i="6"/>
  <c r="F347" i="6"/>
  <c r="G346" i="6"/>
  <c r="H346" i="6" s="1"/>
  <c r="H345" i="6"/>
  <c r="G345" i="6"/>
  <c r="F344" i="6"/>
  <c r="H344" i="6" s="1"/>
  <c r="H343" i="6"/>
  <c r="F343" i="6"/>
  <c r="G342" i="6"/>
  <c r="H342" i="6" s="1"/>
  <c r="H341" i="6"/>
  <c r="G341" i="6"/>
  <c r="F340" i="6"/>
  <c r="H340" i="6" s="1"/>
  <c r="H339" i="6"/>
  <c r="F339" i="6"/>
  <c r="G338" i="6"/>
  <c r="H338" i="6" s="1"/>
  <c r="H337" i="6"/>
  <c r="F337" i="6"/>
  <c r="G336" i="6"/>
  <c r="H336" i="6" s="1"/>
  <c r="H335" i="6"/>
  <c r="F335" i="6"/>
  <c r="G334" i="6"/>
  <c r="H334" i="6" s="1"/>
  <c r="H333" i="6"/>
  <c r="G333" i="6"/>
  <c r="G332" i="6"/>
  <c r="H332" i="6" s="1"/>
  <c r="H331" i="6"/>
  <c r="G331" i="6"/>
  <c r="G330" i="6"/>
  <c r="H330" i="6" s="1"/>
  <c r="H329" i="6"/>
  <c r="F329" i="6"/>
  <c r="F327" i="6" s="1"/>
  <c r="G328" i="6"/>
  <c r="G325" i="6"/>
  <c r="H325" i="6" s="1"/>
  <c r="G324" i="6"/>
  <c r="H324" i="6" s="1"/>
  <c r="G323" i="6"/>
  <c r="H323" i="6" s="1"/>
  <c r="G322" i="6"/>
  <c r="H322" i="6" s="1"/>
  <c r="H321" i="6"/>
  <c r="G321" i="6"/>
  <c r="G320" i="6"/>
  <c r="H320" i="6" s="1"/>
  <c r="H319" i="6"/>
  <c r="G319" i="6"/>
  <c r="F318" i="6"/>
  <c r="H317" i="6"/>
  <c r="G317" i="6"/>
  <c r="G316" i="6"/>
  <c r="H316" i="6" s="1"/>
  <c r="F315" i="6"/>
  <c r="H315" i="6" s="1"/>
  <c r="G314" i="6"/>
  <c r="G313" i="6" s="1"/>
  <c r="F312" i="6"/>
  <c r="H312" i="6" s="1"/>
  <c r="G311" i="6"/>
  <c r="H311" i="6" s="1"/>
  <c r="H310" i="6"/>
  <c r="G310" i="6"/>
  <c r="F309" i="6"/>
  <c r="H309" i="6" s="1"/>
  <c r="H308" i="6"/>
  <c r="G308" i="6"/>
  <c r="G307" i="6"/>
  <c r="F307" i="6"/>
  <c r="G306" i="6"/>
  <c r="F303" i="6"/>
  <c r="G302" i="6"/>
  <c r="G301" i="6" s="1"/>
  <c r="F300" i="6"/>
  <c r="H300" i="6" s="1"/>
  <c r="F299" i="6"/>
  <c r="G298" i="6"/>
  <c r="F297" i="6"/>
  <c r="H297" i="6" s="1"/>
  <c r="G296" i="6"/>
  <c r="H295" i="6"/>
  <c r="F295" i="6"/>
  <c r="F294" i="6"/>
  <c r="H291" i="6"/>
  <c r="G290" i="6"/>
  <c r="H290" i="6" s="1"/>
  <c r="F290" i="6"/>
  <c r="F289" i="6"/>
  <c r="H289" i="6" s="1"/>
  <c r="H288" i="6"/>
  <c r="G288" i="6"/>
  <c r="G287" i="6"/>
  <c r="F286" i="6"/>
  <c r="H286" i="6" s="1"/>
  <c r="F285" i="6"/>
  <c r="F283" i="6"/>
  <c r="H283" i="6" s="1"/>
  <c r="G282" i="6"/>
  <c r="H282" i="6" s="1"/>
  <c r="H281" i="6"/>
  <c r="F281" i="6"/>
  <c r="G280" i="6"/>
  <c r="H280" i="6" s="1"/>
  <c r="F279" i="6"/>
  <c r="H279" i="6" s="1"/>
  <c r="F278" i="6"/>
  <c r="H278" i="6" s="1"/>
  <c r="G277" i="6"/>
  <c r="H277" i="6" s="1"/>
  <c r="G276" i="6"/>
  <c r="H276" i="6" s="1"/>
  <c r="F275" i="6"/>
  <c r="H275" i="6" s="1"/>
  <c r="F274" i="6"/>
  <c r="H274" i="6" s="1"/>
  <c r="G273" i="6"/>
  <c r="F273" i="6"/>
  <c r="H273" i="6" s="1"/>
  <c r="G272" i="6"/>
  <c r="H271" i="6"/>
  <c r="F271" i="6"/>
  <c r="F270" i="6"/>
  <c r="H270" i="6" s="1"/>
  <c r="H268" i="6"/>
  <c r="F268" i="6"/>
  <c r="H267" i="6"/>
  <c r="H266" i="6"/>
  <c r="G266" i="6"/>
  <c r="F266" i="6"/>
  <c r="F264" i="6"/>
  <c r="H264" i="6" s="1"/>
  <c r="G263" i="6"/>
  <c r="H263" i="6" s="1"/>
  <c r="F262" i="6"/>
  <c r="H262" i="6" s="1"/>
  <c r="F259" i="6"/>
  <c r="H259" i="6" s="1"/>
  <c r="F258" i="6"/>
  <c r="H258" i="6" s="1"/>
  <c r="F257" i="6"/>
  <c r="H257" i="6" s="1"/>
  <c r="G256" i="6"/>
  <c r="F255" i="6"/>
  <c r="H254" i="6"/>
  <c r="G254" i="6"/>
  <c r="G253" i="6"/>
  <c r="H250" i="6"/>
  <c r="H249" i="6"/>
  <c r="G249" i="6"/>
  <c r="F249" i="6"/>
  <c r="F248" i="6"/>
  <c r="G247" i="6"/>
  <c r="H247" i="6" s="1"/>
  <c r="G246" i="6"/>
  <c r="F245" i="6"/>
  <c r="H245" i="6" s="1"/>
  <c r="F244" i="6"/>
  <c r="H244" i="6" s="1"/>
  <c r="H242" i="6"/>
  <c r="G242" i="6"/>
  <c r="F242" i="6"/>
  <c r="G241" i="6"/>
  <c r="H241" i="6" s="1"/>
  <c r="F240" i="6"/>
  <c r="H240" i="6" s="1"/>
  <c r="F239" i="6"/>
  <c r="H239" i="6" s="1"/>
  <c r="G238" i="6"/>
  <c r="H238" i="6" s="1"/>
  <c r="G237" i="6"/>
  <c r="H237" i="6" s="1"/>
  <c r="G236" i="6"/>
  <c r="H236" i="6" s="1"/>
  <c r="H235" i="6"/>
  <c r="F235" i="6"/>
  <c r="F234" i="6"/>
  <c r="H234" i="6" s="1"/>
  <c r="F233" i="6"/>
  <c r="H233" i="6" s="1"/>
  <c r="G232" i="6"/>
  <c r="H232" i="6" s="1"/>
  <c r="F231" i="6"/>
  <c r="H231" i="6" s="1"/>
  <c r="G230" i="6"/>
  <c r="H230" i="6" s="1"/>
  <c r="G229" i="6"/>
  <c r="H229" i="6" s="1"/>
  <c r="G228" i="6"/>
  <c r="F228" i="6"/>
  <c r="F227" i="6"/>
  <c r="H227" i="6" s="1"/>
  <c r="H226" i="6"/>
  <c r="F226" i="6"/>
  <c r="G225" i="6"/>
  <c r="G223" i="6"/>
  <c r="F222" i="6"/>
  <c r="G219" i="6"/>
  <c r="F218" i="6"/>
  <c r="F217" i="6" s="1"/>
  <c r="F216" i="6" s="1"/>
  <c r="H215" i="6"/>
  <c r="H214" i="6"/>
  <c r="G213" i="6"/>
  <c r="F213" i="6"/>
  <c r="G212" i="6"/>
  <c r="H211" i="6"/>
  <c r="H210" i="6"/>
  <c r="F209" i="6"/>
  <c r="H209" i="6" s="1"/>
  <c r="G208" i="6"/>
  <c r="G207" i="6"/>
  <c r="G206" i="6" s="1"/>
  <c r="H204" i="6"/>
  <c r="G203" i="6"/>
  <c r="F203" i="6"/>
  <c r="G202" i="6"/>
  <c r="G201" i="6" s="1"/>
  <c r="H200" i="6"/>
  <c r="H199" i="6"/>
  <c r="H198" i="6"/>
  <c r="H197" i="6"/>
  <c r="H196" i="6"/>
  <c r="H195" i="6"/>
  <c r="H194" i="6"/>
  <c r="G193" i="6"/>
  <c r="H193" i="6" s="1"/>
  <c r="F193" i="6"/>
  <c r="H192" i="6"/>
  <c r="H191" i="6"/>
  <c r="G190" i="6"/>
  <c r="F190" i="6"/>
  <c r="G189" i="6"/>
  <c r="H188" i="6"/>
  <c r="H187" i="6"/>
  <c r="H186" i="6"/>
  <c r="H185" i="6"/>
  <c r="H184" i="6"/>
  <c r="H183" i="6"/>
  <c r="H182" i="6"/>
  <c r="H181" i="6"/>
  <c r="G180" i="6"/>
  <c r="F180" i="6"/>
  <c r="G179" i="6"/>
  <c r="H178" i="6"/>
  <c r="H177" i="6"/>
  <c r="G176" i="6"/>
  <c r="F176" i="6"/>
  <c r="H176" i="6" s="1"/>
  <c r="H175" i="6"/>
  <c r="H174" i="6"/>
  <c r="H173" i="6"/>
  <c r="H172" i="6"/>
  <c r="H171" i="6"/>
  <c r="H170" i="6"/>
  <c r="H169" i="6"/>
  <c r="H168" i="6"/>
  <c r="H167" i="6"/>
  <c r="H166" i="6"/>
  <c r="G165" i="6"/>
  <c r="F165" i="6"/>
  <c r="F164" i="6" s="1"/>
  <c r="H162" i="6"/>
  <c r="H161" i="6"/>
  <c r="H160" i="6"/>
  <c r="H159" i="6"/>
  <c r="H158" i="6"/>
  <c r="H157" i="6"/>
  <c r="H156" i="6"/>
  <c r="H155" i="6"/>
  <c r="H154" i="6"/>
  <c r="G153" i="6"/>
  <c r="H153" i="6" s="1"/>
  <c r="F153" i="6"/>
  <c r="F152" i="6"/>
  <c r="H151" i="6"/>
  <c r="H150" i="6"/>
  <c r="H149" i="6"/>
  <c r="G148" i="6"/>
  <c r="H148" i="6" s="1"/>
  <c r="F148" i="6"/>
  <c r="F147" i="6"/>
  <c r="H145" i="6"/>
  <c r="H144" i="6"/>
  <c r="H143" i="6"/>
  <c r="H142" i="6"/>
  <c r="G141" i="6"/>
  <c r="G140" i="6" s="1"/>
  <c r="F141" i="6"/>
  <c r="F140" i="6" s="1"/>
  <c r="H140" i="6" s="1"/>
  <c r="H139" i="6"/>
  <c r="G138" i="6"/>
  <c r="G137" i="6" s="1"/>
  <c r="F138" i="6"/>
  <c r="F137" i="6" s="1"/>
  <c r="H136" i="6"/>
  <c r="G135" i="6"/>
  <c r="H135" i="6" s="1"/>
  <c r="F135" i="6"/>
  <c r="F134" i="6"/>
  <c r="H133" i="6"/>
  <c r="G132" i="6"/>
  <c r="G131" i="6" s="1"/>
  <c r="F132" i="6"/>
  <c r="H130" i="6"/>
  <c r="G129" i="6"/>
  <c r="F129" i="6"/>
  <c r="F128" i="6" s="1"/>
  <c r="H127" i="6"/>
  <c r="H126" i="6"/>
  <c r="H125" i="6"/>
  <c r="G124" i="6"/>
  <c r="F124" i="6"/>
  <c r="H124" i="6" s="1"/>
  <c r="H123" i="6"/>
  <c r="H122" i="6"/>
  <c r="G121" i="6"/>
  <c r="F121" i="6"/>
  <c r="G120" i="6"/>
  <c r="H116" i="6"/>
  <c r="G115" i="6"/>
  <c r="G114" i="6" s="1"/>
  <c r="G113" i="6" s="1"/>
  <c r="F115" i="6"/>
  <c r="H115" i="6" s="1"/>
  <c r="F112" i="6"/>
  <c r="H112" i="6" s="1"/>
  <c r="H111" i="6" s="1"/>
  <c r="H110" i="6" s="1"/>
  <c r="H109" i="6" s="1"/>
  <c r="G111" i="6"/>
  <c r="G110" i="6" s="1"/>
  <c r="G109" i="6" s="1"/>
  <c r="H107" i="6"/>
  <c r="G106" i="6"/>
  <c r="G105" i="6" s="1"/>
  <c r="G104" i="6" s="1"/>
  <c r="F106" i="6"/>
  <c r="F105" i="6" s="1"/>
  <c r="F104" i="6"/>
  <c r="H103" i="6"/>
  <c r="G102" i="6"/>
  <c r="F102" i="6"/>
  <c r="H102" i="6" s="1"/>
  <c r="G101" i="6"/>
  <c r="F101" i="6"/>
  <c r="H101" i="6" s="1"/>
  <c r="H100" i="6"/>
  <c r="G99" i="6"/>
  <c r="G98" i="6" s="1"/>
  <c r="F99" i="6"/>
  <c r="G97" i="6"/>
  <c r="F96" i="6"/>
  <c r="H96" i="6" s="1"/>
  <c r="G95" i="6"/>
  <c r="G94" i="6" s="1"/>
  <c r="G93" i="6"/>
  <c r="G92" i="6" s="1"/>
  <c r="H91" i="6"/>
  <c r="G90" i="6"/>
  <c r="G89" i="6" s="1"/>
  <c r="F90" i="6"/>
  <c r="H86" i="6"/>
  <c r="G85" i="6"/>
  <c r="G84" i="6" s="1"/>
  <c r="F85" i="6"/>
  <c r="F84" i="6" s="1"/>
  <c r="H82" i="6"/>
  <c r="G81" i="6"/>
  <c r="H81" i="6" s="1"/>
  <c r="F81" i="6"/>
  <c r="F80" i="6" s="1"/>
  <c r="H79" i="6"/>
  <c r="G78" i="6"/>
  <c r="G77" i="6" s="1"/>
  <c r="F78" i="6"/>
  <c r="H78" i="6" s="1"/>
  <c r="H76" i="6"/>
  <c r="G75" i="6"/>
  <c r="G74" i="6" s="1"/>
  <c r="F75" i="6"/>
  <c r="F74" i="6"/>
  <c r="H74" i="6" s="1"/>
  <c r="F72" i="6"/>
  <c r="H72" i="6" s="1"/>
  <c r="G71" i="6"/>
  <c r="G70" i="6" s="1"/>
  <c r="G69" i="6" s="1"/>
  <c r="F68" i="6"/>
  <c r="G67" i="6"/>
  <c r="H66" i="6"/>
  <c r="G65" i="6"/>
  <c r="G64" i="6" s="1"/>
  <c r="G63" i="6" s="1"/>
  <c r="F65" i="6"/>
  <c r="H61" i="6"/>
  <c r="G60" i="6"/>
  <c r="G59" i="6" s="1"/>
  <c r="F60" i="6"/>
  <c r="F59" i="6"/>
  <c r="H58" i="6"/>
  <c r="G57" i="6"/>
  <c r="G56" i="6" s="1"/>
  <c r="H56" i="6" s="1"/>
  <c r="F57" i="6"/>
  <c r="F56" i="6" s="1"/>
  <c r="F55" i="6"/>
  <c r="H54" i="6"/>
  <c r="G53" i="6"/>
  <c r="G52" i="6" s="1"/>
  <c r="G51" i="6" s="1"/>
  <c r="F53" i="6"/>
  <c r="F52" i="6" s="1"/>
  <c r="H50" i="6"/>
  <c r="G49" i="6"/>
  <c r="F49" i="6"/>
  <c r="F48" i="6" s="1"/>
  <c r="H48" i="6" s="1"/>
  <c r="G48" i="6"/>
  <c r="H47" i="6"/>
  <c r="G46" i="6"/>
  <c r="G45" i="6" s="1"/>
  <c r="H45" i="6" s="1"/>
  <c r="F46" i="6"/>
  <c r="H46" i="6" s="1"/>
  <c r="F45" i="6"/>
  <c r="H44" i="6"/>
  <c r="G43" i="6"/>
  <c r="G42" i="6" s="1"/>
  <c r="F43" i="6"/>
  <c r="F42" i="6"/>
  <c r="H40" i="6"/>
  <c r="G39" i="6"/>
  <c r="G38" i="6" s="1"/>
  <c r="F39" i="6"/>
  <c r="F38" i="6"/>
  <c r="H38" i="6" s="1"/>
  <c r="H36" i="6"/>
  <c r="G35" i="6"/>
  <c r="F35" i="6"/>
  <c r="G34" i="6"/>
  <c r="F34" i="6"/>
  <c r="H31" i="6"/>
  <c r="G30" i="6"/>
  <c r="G29" i="6" s="1"/>
  <c r="F30" i="6"/>
  <c r="H30" i="6" s="1"/>
  <c r="H28" i="6"/>
  <c r="G27" i="6"/>
  <c r="G26" i="6" s="1"/>
  <c r="F27" i="6"/>
  <c r="F26" i="6"/>
  <c r="F24" i="6"/>
  <c r="G23" i="6"/>
  <c r="G22" i="6" s="1"/>
  <c r="G21" i="6" s="1"/>
  <c r="H20" i="6"/>
  <c r="G19" i="6"/>
  <c r="G18" i="6" s="1"/>
  <c r="G17" i="6" s="1"/>
  <c r="F19" i="6"/>
  <c r="H19" i="6" s="1"/>
  <c r="H15" i="6"/>
  <c r="G14" i="6"/>
  <c r="F14" i="6"/>
  <c r="F13" i="6" s="1"/>
  <c r="H13" i="6" s="1"/>
  <c r="G13" i="6"/>
  <c r="G12" i="6" s="1"/>
  <c r="F212" i="8" l="1"/>
  <c r="E20" i="7"/>
  <c r="F20" i="7"/>
  <c r="F12" i="6"/>
  <c r="H12" i="6" s="1"/>
  <c r="G55" i="6"/>
  <c r="H55" i="6" s="1"/>
  <c r="H104" i="6"/>
  <c r="F189" i="6"/>
  <c r="H190" i="6"/>
  <c r="H213" i="6"/>
  <c r="F212" i="6"/>
  <c r="H212" i="6" s="1"/>
  <c r="H306" i="6"/>
  <c r="G305" i="6"/>
  <c r="G304" i="6" s="1"/>
  <c r="F436" i="6"/>
  <c r="F435" i="6" s="1"/>
  <c r="H435" i="6" s="1"/>
  <c r="H438" i="6"/>
  <c r="H814" i="6"/>
  <c r="F813" i="6"/>
  <c r="H813" i="6" s="1"/>
  <c r="H875" i="6"/>
  <c r="F873" i="6"/>
  <c r="H35" i="6"/>
  <c r="H39" i="6"/>
  <c r="H65" i="6"/>
  <c r="F95" i="6"/>
  <c r="F94" i="6" s="1"/>
  <c r="H94" i="6" s="1"/>
  <c r="H99" i="6"/>
  <c r="H106" i="6"/>
  <c r="H137" i="6"/>
  <c r="H165" i="6"/>
  <c r="G243" i="6"/>
  <c r="F269" i="6"/>
  <c r="H269" i="6" s="1"/>
  <c r="H355" i="6"/>
  <c r="G351" i="6"/>
  <c r="G366" i="6"/>
  <c r="G365" i="6" s="1"/>
  <c r="F388" i="6"/>
  <c r="H388" i="6" s="1"/>
  <c r="F442" i="6"/>
  <c r="H442" i="6" s="1"/>
  <c r="G455" i="6"/>
  <c r="G454" i="6" s="1"/>
  <c r="H459" i="6"/>
  <c r="G492" i="6"/>
  <c r="H542" i="6"/>
  <c r="G541" i="6"/>
  <c r="G658" i="6"/>
  <c r="G657" i="6" s="1"/>
  <c r="H660" i="6"/>
  <c r="H756" i="6"/>
  <c r="F755" i="6"/>
  <c r="H817" i="6"/>
  <c r="H839" i="6"/>
  <c r="H59" i="6"/>
  <c r="H203" i="6"/>
  <c r="F202" i="6"/>
  <c r="H202" i="6" s="1"/>
  <c r="H366" i="6"/>
  <c r="G388" i="6"/>
  <c r="H577" i="6"/>
  <c r="H675" i="6"/>
  <c r="F674" i="6"/>
  <c r="H674" i="6" s="1"/>
  <c r="H34" i="6"/>
  <c r="H129" i="6"/>
  <c r="H189" i="6"/>
  <c r="F298" i="6"/>
  <c r="H298" i="6" s="1"/>
  <c r="H299" i="6"/>
  <c r="G327" i="6"/>
  <c r="H327" i="6" s="1"/>
  <c r="H328" i="6"/>
  <c r="G360" i="6"/>
  <c r="H412" i="6"/>
  <c r="F422" i="6"/>
  <c r="H422" i="6" s="1"/>
  <c r="H423" i="6"/>
  <c r="G464" i="6"/>
  <c r="G463" i="6" s="1"/>
  <c r="G495" i="6"/>
  <c r="H537" i="6"/>
  <c r="H575" i="6"/>
  <c r="F574" i="6"/>
  <c r="H574" i="6" s="1"/>
  <c r="H578" i="6"/>
  <c r="F580" i="6"/>
  <c r="H581" i="6"/>
  <c r="F631" i="6"/>
  <c r="H632" i="6"/>
  <c r="H649" i="6"/>
  <c r="H772" i="6"/>
  <c r="F776" i="6"/>
  <c r="F902" i="6"/>
  <c r="H902" i="6" s="1"/>
  <c r="H90" i="6"/>
  <c r="H132" i="6"/>
  <c r="H180" i="6"/>
  <c r="F243" i="6"/>
  <c r="H243" i="6" s="1"/>
  <c r="F314" i="6"/>
  <c r="H449" i="6"/>
  <c r="H475" i="6"/>
  <c r="G507" i="6"/>
  <c r="G679" i="6"/>
  <c r="G666" i="6" s="1"/>
  <c r="H718" i="6"/>
  <c r="H732" i="6"/>
  <c r="H782" i="6"/>
  <c r="H904" i="6"/>
  <c r="H357" i="6"/>
  <c r="H517" i="6"/>
  <c r="H638" i="6"/>
  <c r="H685" i="6"/>
  <c r="H700" i="6"/>
  <c r="H713" i="6"/>
  <c r="H736" i="6"/>
  <c r="H835" i="6"/>
  <c r="H885" i="6"/>
  <c r="G25" i="6"/>
  <c r="H52" i="6"/>
  <c r="F51" i="6"/>
  <c r="H51" i="6" s="1"/>
  <c r="G83" i="6"/>
  <c r="H68" i="6"/>
  <c r="F67" i="6"/>
  <c r="G284" i="6"/>
  <c r="H287" i="6"/>
  <c r="H464" i="6"/>
  <c r="H668" i="6"/>
  <c r="F667" i="6"/>
  <c r="F37" i="6"/>
  <c r="G80" i="6"/>
  <c r="G73" i="6" s="1"/>
  <c r="G62" i="6" s="1"/>
  <c r="H121" i="6"/>
  <c r="F120" i="6"/>
  <c r="G134" i="6"/>
  <c r="H134" i="6" s="1"/>
  <c r="F146" i="6"/>
  <c r="H248" i="6"/>
  <c r="H272" i="6"/>
  <c r="G269" i="6"/>
  <c r="H285" i="6"/>
  <c r="F284" i="6"/>
  <c r="H387" i="6"/>
  <c r="G386" i="6"/>
  <c r="G441" i="6"/>
  <c r="H672" i="6"/>
  <c r="F671" i="6"/>
  <c r="H671" i="6" s="1"/>
  <c r="H789" i="6"/>
  <c r="F788" i="6"/>
  <c r="H788" i="6" s="1"/>
  <c r="H26" i="6"/>
  <c r="H53" i="6"/>
  <c r="F89" i="6"/>
  <c r="H89" i="6" s="1"/>
  <c r="G128" i="6"/>
  <c r="H128" i="6" s="1"/>
  <c r="F131" i="6"/>
  <c r="H131" i="6" s="1"/>
  <c r="G152" i="6"/>
  <c r="H152" i="6" s="1"/>
  <c r="G222" i="6"/>
  <c r="H223" i="6"/>
  <c r="H225" i="6"/>
  <c r="H246" i="6"/>
  <c r="G252" i="6"/>
  <c r="G251" i="6" s="1"/>
  <c r="H253" i="6"/>
  <c r="G261" i="6"/>
  <c r="G260" i="6" s="1"/>
  <c r="G293" i="6"/>
  <c r="G292" i="6" s="1"/>
  <c r="H296" i="6"/>
  <c r="H303" i="6"/>
  <c r="F302" i="6"/>
  <c r="F305" i="6"/>
  <c r="H307" i="6"/>
  <c r="H318" i="6"/>
  <c r="H376" i="6"/>
  <c r="H433" i="6"/>
  <c r="F455" i="6"/>
  <c r="H494" i="6"/>
  <c r="F507" i="6"/>
  <c r="H507" i="6" s="1"/>
  <c r="H604" i="6"/>
  <c r="H228" i="6"/>
  <c r="F224" i="6"/>
  <c r="H224" i="6" s="1"/>
  <c r="F441" i="6"/>
  <c r="H441" i="6" s="1"/>
  <c r="H658" i="6"/>
  <c r="F662" i="6"/>
  <c r="H662" i="6" s="1"/>
  <c r="H663" i="6"/>
  <c r="H42" i="6"/>
  <c r="H43" i="6"/>
  <c r="F83" i="6"/>
  <c r="H83" i="6" s="1"/>
  <c r="G147" i="6"/>
  <c r="G146" i="6" s="1"/>
  <c r="H255" i="6"/>
  <c r="F252" i="6"/>
  <c r="F351" i="6"/>
  <c r="H352" i="6"/>
  <c r="G362" i="6"/>
  <c r="H362" i="6" s="1"/>
  <c r="H363" i="6"/>
  <c r="H436" i="6"/>
  <c r="H564" i="6"/>
  <c r="F791" i="6"/>
  <c r="H830" i="6"/>
  <c r="G829" i="6"/>
  <c r="G820" i="6" s="1"/>
  <c r="F23" i="6"/>
  <c r="H24" i="6"/>
  <c r="F29" i="6"/>
  <c r="H29" i="6" s="1"/>
  <c r="H49" i="6"/>
  <c r="F71" i="6"/>
  <c r="F77" i="6"/>
  <c r="H77" i="6" s="1"/>
  <c r="H84" i="6"/>
  <c r="H95" i="6"/>
  <c r="H105" i="6"/>
  <c r="F114" i="6"/>
  <c r="H14" i="6"/>
  <c r="F18" i="6"/>
  <c r="H27" i="6"/>
  <c r="G37" i="6"/>
  <c r="G11" i="6" s="1"/>
  <c r="H57" i="6"/>
  <c r="H60" i="6"/>
  <c r="H75" i="6"/>
  <c r="H85" i="6"/>
  <c r="F93" i="6"/>
  <c r="F98" i="6"/>
  <c r="F111" i="6"/>
  <c r="H138" i="6"/>
  <c r="H141" i="6"/>
  <c r="G164" i="6"/>
  <c r="F179" i="6"/>
  <c r="H179" i="6" s="1"/>
  <c r="G218" i="6"/>
  <c r="H219" i="6"/>
  <c r="G224" i="6"/>
  <c r="H294" i="6"/>
  <c r="F293" i="6"/>
  <c r="H378" i="6"/>
  <c r="F377" i="6"/>
  <c r="H381" i="6"/>
  <c r="F406" i="6"/>
  <c r="H406" i="6" s="1"/>
  <c r="F415" i="6"/>
  <c r="H429" i="6"/>
  <c r="F474" i="6"/>
  <c r="H492" i="6"/>
  <c r="H631" i="6"/>
  <c r="F637" i="6"/>
  <c r="H637" i="6" s="1"/>
  <c r="F730" i="6"/>
  <c r="F427" i="6"/>
  <c r="H427" i="6" s="1"/>
  <c r="H468" i="6"/>
  <c r="F467" i="6"/>
  <c r="H467" i="6" s="1"/>
  <c r="H495" i="6"/>
  <c r="H502" i="6"/>
  <c r="F501" i="6"/>
  <c r="H501" i="6" s="1"/>
  <c r="H563" i="6"/>
  <c r="H580" i="6"/>
  <c r="H600" i="6"/>
  <c r="F598" i="6"/>
  <c r="H598" i="6" s="1"/>
  <c r="G603" i="6"/>
  <c r="H655" i="6"/>
  <c r="F654" i="6"/>
  <c r="H654" i="6" s="1"/>
  <c r="H680" i="6"/>
  <c r="F679" i="6"/>
  <c r="H755" i="6"/>
  <c r="F754" i="6"/>
  <c r="H760" i="6"/>
  <c r="F759" i="6"/>
  <c r="F208" i="6"/>
  <c r="F256" i="6"/>
  <c r="H256" i="6" s="1"/>
  <c r="F261" i="6"/>
  <c r="H360" i="6"/>
  <c r="H404" i="6"/>
  <c r="G415" i="6"/>
  <c r="G414" i="6" s="1"/>
  <c r="H428" i="6"/>
  <c r="H437" i="6"/>
  <c r="G474" i="6"/>
  <c r="G473" i="6" s="1"/>
  <c r="H481" i="6"/>
  <c r="F480" i="6"/>
  <c r="H480" i="6" s="1"/>
  <c r="H493" i="6"/>
  <c r="H496" i="6"/>
  <c r="G521" i="6"/>
  <c r="G520" i="6" s="1"/>
  <c r="H588" i="6"/>
  <c r="G586" i="6"/>
  <c r="G540" i="6" s="1"/>
  <c r="H593" i="6"/>
  <c r="F592" i="6"/>
  <c r="H592" i="6" s="1"/>
  <c r="H615" i="6"/>
  <c r="F613" i="6"/>
  <c r="H613" i="6" s="1"/>
  <c r="G630" i="6"/>
  <c r="G730" i="6"/>
  <c r="H787" i="6"/>
  <c r="H743" i="6"/>
  <c r="H860" i="6"/>
  <c r="F859" i="6"/>
  <c r="H859" i="6" s="1"/>
  <c r="H896" i="6"/>
  <c r="H478" i="6"/>
  <c r="H532" i="6"/>
  <c r="F527" i="6"/>
  <c r="H553" i="6"/>
  <c r="F541" i="6"/>
  <c r="H605" i="6"/>
  <c r="H722" i="6"/>
  <c r="F721" i="6"/>
  <c r="H721" i="6" s="1"/>
  <c r="H744" i="6"/>
  <c r="G781" i="6"/>
  <c r="G780" i="6" s="1"/>
  <c r="H786" i="6"/>
  <c r="F781" i="6"/>
  <c r="H793" i="6"/>
  <c r="G792" i="6"/>
  <c r="G791" i="6" s="1"/>
  <c r="F820" i="6"/>
  <c r="F843" i="6"/>
  <c r="G844" i="6"/>
  <c r="G843" i="6" s="1"/>
  <c r="G832" i="6" s="1"/>
  <c r="F849" i="6"/>
  <c r="H849" i="6" s="1"/>
  <c r="F872" i="6"/>
  <c r="G873" i="6"/>
  <c r="G872" i="6" s="1"/>
  <c r="G871" i="6" s="1"/>
  <c r="F895" i="6"/>
  <c r="G896" i="6"/>
  <c r="G895" i="6" s="1"/>
  <c r="F651" i="6"/>
  <c r="F834" i="6"/>
  <c r="H850" i="6"/>
  <c r="H843" i="6" l="1"/>
  <c r="F73" i="6"/>
  <c r="H314" i="6"/>
  <c r="F313" i="6"/>
  <c r="H313" i="6" s="1"/>
  <c r="H679" i="6"/>
  <c r="H844" i="6"/>
  <c r="H792" i="6"/>
  <c r="F657" i="6"/>
  <c r="H657" i="6" s="1"/>
  <c r="F385" i="6"/>
  <c r="F201" i="6"/>
  <c r="H201" i="6" s="1"/>
  <c r="G265" i="6"/>
  <c r="F163" i="6"/>
  <c r="H163" i="6" s="1"/>
  <c r="G769" i="6"/>
  <c r="H776" i="6"/>
  <c r="F771" i="6"/>
  <c r="G326" i="6"/>
  <c r="H222" i="6"/>
  <c r="G221" i="6"/>
  <c r="H651" i="6"/>
  <c r="F648" i="6"/>
  <c r="H648" i="6" s="1"/>
  <c r="H820" i="6"/>
  <c r="H781" i="6"/>
  <c r="F780" i="6"/>
  <c r="H780" i="6" s="1"/>
  <c r="H73" i="6"/>
  <c r="H305" i="6"/>
  <c r="F304" i="6"/>
  <c r="H304" i="6" s="1"/>
  <c r="F119" i="6"/>
  <c r="H120" i="6"/>
  <c r="F25" i="6"/>
  <c r="H25" i="6" s="1"/>
  <c r="H586" i="6"/>
  <c r="G119" i="6"/>
  <c r="F833" i="6"/>
  <c r="H834" i="6"/>
  <c r="G217" i="6"/>
  <c r="H218" i="6"/>
  <c r="G10" i="6"/>
  <c r="H93" i="6"/>
  <c r="G359" i="6"/>
  <c r="H359" i="6" s="1"/>
  <c r="H829" i="6"/>
  <c r="H754" i="6"/>
  <c r="H114" i="6"/>
  <c r="F113" i="6"/>
  <c r="H113" i="6" s="1"/>
  <c r="F301" i="6"/>
  <c r="H301" i="6" s="1"/>
  <c r="H302" i="6"/>
  <c r="G385" i="6"/>
  <c r="H385" i="6" s="1"/>
  <c r="H386" i="6"/>
  <c r="H80" i="6"/>
  <c r="F540" i="6"/>
  <c r="H541" i="6"/>
  <c r="H759" i="6"/>
  <c r="F473" i="6"/>
  <c r="H473" i="6" s="1"/>
  <c r="H474" i="6"/>
  <c r="F292" i="6"/>
  <c r="H292" i="6" s="1"/>
  <c r="H293" i="6"/>
  <c r="F97" i="6"/>
  <c r="H97" i="6" s="1"/>
  <c r="H98" i="6"/>
  <c r="H18" i="6"/>
  <c r="F17" i="6"/>
  <c r="F251" i="6"/>
  <c r="H251" i="6" s="1"/>
  <c r="H252" i="6"/>
  <c r="F265" i="6"/>
  <c r="H265" i="6" s="1"/>
  <c r="H284" i="6"/>
  <c r="H37" i="6"/>
  <c r="F666" i="6"/>
  <c r="H667" i="6"/>
  <c r="H67" i="6"/>
  <c r="F64" i="6"/>
  <c r="H872" i="6"/>
  <c r="F871" i="6"/>
  <c r="H871" i="6" s="1"/>
  <c r="F207" i="6"/>
  <c r="H208" i="6"/>
  <c r="H377" i="6"/>
  <c r="F365" i="6"/>
  <c r="H365" i="6" s="1"/>
  <c r="H873" i="6"/>
  <c r="F521" i="6"/>
  <c r="H527" i="6"/>
  <c r="F630" i="6"/>
  <c r="H415" i="6"/>
  <c r="F414" i="6"/>
  <c r="H414" i="6" s="1"/>
  <c r="H164" i="6"/>
  <c r="G163" i="6"/>
  <c r="H895" i="6"/>
  <c r="H261" i="6"/>
  <c r="F260" i="6"/>
  <c r="H260" i="6" s="1"/>
  <c r="H730" i="6"/>
  <c r="F110" i="6"/>
  <c r="F109" i="6" s="1"/>
  <c r="F70" i="6"/>
  <c r="H71" i="6"/>
  <c r="F22" i="6"/>
  <c r="H23" i="6"/>
  <c r="H791" i="6"/>
  <c r="H351" i="6"/>
  <c r="F326" i="6"/>
  <c r="H326" i="6" s="1"/>
  <c r="F603" i="6"/>
  <c r="H455" i="6"/>
  <c r="F454" i="6"/>
  <c r="H454" i="6" s="1"/>
  <c r="H146" i="6"/>
  <c r="F463" i="6"/>
  <c r="H463" i="6" s="1"/>
  <c r="F221" i="6"/>
  <c r="H147" i="6"/>
  <c r="H771" i="6" l="1"/>
  <c r="F770" i="6"/>
  <c r="H603" i="6"/>
  <c r="H22" i="6"/>
  <c r="F21" i="6"/>
  <c r="H21" i="6" s="1"/>
  <c r="F520" i="6"/>
  <c r="H521" i="6"/>
  <c r="H64" i="6"/>
  <c r="F63" i="6"/>
  <c r="G216" i="6"/>
  <c r="H217" i="6"/>
  <c r="H666" i="6"/>
  <c r="H119" i="6"/>
  <c r="F220" i="6"/>
  <c r="H221" i="6"/>
  <c r="H207" i="6"/>
  <c r="F206" i="6"/>
  <c r="G220" i="6"/>
  <c r="F69" i="6"/>
  <c r="H69" i="6" s="1"/>
  <c r="H70" i="6"/>
  <c r="H630" i="6"/>
  <c r="H17" i="6"/>
  <c r="F11" i="6"/>
  <c r="H540" i="6"/>
  <c r="F92" i="6"/>
  <c r="F832" i="6"/>
  <c r="H833" i="6"/>
  <c r="G118" i="6" l="1"/>
  <c r="G117" i="6" s="1"/>
  <c r="H770" i="6"/>
  <c r="F769" i="6"/>
  <c r="H769" i="6" s="1"/>
  <c r="H11" i="6"/>
  <c r="H92" i="6"/>
  <c r="H220" i="6"/>
  <c r="H206" i="6"/>
  <c r="F118" i="6"/>
  <c r="H832" i="6"/>
  <c r="H216" i="6"/>
  <c r="H63" i="6"/>
  <c r="F62" i="6"/>
  <c r="F10" i="6" s="1"/>
  <c r="H520" i="6"/>
  <c r="H10" i="6" l="1"/>
  <c r="H118" i="6"/>
  <c r="F117" i="6"/>
  <c r="H62" i="6"/>
  <c r="H117" i="6" l="1"/>
</calcChain>
</file>

<file path=xl/sharedStrings.xml><?xml version="1.0" encoding="utf-8"?>
<sst xmlns="http://schemas.openxmlformats.org/spreadsheetml/2006/main" count="1704" uniqueCount="548">
  <si>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</si>
  <si>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</si>
  <si>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</si>
  <si>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</si>
  <si>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</si>
  <si>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</si>
  <si>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</si>
  <si>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</si>
  <si>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</si>
  <si>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</si>
  <si>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</si>
  <si>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</si>
  <si>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</si>
  <si>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zakup materiałów i wyposażenia</t>
  </si>
  <si>
    <t>zakup usług pozostałych</t>
  </si>
  <si>
    <t>Zmiany w budżecie miasta Włocławek na 2023 rok</t>
  </si>
  <si>
    <t>DOCHODY OGÓŁEM:</t>
  </si>
  <si>
    <t>Dochody na zadania własne:</t>
  </si>
  <si>
    <t>Pozostałe zadania w zakresie polityki społecznej</t>
  </si>
  <si>
    <t>Pozostała działalność</t>
  </si>
  <si>
    <t>Wydział Dróg, Transportu Zbiorowego i Energii</t>
  </si>
  <si>
    <t>Załącznik Nr 1</t>
  </si>
  <si>
    <t>Obrona narodowa</t>
  </si>
  <si>
    <t>Kwalifikacja wojskowa</t>
  </si>
  <si>
    <t xml:space="preserve">Organ </t>
  </si>
  <si>
    <t>2120</t>
  </si>
  <si>
    <t>dotacje celowe otrzymane z budżetu państwa na zadania bieżące realizowane przez powiat na podstawie porozumień z organami administracji rządowej</t>
  </si>
  <si>
    <t>Bezpieczeństwo publiczne i ochrona</t>
  </si>
  <si>
    <t>przeciwpożarowa</t>
  </si>
  <si>
    <t xml:space="preserve">Komendy powiatowe Państwowej Straży Pożarnej </t>
  </si>
  <si>
    <t>dotacje otrzymane z państwowych funduszy celowych na realizację zadań bieżących jednostek sektora finansów publicznych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</si>
  <si>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</si>
  <si>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</si>
  <si>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</si>
  <si>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</si>
  <si>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</si>
  <si>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</si>
  <si>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Oświata i wychowanie</t>
  </si>
  <si>
    <t>Licea ogólnokształcące</t>
  </si>
  <si>
    <t>2130</t>
  </si>
  <si>
    <t>dotacje celowe otrzymane z budżetu państwa na realizację bieżących zadań własnych powiatu</t>
  </si>
  <si>
    <t>Dokształcanie i doskonalenie nauczycieli</t>
  </si>
  <si>
    <t>Zapewnienie uczniom prawa do bezpłatnego dostępu</t>
  </si>
  <si>
    <t>do podręczników, materiałów edukacyjnych lub materiałów</t>
  </si>
  <si>
    <t>ćwiczeniowych</t>
  </si>
  <si>
    <t>Organ - Fundusz Pomocy (wyposażenie szkół w podręczniki, materiały edukacyjne lub materiały ćwiczeniowe dla uczniów będących obywatelami Ukrainy w roku szkolnym 2023/2024)</t>
  </si>
  <si>
    <t>Pomoc społeczna</t>
  </si>
  <si>
    <t>Domy pomocy społecznej</t>
  </si>
  <si>
    <t>Organ</t>
  </si>
  <si>
    <t xml:space="preserve">Zasiłki okresowe, celowe i pomoc w naturze oraz składki </t>
  </si>
  <si>
    <t>na ubezpieczenia emerytalne i rentowe</t>
  </si>
  <si>
    <t>2030</t>
  </si>
  <si>
    <t>dotacje celowe otrzymane z budżetu państwa na realizację własnych zadań bieżących gmin (związków gmin, związków powiatowo-gminnych)</t>
  </si>
  <si>
    <t>Zasiłki stałe</t>
  </si>
  <si>
    <t>dotacja celowa otrzymana z budżetu państwa na realizację własnych zadań bieżących gmin (związków gmin, związków powiatowo-gminnych)</t>
  </si>
  <si>
    <t>Pomoc w zakresie dożywiania</t>
  </si>
  <si>
    <t>Organ - Fundusz Pomocy (zapewnienie posiłku dzieciom i młodzieży)</t>
  </si>
  <si>
    <t>Edukacyjna opieka wychowawcza</t>
  </si>
  <si>
    <t>Pomoc materialna dla uczniów o charakterze socjalnym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</si>
  <si>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</si>
  <si>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</si>
  <si>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</si>
  <si>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Organ - Fundusz Pomocy (świadczenia rodzinne)</t>
  </si>
  <si>
    <t>Dochody na zadania zlecone:</t>
  </si>
  <si>
    <t>Administracja publiczna</t>
  </si>
  <si>
    <t>Urzędy wojewódzkie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</si>
  <si>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</si>
  <si>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</si>
  <si>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Organ - Fundusz Pomocy (nadanie numeru PESEL, potwierdzenie tożsamości obywateli Ukrainy i wprowadzenie danych do rejestru danych kontaktowych na wniosek oraz zarządzanie statusem UKR)</t>
  </si>
  <si>
    <t>Bezpieczeństwo publiczne i ochrona przeciwpożarowa</t>
  </si>
  <si>
    <t>Organ - Fundusz Pomocy (świadczenie pieniężne - 40 zł za osobę dziennie)</t>
  </si>
  <si>
    <t>Ośrodki wsparcia</t>
  </si>
  <si>
    <t>Ośrodki pomocy społecznej</t>
  </si>
  <si>
    <t>Usługi opiekuńcze i specjalistyczne usługi opiekuńcze</t>
  </si>
  <si>
    <t>Świadczenia rodzinne, świadczenie z funduszu alimentacyjnego oraz składki na ubezpieczenia emerytalne i rentowe z ubezpieczenia społecznego</t>
  </si>
  <si>
    <t>2060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</si>
  <si>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</si>
  <si>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 xml:space="preserve">Składki na ubezpieczenie zdrowotne opłacane za osoby </t>
  </si>
  <si>
    <t>pobierające niektóre świadczenia rodzinne oraz za osoby</t>
  </si>
  <si>
    <t>pobierające zasiki dla opiekunów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</si>
  <si>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</si>
  <si>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</si>
  <si>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</si>
  <si>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</si>
  <si>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>710</t>
  </si>
  <si>
    <t>Działalność usługowa</t>
  </si>
  <si>
    <t>Zadania z zakresu geodezji i kartografii</t>
  </si>
  <si>
    <t>Nadzór budowlany</t>
  </si>
  <si>
    <t xml:space="preserve">Bezpieczeństwo publiczne i ochrona </t>
  </si>
  <si>
    <t>Komendy powiatowe Państwowej Straży Pożarnej</t>
  </si>
  <si>
    <t>Zespoły do spraw orzekania o niepełnosprawności</t>
  </si>
  <si>
    <t>Transport i łączność</t>
  </si>
  <si>
    <t>Lokalny transport zbiorowy</t>
  </si>
  <si>
    <t xml:space="preserve">zakup usług obejmujących wykonanie ekspertyz, analiz i opinii </t>
  </si>
  <si>
    <t>Miejski Zarząd Infrastruktury Drogowej i Transportu</t>
  </si>
  <si>
    <t>zakup usług remontowych</t>
  </si>
  <si>
    <t>koszty postępowania sądowego i prokuratorskiego</t>
  </si>
  <si>
    <t>Drogi publiczne w miastach na prawach powiatu</t>
  </si>
  <si>
    <t>zakup energii</t>
  </si>
  <si>
    <t>Drogi publiczne gminne</t>
  </si>
  <si>
    <t>Drogi wewnętrzne</t>
  </si>
  <si>
    <t>Funkcjonowanie dworców i węzłów przesiadkowych</t>
  </si>
  <si>
    <t>4210</t>
  </si>
  <si>
    <t>kary i odszkodowania wypłacane na rzecz osób prawnych i innych jednostek organizacyjnych</t>
  </si>
  <si>
    <t>Wydział Gospodarowania Mieniem Komunalnym</t>
  </si>
  <si>
    <t>pozostałe odsetki</t>
  </si>
  <si>
    <t>kary i odszkodowania wypłacane na rzecz osób fizycznych</t>
  </si>
  <si>
    <t>Gospodarowanie mieszkaniowym zasobem gminy</t>
  </si>
  <si>
    <t>Administracja Zasobów Komunalnych</t>
  </si>
  <si>
    <t>opłaty z tytułu zakupu usług telekomunikacyjnych</t>
  </si>
  <si>
    <t xml:space="preserve">różne opłaty i składki </t>
  </si>
  <si>
    <t>wpłaty na PPK finansowane przez podmiot zatrudniający</t>
  </si>
  <si>
    <t>75023</t>
  </si>
  <si>
    <t>Urzędy gmin (miast i miast na prawach powiatu)</t>
  </si>
  <si>
    <t>Wydział Organizacyjno-Prawny i Kadr</t>
  </si>
  <si>
    <t>wydatki osobowe niezaliczone do wynagrodzeń</t>
  </si>
  <si>
    <t>dodatkowe wynagrodzenie roczne</t>
  </si>
  <si>
    <t xml:space="preserve">składki na ubezpieczenia społeczne </t>
  </si>
  <si>
    <t>wpłaty na Państwowy Fundusz Rehabilitacji Osób Niepełnosprawnych</t>
  </si>
  <si>
    <t xml:space="preserve">szkolenia pracowników niebędących członkami korpusu służby cywilnej </t>
  </si>
  <si>
    <t>Wydział Informatyki</t>
  </si>
  <si>
    <t>75085</t>
  </si>
  <si>
    <t>Wspólna obsługa jednostek samorządu terytorialnego</t>
  </si>
  <si>
    <t>Centrum Usług Wspólnych Placówek Oświatowych</t>
  </si>
  <si>
    <t>wynagrodzenia bezosobowe</t>
  </si>
  <si>
    <t>zakup usług zdrowotnych</t>
  </si>
  <si>
    <t>Wydział Rewitalizacji</t>
  </si>
  <si>
    <t>4190</t>
  </si>
  <si>
    <t>nagrody konkursowe</t>
  </si>
  <si>
    <t>Wydział Zarządzania Kryzysowego i Bezpieczeństwa</t>
  </si>
  <si>
    <t>Komenda Miejska Państwowej Straży Pożarnej</t>
  </si>
  <si>
    <t>Zarządzanie kryzysowe</t>
  </si>
  <si>
    <t>Rezerwy ogólne i celowe</t>
  </si>
  <si>
    <t>4810</t>
  </si>
  <si>
    <t xml:space="preserve">rezerwy </t>
  </si>
  <si>
    <t xml:space="preserve"> - rezerwa celowa</t>
  </si>
  <si>
    <t>Szkoły podstawowe</t>
  </si>
  <si>
    <t>Wydział Edukacji</t>
  </si>
  <si>
    <t>dotacja podmiotowa z budżetu dla publicznej jednostki systemu oświaty prowadzonej przez osobę prawną inną niż jednostka samorządu terytorialnego lub przez osobę fizyczną</t>
  </si>
  <si>
    <t>Jednostki oświatowe zbiorczo</t>
  </si>
  <si>
    <t>nagrody o charakterze szczególnym  niezaliczone do wynagrodzeń</t>
  </si>
  <si>
    <t>wynagrodzenia osobowe pracowników</t>
  </si>
  <si>
    <t xml:space="preserve">składki na Fundusz Pracy oraz Fundusz Solidarnościowy </t>
  </si>
  <si>
    <t>zakup środków dydaktycznych i książek</t>
  </si>
  <si>
    <t>zakup usług telekomunikacyjnych</t>
  </si>
  <si>
    <t>podróże służbowe krajowe</t>
  </si>
  <si>
    <t>podatek od towarów i usług (VAT)</t>
  </si>
  <si>
    <t>wynagrodzenie osobowe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</si>
  <si>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</si>
  <si>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</si>
  <si>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</si>
  <si>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4370</t>
  </si>
  <si>
    <t>zakup usług związanych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</si>
  <si>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</si>
  <si>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</si>
  <si>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</si>
  <si>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</si>
  <si>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</si>
  <si>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</si>
  <si>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</si>
  <si>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Oddziały przedszkolne w szkołach podstawowych</t>
  </si>
  <si>
    <t>Przedszkola</t>
  </si>
  <si>
    <t>dotacja podmiotowa z budżetu dla niepublicznej jednostki systemu oświaty</t>
  </si>
  <si>
    <t>Przedszkola specjalne</t>
  </si>
  <si>
    <t>Inne formy wychowania przedszkolnego</t>
  </si>
  <si>
    <t>Świetlice szkolne</t>
  </si>
  <si>
    <t>Dowożenie uczniów do szkół</t>
  </si>
  <si>
    <t>pozostałe podatki na rzecz budżetów jednostek samorządu terytorialnego</t>
  </si>
  <si>
    <t>Technika</t>
  </si>
  <si>
    <t xml:space="preserve">składki na ubezpieczenie zdrowotne </t>
  </si>
  <si>
    <t>podróże służbowe zagraniczne</t>
  </si>
  <si>
    <t>Szkoły policealne</t>
  </si>
  <si>
    <t>Branżowe szkoły I i II stopnia</t>
  </si>
  <si>
    <t>dodatkowe wynagrodzenie roczne nauczycieli</t>
  </si>
  <si>
    <t>Jednostki oświatowe zbiorczo - Oddział Przygotowania Wojskowego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</si>
  <si>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</si>
  <si>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</si>
  <si>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</si>
  <si>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</si>
  <si>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wynagrodzenia osobowe nauczycieli</t>
  </si>
  <si>
    <t>odpisy na zakładowy fundusz świadczeń socjalnych</t>
  </si>
  <si>
    <t>Jednostki oświatowe zbiorczo - program "Wektory życia"</t>
  </si>
  <si>
    <t xml:space="preserve"> </t>
  </si>
  <si>
    <t>Stołówki szkolne i przedszkolne</t>
  </si>
  <si>
    <t>4010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</si>
  <si>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</si>
  <si>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</si>
  <si>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</si>
  <si>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</si>
  <si>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</si>
  <si>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</si>
  <si>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</si>
  <si>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</si>
  <si>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</si>
  <si>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</si>
  <si>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</si>
  <si>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</si>
  <si>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</si>
  <si>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Jednostki oświatowe zbiorczo - Fundusz Pomocy (wyposażenie szkół w podręczniki, materiały edukacyjne lub materiały ćwiczeniowe dla uczniów będących obywatelami Ukrainy w roku szkolnym 2023/2024)</t>
  </si>
  <si>
    <t>Wydział Edukacji - Fundusz Pomocy (wyposażenie szkół w podręczniki, materiały edukacyjne lub materiały ćwiczeniowe dla uczniów będących obywatelami Ukrainy w roku szkolnym 2023/2024)</t>
  </si>
  <si>
    <t xml:space="preserve">Jednostki oświatowe zbiorczo  (projekty z grantów Lokalnej </t>
  </si>
  <si>
    <t>Grupy  Działania Miasta Włocławek)</t>
  </si>
  <si>
    <t xml:space="preserve">składki na ubezpieczenie społeczne </t>
  </si>
  <si>
    <t xml:space="preserve">wynagrodzenia bezosobowe </t>
  </si>
  <si>
    <t xml:space="preserve">zakup środków dydaktycznych i książek </t>
  </si>
  <si>
    <t xml:space="preserve">zakup materiałów i wyposażenia </t>
  </si>
  <si>
    <t>851</t>
  </si>
  <si>
    <t>Ochrona zdrowia</t>
  </si>
  <si>
    <t>Przeciwdziałanie alkoholizmowi</t>
  </si>
  <si>
    <t>Centrum Wsparcia dla Osób w Kryzysie</t>
  </si>
  <si>
    <t>Miejski Ośrodek Pomocy Rodzinie</t>
  </si>
  <si>
    <t>zakup środków żywności</t>
  </si>
  <si>
    <t>852</t>
  </si>
  <si>
    <t>Dom Pomocy Społecznej ul. Nowomiejska 19</t>
  </si>
  <si>
    <t>Dom Pomocy Społecznej ul. Dobrzyńska 102</t>
  </si>
  <si>
    <t>4230</t>
  </si>
  <si>
    <t>zakup leków, wyrobów medycznych i produktów biobójczych</t>
  </si>
  <si>
    <t xml:space="preserve">Środowiskowy Dom Samopomocy </t>
  </si>
  <si>
    <t>Dom Pomocy Społecznej przy ul. Nowomiejskiej 19 - Centrum Wsparcia Społecznego</t>
  </si>
  <si>
    <t xml:space="preserve">Miejski Ośrodek Pomocy Rodzinie </t>
  </si>
  <si>
    <t>świadczenia społeczne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</si>
  <si>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</si>
  <si>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</si>
  <si>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</si>
  <si>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</si>
  <si>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>Miejski Ośrodek Pomocy Rodzinie - Fundusz Pomocy (zapewnienie posiłku dzieciom i młodzieży)</t>
  </si>
  <si>
    <t>świadczenia społeczne wypłacane obywatelom Ukrainy przebywającym na terytorium RP</t>
  </si>
  <si>
    <t>Młodzieżowy Ośrodek Wychowawczy - projekt pn.</t>
  </si>
  <si>
    <t>"Trampolina 3"</t>
  </si>
  <si>
    <t>4217</t>
  </si>
  <si>
    <t>Wydział Organizacyjno - Prawny i Kadr</t>
  </si>
  <si>
    <t>Włocławskie Centrum Organizacji Pozarządowych</t>
  </si>
  <si>
    <t xml:space="preserve">i Wolontariatu </t>
  </si>
  <si>
    <t>Miejska Jadłodajnia "U Świętego Antoniego"</t>
  </si>
  <si>
    <t>Miejski Ośrodek Pomocy Rodzinie - projekt pn."Kujawsko - pomorska teleopieka"</t>
  </si>
  <si>
    <t>składki na ubezpieczenia społeczne</t>
  </si>
  <si>
    <t>składki na Fundusz Pracy oraz Fundusz Solidarnościowy</t>
  </si>
  <si>
    <t>Wczesne wspomaganie rozwoju dziecka</t>
  </si>
  <si>
    <t>Poradnie psychologiczno - pedagogiczne, w tym</t>
  </si>
  <si>
    <t>poradnie specjalistyczne</t>
  </si>
  <si>
    <t>Internaty i bursy szkolne</t>
  </si>
  <si>
    <t>4860</t>
  </si>
  <si>
    <t>stypendia dla uczniów</t>
  </si>
  <si>
    <t>Młodzieżowe ośrodki wychowawcze</t>
  </si>
  <si>
    <t>Karta Dużej Rodziny</t>
  </si>
  <si>
    <t>Wydział Polityki Społecznej i Zdrowia Publicznego</t>
  </si>
  <si>
    <t>Wspieranie rodziny</t>
  </si>
  <si>
    <t>Miejski Ośrodek Pomocy Rodzinie - asystent rodziny</t>
  </si>
  <si>
    <t>Centrum Opieki nad Dzieckiem</t>
  </si>
  <si>
    <t xml:space="preserve">Placówka Opiekuńczo - Wychowawcza Nr 1 "Maluch" </t>
  </si>
  <si>
    <t xml:space="preserve">Placówka Opiekuńczo - Wychowawcza Nr 2 "Calineczka" </t>
  </si>
  <si>
    <t>opłaty na rzecz budżetów jednostek samorządu terytorialnego</t>
  </si>
  <si>
    <t>4710</t>
  </si>
  <si>
    <t>2360</t>
  </si>
  <si>
    <t>dotacja celowa z budżetu jednostki samorządu terytorialnego, udzielona w trybie art. 221 ustawy, na finansowanie lub dofinansowanie zadań zleconych do realizacji organizacjom prowadzącym działalność pożytku publicznego</t>
  </si>
  <si>
    <t>Centrum Opieki nad Dzieckiem - Fundusz Pomocy (finansowanie pobytu dzieci obywateli Ukrainy umieszczonych w systemie pieczy zastępczej)</t>
  </si>
  <si>
    <t>wynagrodzenia i uposażenia wypłacane w związku z pomocą obywatelom Ukrainy</t>
  </si>
  <si>
    <t>System opieki nad dziećmi w wieku do lat 3</t>
  </si>
  <si>
    <t>Miejski Zespół Żłobków</t>
  </si>
  <si>
    <t>Miejski Ośrodek Pomocy Rodzinie - Fundusz Pomocy (świadczenia rodzinne)</t>
  </si>
  <si>
    <t>Gospodarka komunalna i ochrona środowiska</t>
  </si>
  <si>
    <t>Utrzymanie zieleni w miastach i gminach</t>
  </si>
  <si>
    <t>Miejski Zakład Zieleni i Usług Komunalnych</t>
  </si>
  <si>
    <t>Schroniska dla zwierząt</t>
  </si>
  <si>
    <t>Schronisko dla Zwierząt</t>
  </si>
  <si>
    <t>Miejski Zakład Zieleni i Usług Komunalnych we Włocławku - obsługa Strefy Rozwoju Gospodarczego /Park Przemysłowo - Technologiczny/</t>
  </si>
  <si>
    <t xml:space="preserve">Wydział Nadzoru Właścicielskiego i Gospodarki Komunalnej </t>
  </si>
  <si>
    <t xml:space="preserve">Kultura i ochrona dziedzictwa narodowego </t>
  </si>
  <si>
    <t>Wydział Kultury, Promocji i Komunikacji Społecznej</t>
  </si>
  <si>
    <t>Kultura fizyczna</t>
  </si>
  <si>
    <t>Obiekty sportowe</t>
  </si>
  <si>
    <t>Wydatki na zadania zlecone:</t>
  </si>
  <si>
    <t>Wydział Organizacyjno - Prawny i Kadr - Fundusz Pomocy (nadanie numeru PESEL, potwierdzenie tożsamości obywateli Ukrainy i wprowadzenie danych do rejestru danych kontaktowych na wniosek oraz zarządzanie statusem UKR)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</si>
  <si>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</si>
  <si>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</si>
  <si>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</si>
  <si>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</si>
  <si>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Środowiskowy Dom Samopomocy</t>
  </si>
  <si>
    <t>Środowiskowy Dom Samopomocy - Klub Samopomocy</t>
  </si>
  <si>
    <t>"Rozumiem i wspieram"</t>
  </si>
  <si>
    <t>Świadczenia rodzinne, świadczenie z funduszu</t>
  </si>
  <si>
    <t>alimentacyjnego oraz składki na ubezpieczenia</t>
  </si>
  <si>
    <t>emerytalne i rentowe z ubezpieczenia społecznego</t>
  </si>
  <si>
    <t>Miejski Ośrodek Pomocy Rodzinie - świadczenie wychowawcze</t>
  </si>
  <si>
    <t>Wydatki na zadania rządowe:</t>
  </si>
  <si>
    <t>Powiatowy Inspektorat Nadzoru Budowlanego Miasta Włocławek</t>
  </si>
  <si>
    <t>szkolenia członków korpusu służby cywilnej</t>
  </si>
  <si>
    <t xml:space="preserve">opłaty z tytułu zakupu usług telekomunikacyjnych </t>
  </si>
  <si>
    <t>wydatki osobowe niezaliczone do uposażeń wypłacane żołnierzom i funkcjonariuszom</t>
  </si>
  <si>
    <t>wynagrodzenia osobowe członków korpusu służby cywilnej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</si>
  <si>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</si>
  <si>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</si>
  <si>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</si>
  <si>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równoważniki pieniężne i ekwiwalenty dla żołnierzy i funkcjonariuszy oraz pozostałe należności</t>
  </si>
  <si>
    <t>podatek od nieruchomości</t>
  </si>
  <si>
    <t>opłaty na rzecz budżetu państwa</t>
  </si>
  <si>
    <t>Zadania w zakresie przeciwdziałania przemocy w rodzinie</t>
  </si>
  <si>
    <t>Miejski Ośrodek Pomocy Rodzinie - Specjalistyczny Ośrodek Wsparcia</t>
  </si>
  <si>
    <t>do Zarządzenia NR 429/2023</t>
  </si>
  <si>
    <t>z dnia 30 listopada 2023 r.</t>
  </si>
  <si>
    <t>Załącznik Nr 2</t>
  </si>
  <si>
    <t>Dochody i wydatki związane z realizacją zadań z zakresu administracji rządowej wykonywanych na podstawie porozumień z organami administracji rządowej na 2023 rok</t>
  </si>
  <si>
    <t>z tego:</t>
  </si>
  <si>
    <t>Dział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</si>
  <si>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</si>
  <si>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</si>
  <si>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</si>
  <si>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</si>
  <si>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</si>
  <si>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</si>
  <si>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</si>
  <si>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</si>
  <si>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</si>
  <si>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Załącznik Nr 3</t>
  </si>
  <si>
    <t xml:space="preserve">Dotacje udzielane z budżetu jednostki samorządu terytorialnego </t>
  </si>
  <si>
    <t>dla jednostek spoza sektora finansów publicznych na 2023 rok</t>
  </si>
  <si>
    <t>Lp.</t>
  </si>
  <si>
    <t xml:space="preserve">§ </t>
  </si>
  <si>
    <t>Nazwa zadania</t>
  </si>
  <si>
    <t>Kwota dotacji</t>
  </si>
  <si>
    <t>dotacje celowe</t>
  </si>
  <si>
    <t>Dotacja do zakupu rowerów dla mieszkańców Włocławka (dotacja na inwestycje)</t>
  </si>
  <si>
    <t>Dotacje do prac budowlanych w ramach rewitalizacji</t>
  </si>
  <si>
    <t>Pozostała działalność (prowadzenie Kawiarni Obywatelskiej "Śródmieście Cafe")</t>
  </si>
  <si>
    <t>2826        2827</t>
  </si>
  <si>
    <t xml:space="preserve">Realizacja projektu unijnego "WŁOCŁAWEK - MIASTO NOWYCH MOŻLIWOŚCI. Tutaj mieszkam, pracuję, inwestuję i tu wypoczywam" </t>
  </si>
  <si>
    <t>Nieodpłatna pomoc prawna - zadanie rządowe</t>
  </si>
  <si>
    <t>2340         2810       2830</t>
  </si>
  <si>
    <t>Szkoła Podstawowa z oddziałami dwujęzycznymi "Montessori-Schule"</t>
  </si>
  <si>
    <t>Akademicka Szkoła Podstawowa nr 1 im. "Obrońców Wisły 1920 roku" prow. przez KSW</t>
  </si>
  <si>
    <t>Akademicka Szkoła Podstawowa Mistrzostwa Sportowego nr 1 im. "Obrońców Wisły 1920 roku" prow. przez KSW</t>
  </si>
  <si>
    <t>Prywatna Szkoła Podstawowa Zespołu Edukacji "Wiedza"</t>
  </si>
  <si>
    <t>Publiczna Szkoła Podstawowa im. ks. J. Długosza</t>
  </si>
  <si>
    <t xml:space="preserve">Szkoła Podstawowa Nr 24 w Zespole Szkół WSO "Cogito" </t>
  </si>
  <si>
    <t>2340         2820         2830</t>
  </si>
  <si>
    <t>Przedszkole Niepubliczne "Chatka Puchatka"</t>
  </si>
  <si>
    <t>Niepubliczne Przedszkole "Smerfna Chata"</t>
  </si>
  <si>
    <t>Niepubliczne Przedszkole "Skakanka"</t>
  </si>
  <si>
    <t>Przedszkole Niepubliczne "Kujawiaczek"</t>
  </si>
  <si>
    <t>Niepubliczne Przedszkole "Domowe Przedszkole"</t>
  </si>
  <si>
    <t>Niepubliczne Przedszkole "Wesoła Biedronka"</t>
  </si>
  <si>
    <t>Niepubliczne Przedszkole "Happy Kids"</t>
  </si>
  <si>
    <t>Niepubliczne Przedszkole "Na Wspólnej"</t>
  </si>
  <si>
    <t>Przedszkole Publiczne nr 1</t>
  </si>
  <si>
    <t>Niepubliczne Przedszkole "Bajeczka"</t>
  </si>
  <si>
    <t>Przedszkole Niepubliczne "Megamocni"</t>
  </si>
  <si>
    <t>Przedszkole Niepubliczne "Tęczowa Kraina"</t>
  </si>
  <si>
    <t>Niepubliczne Przedszkole Centrum Malucha Piotruś Pan</t>
  </si>
  <si>
    <t>Katolickie Publiczne Przedszkole "Pod Aniołem Stróżem"</t>
  </si>
  <si>
    <t>Niepubliczny Punkt Przedszkolny "Kraina Bajek"</t>
  </si>
  <si>
    <t>2340    2830</t>
  </si>
  <si>
    <t>Akademickie Technikum Wojskowe im. "Obrońców Wisły                           1920 roku" we Włocławku</t>
  </si>
  <si>
    <t>2810            2830</t>
  </si>
  <si>
    <t>Szkoła Policealna "Cosinus Plus"</t>
  </si>
  <si>
    <t>Policealna Szkoła Techników Ochrony Fizycznej Osób i Mienia "Delta"</t>
  </si>
  <si>
    <t>Policealna Szkoła Futuro</t>
  </si>
  <si>
    <t>Akademicka Szkoła Policealna przy Kujawskiej Szkole Wyższej</t>
  </si>
  <si>
    <t>Zaoczna Policealna Szkoła Zawodowa "Pascal"</t>
  </si>
  <si>
    <t>Policealna Szkoła Kosmetyczna "Pascal"</t>
  </si>
  <si>
    <t>Stacjonarna Policealna Szkoła Medyczna "Pascal"</t>
  </si>
  <si>
    <t>Policealna Szkoła Medyczna "Pascal"</t>
  </si>
  <si>
    <t>Szkoła Policealna "Spectrum"</t>
  </si>
  <si>
    <t>Szkoła Policealna Centrum Nauki i Biznesu "Żak"</t>
  </si>
  <si>
    <t>Policealna Szkoła Opieki Medycznej "Żak"</t>
  </si>
  <si>
    <t>Branżowa Szkoła I Stopnia IMPULS</t>
  </si>
  <si>
    <t xml:space="preserve">Branżowa Szkoła I Stopnia nr 9 w Zespole Szkół Włocławskiego Stowarzyszenia Oświatowego "Cogito" </t>
  </si>
  <si>
    <t>2340         2830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</si>
  <si>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</si>
  <si>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</si>
  <si>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Liceum Ogólnokształcące dla dorosłych "Futuro"</t>
  </si>
  <si>
    <t>Zaoczne Liceum Ogólnokształcące dla dorosłych "Cosinus Plus"</t>
  </si>
  <si>
    <t>Prywatne Liceum Ogólnokształcące dla dorosłych prow. przez Katarzynę Balcer</t>
  </si>
  <si>
    <t>Liceum Ogólnokształcące dla dorosłych "Pascal"</t>
  </si>
  <si>
    <t>Liceum Ogólnokształcące "Spectrum" dla dorosłych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</si>
  <si>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</si>
  <si>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</si>
  <si>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</si>
  <si>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"Zielony Słonik"</t>
  </si>
  <si>
    <t>Terapeutyczny Punkt Przedszkolny "Synapsik"</t>
  </si>
  <si>
    <t>Terapeutyczny Punkt Przedszkolny "Neuromind"</t>
  </si>
  <si>
    <t>2340       2830</t>
  </si>
  <si>
    <t>Zapewnienie uczniom prawa do bezpłatnego dostępu do podręczników, materiałów edukacyjnych lub materiałów ćwiczeniowych (zakup podręczników dla uczniów, w tym dla uczniów będących obywatelami Ukrainy)</t>
  </si>
  <si>
    <t>Zespół Szkół Katolickich im. Ks. J. Długosza</t>
  </si>
  <si>
    <t>Włocławskie Stowarzyszenie Oświatowe Cogito</t>
  </si>
  <si>
    <t>Szkoła Podstawowa z oddziałami dwujęzycznymi Monttessori-     Schule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</si>
  <si>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</si>
  <si>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</si>
  <si>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</si>
  <si>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</si>
  <si>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</si>
  <si>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</si>
  <si>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19.1</t>
  </si>
  <si>
    <t xml:space="preserve"> - zadania własne</t>
  </si>
  <si>
    <t>19.2</t>
  </si>
  <si>
    <t xml:space="preserve">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</si>
  <si>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</si>
  <si>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</si>
  <si>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</si>
  <si>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>Specjalne ośrodki wychowawcze</t>
  </si>
  <si>
    <t>Specjalny Ośrodek Wychowawczy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</si>
  <si>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</si>
  <si>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</si>
  <si>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</si>
  <si>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Wymiana źródeł ciepła zasilanych paliwami stałymi ogółem, z tego:</t>
  </si>
  <si>
    <t>28.1</t>
  </si>
  <si>
    <t>- program dla osób fizycznych (dotacja na inwestycje)</t>
  </si>
  <si>
    <t>28.2</t>
  </si>
  <si>
    <t>- wymiana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</si>
  <si>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</si>
  <si>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</si>
  <si>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 xml:space="preserve">Realizacja projektu "WŁOCŁAWEK - MIASTO NOWYCH MOŻLIWOŚCI. Tutaj mieszkam, pracuję, inwestuję i tu wypoczywam" </t>
  </si>
  <si>
    <t>Zadania w zakresie kultury fizycznej</t>
  </si>
  <si>
    <t>2816        2817    2826        2827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</si>
  <si>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</si>
  <si>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</si>
  <si>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</si>
  <si>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</si>
  <si>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>2540        2590</t>
  </si>
  <si>
    <t>Publiczna Szkoła Podstawowa im. Ks. J. Długosza</t>
  </si>
  <si>
    <t>Akademicka Szkoła Podstawowa Nr 1 im. Obrońców Wisły 1920 roku we Włocławku</t>
  </si>
  <si>
    <t>Akademicka Szkoła Podstawowa Mistrzostwa Sportowego Nr 1          im. Obrońców Wisły 1920 roku we Włocławku</t>
  </si>
  <si>
    <t>Przedszkole Akademickie przy Państwowej Akademii Nauk Stosowanych we Włocławku</t>
  </si>
  <si>
    <t>Centrum Malucha - "Piotruś Pan"- Przedszkole Niepubliczne</t>
  </si>
  <si>
    <t>Przedszkole Niepubliczne "Happy Kids"</t>
  </si>
  <si>
    <t>Przedszkole Niepubliczne Megamocni we Włocławku</t>
  </si>
  <si>
    <t xml:space="preserve">Przedszkole Publiczne Nr 1 </t>
  </si>
  <si>
    <t>Inne formy wychowania przedszkolnego - punkty przedszkolne</t>
  </si>
  <si>
    <t>Akademickie Technikum Wojskowe im. Obrońców Wisły 1920 roku we Włocławku</t>
  </si>
  <si>
    <t>Policealna Szkoła dla dorosłych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</si>
  <si>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</si>
  <si>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</si>
  <si>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</si>
  <si>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</si>
  <si>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</si>
  <si>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</si>
  <si>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</si>
  <si>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</si>
  <si>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</si>
  <si>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Branżowa Szkoła I Stopnia (Stowarzyszenie Szkoła dla Włocławka)</t>
  </si>
  <si>
    <t>Akademicka Szkoła Branżowa I stopnia im. Obrońców Wisły 1920 roku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</si>
  <si>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</si>
  <si>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</si>
  <si>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</si>
  <si>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</si>
  <si>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</si>
  <si>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</si>
  <si>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</si>
  <si>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</si>
  <si>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Przedszkole Akademickie przy Państwowej  Akademii Nauk Stosowanych we Włocławku</t>
  </si>
  <si>
    <t>Terapeutyczny Punkt Przedszkolny Neuromind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</si>
  <si>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</si>
  <si>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</si>
  <si>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</si>
  <si>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Policealna Szkoła Centrum Nauki i Biznesu "Żak"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</si>
  <si>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</si>
  <si>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 xml:space="preserve">Branżowa Szkoła I Stopnia Start we Włocławku </t>
  </si>
  <si>
    <t>Rehabilitacja zawodowa i społeczna osób niepełnosprawnych</t>
  </si>
  <si>
    <t>Warsztaty Terapii Zajęciowej</t>
  </si>
  <si>
    <t>Specjalny Ośrodek Wychowawczy Zgromadzenia Sióstr Orionistek</t>
  </si>
  <si>
    <t>Niepubliczna Poradnia Psychologiczno - Pedagogiczna "Centrum Diagnozy, Terapii i Wspomagania Rozwoju" (Elżbieta Złowodzka Jetter)</t>
  </si>
  <si>
    <t>Załącznik Nr 4</t>
  </si>
  <si>
    <t xml:space="preserve">Plan </t>
  </si>
  <si>
    <t xml:space="preserve"> dochodów i wydatków wydzielonych rachunków dochodów oświatowych jednostek budżetowych na 2023 rok</t>
  </si>
  <si>
    <t>(zbiorczo)</t>
  </si>
  <si>
    <t>Stan środków</t>
  </si>
  <si>
    <t xml:space="preserve">Stan środków </t>
  </si>
  <si>
    <t>Wyszczególnienie</t>
  </si>
  <si>
    <t>pieniężnych</t>
  </si>
  <si>
    <t>na początek roku</t>
  </si>
  <si>
    <t>Dochody</t>
  </si>
  <si>
    <t>Wydatki</t>
  </si>
  <si>
    <t>na koniec roku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</si>
  <si>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</si>
  <si>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</si>
  <si>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</si>
  <si>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</si>
  <si>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</si>
  <si>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</si>
  <si>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</si>
  <si>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</si>
  <si>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</si>
  <si>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</si>
  <si>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</si>
  <si>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</si>
  <si>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</si>
  <si>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>Inne formy kształcenia osobno niewymienione</t>
  </si>
  <si>
    <t>11.</t>
  </si>
  <si>
    <t>Kolonie i obozy oraz inne formy wypoczynku dzieci</t>
  </si>
  <si>
    <t xml:space="preserve">i młodzieży szkolnej, a także szkolenia młodzieży </t>
  </si>
  <si>
    <t>Szkolne schroniska młodzieżowe</t>
  </si>
  <si>
    <t xml:space="preserve">Ogółem 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</si>
  <si>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</si>
  <si>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</si>
  <si>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</si>
  <si>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</si>
  <si>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2023 rok</t>
  </si>
  <si>
    <t>Wydatki na 2023 rok</t>
  </si>
  <si>
    <t>x</t>
  </si>
  <si>
    <t>Zapewnienie posiłku dzieciom i młodzieży</t>
  </si>
  <si>
    <t>85230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</si>
  <si>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</si>
  <si>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</si>
  <si>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</si>
  <si>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</si>
  <si>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</si>
  <si>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</si>
  <si>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</si>
  <si>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</si>
  <si>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</si>
  <si>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</si>
  <si>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</si>
  <si>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</si>
  <si>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</si>
  <si>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</si>
  <si>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</si>
  <si>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</si>
  <si>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</si>
  <si>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</si>
  <si>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</si>
  <si>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Nadanie numeru PESEL, potwierdzenie tożsamości obywateli Ukrainy i wprowadzenie danych do rejestru danych kontaktowych na wniosek oraz zarządzanie statusem UKR</t>
  </si>
  <si>
    <t>750</t>
  </si>
  <si>
    <t>75011</t>
  </si>
  <si>
    <t>758</t>
  </si>
  <si>
    <t>Realizacja dodatkowych zadań oświatowych</t>
  </si>
  <si>
    <t>801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</si>
  <si>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</si>
  <si>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</si>
  <si>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</si>
  <si>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</si>
  <si>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</si>
  <si>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</si>
  <si>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</si>
  <si>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</si>
  <si>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</si>
  <si>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</si>
  <si>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80148</t>
  </si>
  <si>
    <t>854</t>
  </si>
  <si>
    <t>85410</t>
  </si>
  <si>
    <t>85420</t>
  </si>
  <si>
    <t>80153</t>
  </si>
  <si>
    <t>Wyposażenie szkół w podręczniki, materiały edukacyjne lub materiały ćwiczeniowe dla uczniów będących obywatelami Ukrainy w roku szkolnym 2023/2024</t>
  </si>
  <si>
    <t>Stypendia i zasiłki dla uczniów z Ukrainy</t>
  </si>
  <si>
    <t>85415</t>
  </si>
  <si>
    <t>12.</t>
  </si>
  <si>
    <t>Finansowanie pobytu dzieci obywateli Ukrainy umieszczonych w systemie pieczy zastępczej</t>
  </si>
  <si>
    <t>85510</t>
  </si>
  <si>
    <t>Centrum Opieki nad Dzieckkiem</t>
  </si>
  <si>
    <r>
      <t>Usługi opiekuńcze i specjalistyczne usługi opiekuńcze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</si>
</sst>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6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9" fillId="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5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3" fontId="1" fillId="0" borderId="3" xfId="0" applyNumberFormat="1" applyFont="1" applyBorder="1"/>
    <xf numFmtId="3" fontId="5" fillId="0" borderId="3" xfId="0" applyNumberFormat="1" applyFont="1" applyBorder="1"/>
    <xf numFmtId="0" fontId="5" fillId="0" borderId="3" xfId="0" applyFont="1" applyBorder="1"/>
    <xf numFmtId="0" fontId="1" fillId="0" borderId="6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7" fillId="0" borderId="0" xfId="0" applyNumberFormat="1" applyFont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" fontId="2" fillId="0" borderId="12" xfId="0" applyNumberFormat="1" applyFont="1" applyBorder="1"/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wrapText="1"/>
    </xf>
    <xf numFmtId="4" fontId="5" fillId="0" borderId="3" xfId="0" applyNumberFormat="1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right" vertical="top"/>
    </xf>
    <xf numFmtId="3" fontId="2" fillId="0" borderId="4" xfId="0" applyNumberFormat="1" applyFont="1" applyBorder="1" applyAlignment="1">
      <alignment wrapText="1"/>
    </xf>
    <xf numFmtId="4" fontId="1" fillId="0" borderId="3" xfId="0" applyNumberFormat="1" applyFont="1" applyBorder="1"/>
    <xf numFmtId="0" fontId="5" fillId="0" borderId="4" xfId="0" applyFont="1" applyBorder="1"/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/>
    <xf numFmtId="0" fontId="1" fillId="0" borderId="3" xfId="0" applyFont="1" applyBorder="1" applyAlignment="1">
      <alignment wrapText="1"/>
    </xf>
    <xf numFmtId="3" fontId="1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3" fontId="5" fillId="0" borderId="5" xfId="0" applyNumberFormat="1" applyFont="1" applyBorder="1"/>
    <xf numFmtId="0" fontId="1" fillId="0" borderId="5" xfId="0" applyFont="1" applyBorder="1"/>
    <xf numFmtId="49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3" fontId="1" fillId="0" borderId="6" xfId="0" applyNumberFormat="1" applyFont="1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/>
    <xf numFmtId="3" fontId="1" fillId="0" borderId="5" xfId="0" applyNumberFormat="1" applyFont="1" applyBorder="1"/>
    <xf numFmtId="0" fontId="1" fillId="0" borderId="5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0" fontId="12" fillId="0" borderId="3" xfId="0" applyFont="1" applyBorder="1"/>
    <xf numFmtId="0" fontId="2" fillId="0" borderId="3" xfId="2" applyFont="1" applyBorder="1" applyAlignment="1">
      <alignment horizontal="right"/>
    </xf>
    <xf numFmtId="0" fontId="2" fillId="0" borderId="5" xfId="2" applyFont="1" applyBorder="1"/>
    <xf numFmtId="0" fontId="2" fillId="0" borderId="3" xfId="2" applyFont="1" applyBorder="1"/>
    <xf numFmtId="4" fontId="14" fillId="0" borderId="0" xfId="0" applyNumberFormat="1" applyFont="1"/>
    <xf numFmtId="0" fontId="2" fillId="0" borderId="3" xfId="2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 vertical="top"/>
    </xf>
    <xf numFmtId="4" fontId="15" fillId="0" borderId="10" xfId="0" applyNumberFormat="1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1" fillId="0" borderId="3" xfId="2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15" fillId="0" borderId="4" xfId="0" applyFont="1" applyBorder="1"/>
    <xf numFmtId="0" fontId="2" fillId="0" borderId="3" xfId="2" applyFont="1" applyBorder="1" applyAlignment="1">
      <alignment horizontal="right" vertical="center"/>
    </xf>
    <xf numFmtId="0" fontId="2" fillId="0" borderId="5" xfId="2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9" fontId="1" fillId="0" borderId="5" xfId="0" applyNumberFormat="1" applyFont="1" applyBorder="1" applyAlignment="1">
      <alignment horizontal="right"/>
    </xf>
    <xf numFmtId="4" fontId="15" fillId="0" borderId="10" xfId="2" applyNumberFormat="1" applyFont="1" applyBorder="1"/>
    <xf numFmtId="0" fontId="1" fillId="0" borderId="4" xfId="0" applyFont="1" applyBorder="1" applyAlignment="1">
      <alignment vertical="center" wrapText="1"/>
    </xf>
    <xf numFmtId="4" fontId="2" fillId="0" borderId="3" xfId="2" applyNumberFormat="1" applyFont="1" applyBorder="1"/>
    <xf numFmtId="0" fontId="10" fillId="0" borderId="0" xfId="0" applyFont="1"/>
    <xf numFmtId="49" fontId="2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10" fillId="0" borderId="15" xfId="0" applyFont="1" applyBorder="1"/>
    <xf numFmtId="4" fontId="2" fillId="0" borderId="3" xfId="2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/>
    <xf numFmtId="0" fontId="10" fillId="0" borderId="0" xfId="2" applyFont="1"/>
    <xf numFmtId="0" fontId="2" fillId="0" borderId="4" xfId="2" applyFont="1" applyBorder="1"/>
    <xf numFmtId="0" fontId="5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4" fontId="2" fillId="0" borderId="5" xfId="2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3" xfId="2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2" fillId="0" borderId="3" xfId="0" applyNumberFormat="1" applyFont="1" applyBorder="1"/>
    <xf numFmtId="3" fontId="5" fillId="0" borderId="5" xfId="0" applyNumberFormat="1" applyFont="1" applyBorder="1" applyAlignment="1">
      <alignment horizontal="right"/>
    </xf>
    <xf numFmtId="43" fontId="5" fillId="0" borderId="5" xfId="3" applyFont="1" applyBorder="1"/>
    <xf numFmtId="43" fontId="2" fillId="0" borderId="5" xfId="3" applyFont="1" applyBorder="1" applyAlignment="1">
      <alignment horizontal="right"/>
    </xf>
    <xf numFmtId="43" fontId="2" fillId="0" borderId="5" xfId="3" applyFont="1" applyBorder="1" applyAlignment="1"/>
    <xf numFmtId="4" fontId="1" fillId="0" borderId="11" xfId="0" applyNumberFormat="1" applyFont="1" applyBorder="1" applyAlignment="1">
      <alignment horizontal="right"/>
    </xf>
    <xf numFmtId="0" fontId="2" fillId="0" borderId="3" xfId="2" applyFont="1" applyBorder="1" applyAlignment="1">
      <alignment wrapText="1"/>
    </xf>
    <xf numFmtId="0" fontId="2" fillId="0" borderId="3" xfId="2" applyFont="1" applyBorder="1" applyAlignment="1">
      <alignment horizontal="right" vertical="top"/>
    </xf>
    <xf numFmtId="0" fontId="2" fillId="0" borderId="5" xfId="4" applyNumberFormat="1" applyFont="1" applyBorder="1" applyAlignment="1">
      <alignment horizontal="left"/>
    </xf>
    <xf numFmtId="4" fontId="1" fillId="0" borderId="4" xfId="0" applyNumberFormat="1" applyFont="1" applyBorder="1"/>
    <xf numFmtId="3" fontId="2" fillId="0" borderId="3" xfId="0" applyNumberFormat="1" applyFont="1" applyBorder="1"/>
    <xf numFmtId="4" fontId="2" fillId="0" borderId="3" xfId="0" applyNumberFormat="1" applyFont="1" applyBorder="1" applyAlignment="1">
      <alignment horizontal="right" vertical="top"/>
    </xf>
    <xf numFmtId="4" fontId="2" fillId="0" borderId="5" xfId="2" applyNumberFormat="1" applyFont="1" applyBorder="1"/>
    <xf numFmtId="0" fontId="15" fillId="0" borderId="3" xfId="2" applyFont="1" applyBorder="1" applyAlignment="1">
      <alignment horizontal="center"/>
    </xf>
    <xf numFmtId="0" fontId="15" fillId="0" borderId="3" xfId="2" applyFont="1" applyBorder="1"/>
    <xf numFmtId="0" fontId="15" fillId="0" borderId="5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49" fontId="5" fillId="0" borderId="3" xfId="0" applyNumberFormat="1" applyFont="1" applyBorder="1"/>
    <xf numFmtId="3" fontId="15" fillId="0" borderId="3" xfId="0" applyNumberFormat="1" applyFont="1" applyBorder="1"/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49" fontId="1" fillId="0" borderId="3" xfId="2" applyNumberFormat="1" applyFont="1" applyBorder="1" applyAlignment="1">
      <alignment horizontal="right"/>
    </xf>
    <xf numFmtId="0" fontId="2" fillId="0" borderId="3" xfId="2" applyFont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3" fontId="5" fillId="0" borderId="3" xfId="3" applyFont="1" applyBorder="1" applyAlignment="1">
      <alignment horizontal="right"/>
    </xf>
    <xf numFmtId="43" fontId="5" fillId="0" borderId="3" xfId="3" applyFont="1" applyBorder="1"/>
    <xf numFmtId="43" fontId="2" fillId="0" borderId="3" xfId="3" applyFont="1" applyBorder="1" applyAlignment="1">
      <alignment horizontal="right"/>
    </xf>
    <xf numFmtId="0" fontId="1" fillId="0" borderId="0" xfId="5" applyFont="1"/>
    <xf numFmtId="0" fontId="1" fillId="0" borderId="0" xfId="5" applyFont="1" applyAlignment="1">
      <alignment horizontal="left"/>
    </xf>
    <xf numFmtId="0" fontId="17" fillId="0" borderId="0" xfId="5" applyFont="1"/>
    <xf numFmtId="0" fontId="4" fillId="0" borderId="0" xfId="5" applyFont="1" applyAlignment="1">
      <alignment horizontal="centerContinuous" vertical="center" wrapText="1"/>
    </xf>
    <xf numFmtId="0" fontId="4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1" xfId="5" applyFont="1" applyFill="1" applyBorder="1" applyAlignment="1">
      <alignment horizontal="center" vertical="center" wrapText="1"/>
    </xf>
    <xf numFmtId="0" fontId="18" fillId="3" borderId="17" xfId="5" applyFont="1" applyFill="1" applyBorder="1" applyAlignment="1">
      <alignment horizontal="centerContinuous" vertical="center" wrapText="1"/>
    </xf>
    <xf numFmtId="0" fontId="18" fillId="3" borderId="18" xfId="5" applyFont="1" applyFill="1" applyBorder="1" applyAlignment="1">
      <alignment horizontal="centerContinuous" vertical="center" wrapText="1"/>
    </xf>
    <xf numFmtId="0" fontId="18" fillId="3" borderId="19" xfId="5" applyFont="1" applyFill="1" applyBorder="1" applyAlignment="1">
      <alignment horizontal="centerContinuous" vertical="center" wrapText="1"/>
    </xf>
    <xf numFmtId="0" fontId="18" fillId="3" borderId="3" xfId="5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 wrapText="1"/>
    </xf>
    <xf numFmtId="0" fontId="18" fillId="3" borderId="5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 wrapText="1"/>
    </xf>
    <xf numFmtId="0" fontId="18" fillId="3" borderId="5" xfId="5" applyFont="1" applyFill="1" applyBorder="1" applyAlignment="1">
      <alignment horizontal="center" vertical="top" wrapText="1"/>
    </xf>
    <xf numFmtId="0" fontId="18" fillId="3" borderId="20" xfId="5" applyFont="1" applyFill="1" applyBorder="1" applyAlignment="1">
      <alignment horizontal="center" vertical="center" wrapText="1"/>
    </xf>
    <xf numFmtId="0" fontId="19" fillId="0" borderId="20" xfId="5" applyFont="1" applyBorder="1" applyAlignment="1">
      <alignment horizontal="center" vertical="center"/>
    </xf>
    <xf numFmtId="0" fontId="20" fillId="0" borderId="20" xfId="5" applyFont="1" applyBorder="1" applyAlignment="1">
      <alignment vertical="center"/>
    </xf>
    <xf numFmtId="4" fontId="20" fillId="0" borderId="20" xfId="5" applyNumberFormat="1" applyFont="1" applyBorder="1" applyAlignment="1">
      <alignment vertical="center"/>
    </xf>
    <xf numFmtId="0" fontId="20" fillId="0" borderId="0" xfId="5" applyFont="1"/>
    <xf numFmtId="0" fontId="20" fillId="0" borderId="0" xfId="5" applyFont="1" applyAlignment="1">
      <alignment vertical="center"/>
    </xf>
    <xf numFmtId="0" fontId="20" fillId="0" borderId="21" xfId="5" applyFont="1" applyBorder="1" applyAlignment="1">
      <alignment vertical="center"/>
    </xf>
    <xf numFmtId="4" fontId="20" fillId="0" borderId="5" xfId="5" applyNumberFormat="1" applyFont="1" applyBorder="1" applyAlignment="1">
      <alignment vertical="center"/>
    </xf>
    <xf numFmtId="4" fontId="20" fillId="0" borderId="0" xfId="5" applyNumberFormat="1" applyFont="1"/>
    <xf numFmtId="0" fontId="20" fillId="0" borderId="0" xfId="5" applyFont="1" applyAlignment="1">
      <alignment horizontal="center"/>
    </xf>
    <xf numFmtId="0" fontId="12" fillId="0" borderId="0" xfId="5" applyFont="1"/>
    <xf numFmtId="0" fontId="17" fillId="0" borderId="0" xfId="5" applyFont="1" applyAlignment="1">
      <alignment horizontal="left"/>
    </xf>
    <xf numFmtId="0" fontId="18" fillId="0" borderId="0" xfId="5" applyFont="1" applyAlignment="1">
      <alignment horizontal="centerContinuous" vertical="center" wrapText="1"/>
    </xf>
    <xf numFmtId="0" fontId="21" fillId="0" borderId="0" xfId="5" applyFont="1" applyAlignment="1">
      <alignment horizontal="centerContinuous" wrapText="1"/>
    </xf>
    <xf numFmtId="0" fontId="20" fillId="4" borderId="0" xfId="5" applyFont="1" applyFill="1"/>
    <xf numFmtId="0" fontId="20" fillId="4" borderId="0" xfId="5" applyFont="1" applyFill="1" applyAlignment="1">
      <alignment horizontal="center"/>
    </xf>
    <xf numFmtId="0" fontId="6" fillId="4" borderId="0" xfId="5" applyFont="1" applyFill="1" applyAlignment="1">
      <alignment horizontal="right"/>
    </xf>
    <xf numFmtId="0" fontId="18" fillId="4" borderId="20" xfId="5" applyFont="1" applyFill="1" applyBorder="1" applyAlignment="1">
      <alignment horizontal="center" vertical="center"/>
    </xf>
    <xf numFmtId="0" fontId="20" fillId="4" borderId="17" xfId="1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horizontal="centerContinuous" vertical="center"/>
    </xf>
    <xf numFmtId="0" fontId="6" fillId="4" borderId="20" xfId="5" applyFont="1" applyFill="1" applyBorder="1" applyAlignment="1">
      <alignment horizontal="center" vertical="center"/>
    </xf>
    <xf numFmtId="0" fontId="14" fillId="4" borderId="17" xfId="1" applyFont="1" applyFill="1" applyBorder="1" applyAlignment="1">
      <alignment horizontal="center" vertical="top"/>
    </xf>
    <xf numFmtId="0" fontId="6" fillId="4" borderId="17" xfId="5" applyFont="1" applyFill="1" applyBorder="1" applyAlignment="1">
      <alignment horizontal="centerContinuous" vertical="center"/>
    </xf>
    <xf numFmtId="0" fontId="6" fillId="0" borderId="0" xfId="5" applyFont="1"/>
    <xf numFmtId="0" fontId="20" fillId="4" borderId="18" xfId="1" applyFont="1" applyFill="1" applyBorder="1" applyAlignment="1">
      <alignment horizontal="center" vertical="top"/>
    </xf>
    <xf numFmtId="0" fontId="17" fillId="4" borderId="20" xfId="5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/>
    </xf>
    <xf numFmtId="0" fontId="22" fillId="0" borderId="20" xfId="5" applyFont="1" applyBorder="1" applyAlignment="1">
      <alignment horizontal="left" vertical="center" wrapText="1"/>
    </xf>
    <xf numFmtId="4" fontId="17" fillId="0" borderId="20" xfId="5" applyNumberFormat="1" applyFont="1" applyBorder="1"/>
    <xf numFmtId="0" fontId="20" fillId="4" borderId="20" xfId="1" applyFont="1" applyFill="1" applyBorder="1" applyAlignment="1">
      <alignment horizontal="center" vertical="center"/>
    </xf>
    <xf numFmtId="0" fontId="22" fillId="4" borderId="20" xfId="5" applyFont="1" applyFill="1" applyBorder="1" applyAlignment="1">
      <alignment horizontal="left" vertical="center"/>
    </xf>
    <xf numFmtId="4" fontId="17" fillId="4" borderId="20" xfId="5" applyNumberFormat="1" applyFont="1" applyFill="1" applyBorder="1"/>
    <xf numFmtId="0" fontId="23" fillId="0" borderId="0" xfId="5" applyFont="1"/>
    <xf numFmtId="0" fontId="17" fillId="4" borderId="20" xfId="5" applyFont="1" applyFill="1" applyBorder="1" applyAlignment="1">
      <alignment vertical="top"/>
    </xf>
    <xf numFmtId="0" fontId="20" fillId="4" borderId="20" xfId="1" applyFont="1" applyFill="1" applyBorder="1" applyAlignment="1">
      <alignment horizontal="center" vertical="top"/>
    </xf>
    <xf numFmtId="0" fontId="17" fillId="4" borderId="17" xfId="5" applyFont="1" applyFill="1" applyBorder="1" applyAlignment="1">
      <alignment vertical="top" wrapText="1"/>
    </xf>
    <xf numFmtId="4" fontId="17" fillId="4" borderId="20" xfId="5" applyNumberFormat="1" applyFont="1" applyFill="1" applyBorder="1" applyAlignment="1">
      <alignment vertical="center"/>
    </xf>
    <xf numFmtId="0" fontId="20" fillId="4" borderId="20" xfId="1" applyFont="1" applyFill="1" applyBorder="1" applyAlignment="1">
      <alignment horizontal="center" vertical="top" wrapText="1"/>
    </xf>
    <xf numFmtId="0" fontId="17" fillId="4" borderId="17" xfId="6" applyFont="1" applyFill="1" applyBorder="1" applyAlignment="1">
      <alignment vertical="top" wrapText="1"/>
    </xf>
    <xf numFmtId="0" fontId="17" fillId="0" borderId="20" xfId="6" applyFont="1" applyBorder="1" applyAlignment="1">
      <alignment vertical="center"/>
    </xf>
    <xf numFmtId="0" fontId="20" fillId="0" borderId="5" xfId="1" applyFont="1" applyFill="1" applyBorder="1" applyAlignment="1">
      <alignment horizontal="center" vertical="top" wrapText="1"/>
    </xf>
    <xf numFmtId="0" fontId="17" fillId="0" borderId="17" xfId="6" applyFont="1" applyBorder="1" applyAlignment="1">
      <alignment vertical="center"/>
    </xf>
    <xf numFmtId="4" fontId="17" fillId="0" borderId="20" xfId="6" applyNumberFormat="1" applyFont="1" applyBorder="1" applyAlignment="1">
      <alignment vertical="center"/>
    </xf>
    <xf numFmtId="0" fontId="17" fillId="0" borderId="2" xfId="6" applyFont="1" applyBorder="1"/>
    <xf numFmtId="0" fontId="17" fillId="0" borderId="22" xfId="6" applyFont="1" applyBorder="1"/>
    <xf numFmtId="0" fontId="17" fillId="0" borderId="22" xfId="6" applyFont="1" applyBorder="1" applyAlignment="1">
      <alignment vertical="center"/>
    </xf>
    <xf numFmtId="0" fontId="20" fillId="0" borderId="1" xfId="1" applyFont="1" applyFill="1" applyBorder="1" applyAlignment="1">
      <alignment horizontal="center" vertical="top" wrapText="1"/>
    </xf>
    <xf numFmtId="0" fontId="17" fillId="0" borderId="16" xfId="6" applyFont="1" applyBorder="1" applyAlignment="1">
      <alignment horizontal="left" vertical="center" wrapText="1"/>
    </xf>
    <xf numFmtId="4" fontId="17" fillId="0" borderId="12" xfId="6" applyNumberFormat="1" applyFont="1" applyBorder="1"/>
    <xf numFmtId="0" fontId="17" fillId="0" borderId="4" xfId="6" applyFont="1" applyBorder="1"/>
    <xf numFmtId="0" fontId="17" fillId="0" borderId="0" xfId="6" applyFont="1"/>
    <xf numFmtId="0" fontId="17" fillId="0" borderId="0" xfId="6" applyFont="1" applyAlignment="1">
      <alignment vertical="center"/>
    </xf>
    <xf numFmtId="0" fontId="20" fillId="0" borderId="3" xfId="1" applyFont="1" applyFill="1" applyBorder="1" applyAlignment="1">
      <alignment horizontal="center" vertical="top" wrapText="1"/>
    </xf>
    <xf numFmtId="0" fontId="17" fillId="0" borderId="23" xfId="6" applyFont="1" applyBorder="1" applyAlignment="1">
      <alignment horizontal="left" vertical="center" wrapText="1"/>
    </xf>
    <xf numFmtId="4" fontId="17" fillId="0" borderId="24" xfId="6" applyNumberFormat="1" applyFont="1" applyBorder="1"/>
    <xf numFmtId="0" fontId="17" fillId="4" borderId="13" xfId="5" applyFont="1" applyFill="1" applyBorder="1" applyAlignment="1">
      <alignment horizontal="left" vertical="center" wrapText="1"/>
    </xf>
    <xf numFmtId="0" fontId="17" fillId="0" borderId="15" xfId="6" applyFont="1" applyBorder="1"/>
    <xf numFmtId="0" fontId="20" fillId="4" borderId="5" xfId="1" applyFont="1" applyFill="1" applyBorder="1" applyAlignment="1">
      <alignment horizontal="center" vertical="top"/>
    </xf>
    <xf numFmtId="4" fontId="17" fillId="0" borderId="11" xfId="6" applyNumberFormat="1" applyFont="1" applyBorder="1"/>
    <xf numFmtId="0" fontId="20" fillId="4" borderId="5" xfId="1" applyFont="1" applyFill="1" applyBorder="1" applyAlignment="1">
      <alignment horizontal="center" vertical="top" wrapText="1"/>
    </xf>
    <xf numFmtId="0" fontId="20" fillId="4" borderId="1" xfId="1" applyFont="1" applyFill="1" applyBorder="1" applyAlignment="1">
      <alignment horizontal="center" vertical="top"/>
    </xf>
    <xf numFmtId="0" fontId="17" fillId="0" borderId="23" xfId="6" applyFont="1" applyBorder="1" applyAlignment="1">
      <alignment vertical="center" wrapText="1"/>
    </xf>
    <xf numFmtId="0" fontId="20" fillId="4" borderId="3" xfId="1" applyFont="1" applyFill="1" applyBorder="1" applyAlignment="1">
      <alignment horizontal="center" vertical="top"/>
    </xf>
    <xf numFmtId="0" fontId="17" fillId="0" borderId="25" xfId="6" applyFont="1" applyBorder="1" applyAlignment="1">
      <alignment vertical="center" wrapText="1"/>
    </xf>
    <xf numFmtId="0" fontId="17" fillId="0" borderId="24" xfId="5" applyFont="1" applyBorder="1" applyAlignment="1">
      <alignment vertical="center" wrapText="1"/>
    </xf>
    <xf numFmtId="0" fontId="17" fillId="0" borderId="24" xfId="6" applyFont="1" applyBorder="1"/>
    <xf numFmtId="0" fontId="17" fillId="0" borderId="13" xfId="6" applyFont="1" applyBorder="1" applyAlignment="1">
      <alignment wrapText="1"/>
    </xf>
    <xf numFmtId="0" fontId="17" fillId="0" borderId="13" xfId="6" applyFont="1" applyBorder="1"/>
    <xf numFmtId="0" fontId="17" fillId="0" borderId="23" xfId="6" applyFont="1" applyBorder="1"/>
    <xf numFmtId="0" fontId="17" fillId="0" borderId="6" xfId="6" applyFont="1" applyBorder="1"/>
    <xf numFmtId="4" fontId="17" fillId="0" borderId="5" xfId="6" applyNumberFormat="1" applyFont="1" applyBorder="1"/>
    <xf numFmtId="0" fontId="17" fillId="0" borderId="20" xfId="6" applyFont="1" applyBorder="1"/>
    <xf numFmtId="0" fontId="20" fillId="4" borderId="5" xfId="1" applyFont="1" applyFill="1" applyBorder="1" applyAlignment="1">
      <alignment horizontal="center" vertical="center"/>
    </xf>
    <xf numFmtId="4" fontId="17" fillId="0" borderId="20" xfId="6" applyNumberFormat="1" applyFont="1" applyBorder="1"/>
    <xf numFmtId="0" fontId="17" fillId="0" borderId="17" xfId="6" applyFont="1" applyBorder="1"/>
    <xf numFmtId="0" fontId="17" fillId="0" borderId="18" xfId="6" applyFont="1" applyBorder="1"/>
    <xf numFmtId="0" fontId="17" fillId="0" borderId="18" xfId="6" applyFont="1" applyBorder="1" applyAlignment="1">
      <alignment vertical="center"/>
    </xf>
    <xf numFmtId="3" fontId="20" fillId="4" borderId="5" xfId="1" applyNumberFormat="1" applyFont="1" applyFill="1" applyBorder="1" applyAlignment="1">
      <alignment horizontal="center" vertical="center" wrapText="1"/>
    </xf>
    <xf numFmtId="0" fontId="17" fillId="0" borderId="17" xfId="6" applyFont="1" applyBorder="1" applyAlignment="1">
      <alignment horizontal="left" vertical="center" wrapText="1"/>
    </xf>
    <xf numFmtId="0" fontId="20" fillId="4" borderId="1" xfId="1" applyFont="1" applyFill="1" applyBorder="1" applyAlignment="1">
      <alignment horizontal="center" vertical="top" wrapText="1"/>
    </xf>
    <xf numFmtId="0" fontId="17" fillId="0" borderId="16" xfId="6" applyFont="1" applyBorder="1" applyAlignment="1">
      <alignment vertical="center"/>
    </xf>
    <xf numFmtId="0" fontId="20" fillId="4" borderId="3" xfId="1" applyFont="1" applyFill="1" applyBorder="1" applyAlignment="1">
      <alignment horizontal="center" vertical="top" wrapText="1"/>
    </xf>
    <xf numFmtId="0" fontId="17" fillId="0" borderId="23" xfId="6" applyFont="1" applyBorder="1" applyAlignment="1">
      <alignment vertical="center"/>
    </xf>
    <xf numFmtId="0" fontId="17" fillId="0" borderId="15" xfId="6" applyFont="1" applyBorder="1" applyAlignment="1">
      <alignment vertical="center"/>
    </xf>
    <xf numFmtId="0" fontId="17" fillId="0" borderId="6" xfId="6" applyFont="1" applyBorder="1" applyAlignment="1">
      <alignment vertical="center"/>
    </xf>
    <xf numFmtId="0" fontId="17" fillId="4" borderId="13" xfId="5" applyFont="1" applyFill="1" applyBorder="1" applyAlignment="1">
      <alignment horizontal="left" wrapText="1"/>
    </xf>
    <xf numFmtId="0" fontId="17" fillId="4" borderId="4" xfId="5" applyFont="1" applyFill="1" applyBorder="1" applyAlignment="1">
      <alignment horizontal="left" wrapText="1"/>
    </xf>
    <xf numFmtId="0" fontId="17" fillId="0" borderId="13" xfId="6" applyFont="1" applyBorder="1" applyAlignment="1">
      <alignment horizontal="left" vertical="center" wrapText="1"/>
    </xf>
    <xf numFmtId="0" fontId="17" fillId="0" borderId="6" xfId="6" applyFont="1" applyBorder="1" applyAlignment="1">
      <alignment horizontal="left" vertical="center" wrapText="1"/>
    </xf>
    <xf numFmtId="0" fontId="22" fillId="0" borderId="20" xfId="7" applyFont="1" applyBorder="1" applyAlignment="1">
      <alignment vertical="top"/>
    </xf>
    <xf numFmtId="0" fontId="22" fillId="0" borderId="17" xfId="7" applyFont="1" applyBorder="1" applyAlignment="1">
      <alignment vertical="top"/>
    </xf>
    <xf numFmtId="0" fontId="17" fillId="0" borderId="17" xfId="7" applyFont="1" applyBorder="1" applyAlignment="1">
      <alignment vertical="top" wrapText="1"/>
    </xf>
    <xf numFmtId="4" fontId="17" fillId="0" borderId="20" xfId="7" applyNumberFormat="1" applyFont="1" applyBorder="1" applyAlignment="1">
      <alignment vertical="center"/>
    </xf>
    <xf numFmtId="0" fontId="22" fillId="0" borderId="2" xfId="7" applyFont="1" applyBorder="1" applyAlignment="1">
      <alignment vertical="top"/>
    </xf>
    <xf numFmtId="0" fontId="22" fillId="0" borderId="22" xfId="7" applyFont="1" applyBorder="1" applyAlignment="1">
      <alignment vertical="top"/>
    </xf>
    <xf numFmtId="0" fontId="17" fillId="0" borderId="16" xfId="7" applyFont="1" applyBorder="1" applyAlignment="1">
      <alignment vertical="top" wrapText="1"/>
    </xf>
    <xf numFmtId="4" fontId="17" fillId="0" borderId="12" xfId="7" applyNumberFormat="1" applyFont="1" applyBorder="1" applyAlignment="1">
      <alignment vertical="center"/>
    </xf>
    <xf numFmtId="0" fontId="22" fillId="0" borderId="4" xfId="7" applyFont="1" applyBorder="1" applyAlignment="1">
      <alignment vertical="top"/>
    </xf>
    <xf numFmtId="0" fontId="22" fillId="0" borderId="0" xfId="7" applyFont="1" applyAlignment="1">
      <alignment vertical="top"/>
    </xf>
    <xf numFmtId="0" fontId="17" fillId="0" borderId="23" xfId="7" applyFont="1" applyBorder="1" applyAlignment="1">
      <alignment vertical="top" wrapText="1"/>
    </xf>
    <xf numFmtId="4" fontId="17" fillId="0" borderId="24" xfId="7" applyNumberFormat="1" applyFont="1" applyBorder="1" applyAlignment="1">
      <alignment vertical="center"/>
    </xf>
    <xf numFmtId="0" fontId="22" fillId="0" borderId="6" xfId="7" applyFont="1" applyBorder="1" applyAlignment="1">
      <alignment vertical="top"/>
    </xf>
    <xf numFmtId="0" fontId="22" fillId="0" borderId="15" xfId="7" applyFont="1" applyBorder="1" applyAlignment="1">
      <alignment vertical="top"/>
    </xf>
    <xf numFmtId="0" fontId="17" fillId="0" borderId="6" xfId="7" applyFont="1" applyBorder="1" applyAlignment="1">
      <alignment vertical="top" wrapText="1"/>
    </xf>
    <xf numFmtId="4" fontId="17" fillId="0" borderId="5" xfId="7" applyNumberFormat="1" applyFont="1" applyBorder="1" applyAlignment="1">
      <alignment vertical="center"/>
    </xf>
    <xf numFmtId="0" fontId="17" fillId="0" borderId="2" xfId="7" applyFont="1" applyBorder="1" applyAlignment="1">
      <alignment vertical="top"/>
    </xf>
    <xf numFmtId="0" fontId="17" fillId="0" borderId="22" xfId="7" applyFont="1" applyBorder="1" applyAlignment="1">
      <alignment vertical="top"/>
    </xf>
    <xf numFmtId="0" fontId="20" fillId="0" borderId="1" xfId="1" applyFont="1" applyFill="1" applyBorder="1" applyAlignment="1">
      <alignment horizontal="center" vertical="top"/>
    </xf>
    <xf numFmtId="0" fontId="17" fillId="0" borderId="16" xfId="7" applyFont="1" applyBorder="1" applyAlignment="1">
      <alignment vertical="center" wrapText="1"/>
    </xf>
    <xf numFmtId="3" fontId="17" fillId="0" borderId="12" xfId="7" applyNumberFormat="1" applyFont="1" applyBorder="1"/>
    <xf numFmtId="0" fontId="17" fillId="0" borderId="4" xfId="7" applyFont="1" applyBorder="1" applyAlignment="1">
      <alignment vertical="top"/>
    </xf>
    <xf numFmtId="0" fontId="17" fillId="0" borderId="0" xfId="7" applyFont="1" applyAlignment="1">
      <alignment vertical="top"/>
    </xf>
    <xf numFmtId="0" fontId="20" fillId="0" borderId="3" xfId="1" applyFont="1" applyFill="1" applyBorder="1" applyAlignment="1">
      <alignment horizontal="center" vertical="top"/>
    </xf>
    <xf numFmtId="0" fontId="17" fillId="0" borderId="23" xfId="7" applyFont="1" applyBorder="1" applyAlignment="1">
      <alignment vertical="center" wrapText="1"/>
    </xf>
    <xf numFmtId="3" fontId="17" fillId="0" borderId="24" xfId="7" applyNumberFormat="1" applyFont="1" applyBorder="1"/>
    <xf numFmtId="0" fontId="17" fillId="0" borderId="25" xfId="7" applyFont="1" applyBorder="1" applyAlignment="1">
      <alignment vertical="center" wrapText="1"/>
    </xf>
    <xf numFmtId="3" fontId="17" fillId="0" borderId="14" xfId="7" applyNumberFormat="1" applyFont="1" applyBorder="1"/>
    <xf numFmtId="0" fontId="17" fillId="0" borderId="6" xfId="7" applyFont="1" applyBorder="1" applyAlignment="1">
      <alignment vertical="top"/>
    </xf>
    <xf numFmtId="0" fontId="17" fillId="0" borderId="15" xfId="7" applyFont="1" applyBorder="1" applyAlignment="1">
      <alignment vertical="top"/>
    </xf>
    <xf numFmtId="0" fontId="20" fillId="0" borderId="5" xfId="1" applyFont="1" applyFill="1" applyBorder="1" applyAlignment="1">
      <alignment horizontal="center" vertical="top"/>
    </xf>
    <xf numFmtId="0" fontId="17" fillId="0" borderId="26" xfId="7" applyFont="1" applyBorder="1" applyAlignment="1">
      <alignment vertical="center" wrapText="1"/>
    </xf>
    <xf numFmtId="3" fontId="17" fillId="0" borderId="27" xfId="7" applyNumberFormat="1" applyFont="1" applyBorder="1"/>
    <xf numFmtId="0" fontId="17" fillId="4" borderId="5" xfId="5" applyFont="1" applyFill="1" applyBorder="1" applyAlignment="1">
      <alignment vertical="top"/>
    </xf>
    <xf numFmtId="0" fontId="17" fillId="4" borderId="6" xfId="5" applyFont="1" applyFill="1" applyBorder="1" applyAlignment="1">
      <alignment vertical="top"/>
    </xf>
    <xf numFmtId="0" fontId="17" fillId="4" borderId="6" xfId="5" applyFont="1" applyFill="1" applyBorder="1" applyAlignment="1">
      <alignment vertical="center" wrapText="1"/>
    </xf>
    <xf numFmtId="0" fontId="17" fillId="4" borderId="17" xfId="5" applyFont="1" applyFill="1" applyBorder="1" applyAlignment="1">
      <alignment vertical="top"/>
    </xf>
    <xf numFmtId="4" fontId="17" fillId="4" borderId="5" xfId="5" applyNumberFormat="1" applyFont="1" applyFill="1" applyBorder="1"/>
    <xf numFmtId="0" fontId="17" fillId="4" borderId="17" xfId="5" applyFont="1" applyFill="1" applyBorder="1" applyAlignment="1">
      <alignment vertical="center"/>
    </xf>
    <xf numFmtId="0" fontId="17" fillId="4" borderId="18" xfId="5" applyFont="1" applyFill="1" applyBorder="1" applyAlignment="1">
      <alignment vertical="top"/>
    </xf>
    <xf numFmtId="0" fontId="17" fillId="4" borderId="1" xfId="5" applyFont="1" applyFill="1" applyBorder="1" applyAlignment="1">
      <alignment vertical="top"/>
    </xf>
    <xf numFmtId="0" fontId="17" fillId="4" borderId="1" xfId="5" applyFont="1" applyFill="1" applyBorder="1" applyAlignment="1">
      <alignment horizontal="right" vertical="top"/>
    </xf>
    <xf numFmtId="0" fontId="17" fillId="4" borderId="22" xfId="5" applyFont="1" applyFill="1" applyBorder="1" applyAlignment="1">
      <alignment horizontal="right" vertical="top"/>
    </xf>
    <xf numFmtId="0" fontId="17" fillId="4" borderId="17" xfId="5" applyFont="1" applyFill="1" applyBorder="1" applyAlignment="1">
      <alignment wrapText="1"/>
    </xf>
    <xf numFmtId="49" fontId="17" fillId="4" borderId="1" xfId="5" applyNumberFormat="1" applyFont="1" applyFill="1" applyBorder="1" applyAlignment="1">
      <alignment horizontal="right"/>
    </xf>
    <xf numFmtId="4" fontId="1" fillId="4" borderId="20" xfId="5" applyNumberFormat="1" applyFont="1" applyFill="1" applyBorder="1" applyAlignment="1">
      <alignment vertical="center"/>
    </xf>
    <xf numFmtId="0" fontId="20" fillId="4" borderId="20" xfId="1" applyFont="1" applyFill="1" applyBorder="1" applyAlignment="1">
      <alignment horizontal="center" vertical="center" wrapText="1"/>
    </xf>
    <xf numFmtId="0" fontId="17" fillId="4" borderId="17" xfId="6" applyFont="1" applyFill="1" applyBorder="1" applyAlignment="1">
      <alignment vertical="center" wrapText="1"/>
    </xf>
    <xf numFmtId="0" fontId="17" fillId="4" borderId="15" xfId="5" applyFont="1" applyFill="1" applyBorder="1"/>
    <xf numFmtId="0" fontId="17" fillId="4" borderId="20" xfId="5" applyFont="1" applyFill="1" applyBorder="1"/>
    <xf numFmtId="0" fontId="20" fillId="4" borderId="20" xfId="1" applyFont="1" applyFill="1" applyBorder="1" applyAlignment="1">
      <alignment horizontal="center"/>
    </xf>
    <xf numFmtId="49" fontId="17" fillId="4" borderId="20" xfId="5" quotePrefix="1" applyNumberFormat="1" applyFont="1" applyFill="1" applyBorder="1" applyAlignment="1">
      <alignment horizontal="right" vertical="top"/>
    </xf>
    <xf numFmtId="0" fontId="17" fillId="4" borderId="17" xfId="5" quotePrefix="1" applyFont="1" applyFill="1" applyBorder="1" applyAlignment="1">
      <alignment vertical="top" wrapText="1"/>
    </xf>
    <xf numFmtId="4" fontId="1" fillId="4" borderId="20" xfId="5" applyNumberFormat="1" applyFont="1" applyFill="1" applyBorder="1" applyAlignment="1">
      <alignment horizontal="right" vertical="center"/>
    </xf>
    <xf numFmtId="0" fontId="17" fillId="4" borderId="17" xfId="5" applyFont="1" applyFill="1" applyBorder="1"/>
    <xf numFmtId="4" fontId="17" fillId="4" borderId="20" xfId="5" applyNumberFormat="1" applyFont="1" applyFill="1" applyBorder="1" applyAlignment="1">
      <alignment horizontal="right" vertical="center"/>
    </xf>
    <xf numFmtId="0" fontId="17" fillId="4" borderId="17" xfId="5" applyFont="1" applyFill="1" applyBorder="1" applyAlignment="1">
      <alignment vertical="center" wrapText="1"/>
    </xf>
    <xf numFmtId="0" fontId="18" fillId="4" borderId="18" xfId="5" applyFont="1" applyFill="1" applyBorder="1" applyAlignment="1">
      <alignment horizontal="centerContinuous" vertical="center"/>
    </xf>
    <xf numFmtId="0" fontId="17" fillId="4" borderId="2" xfId="5" applyFont="1" applyFill="1" applyBorder="1"/>
    <xf numFmtId="0" fontId="17" fillId="4" borderId="22" xfId="5" applyFont="1" applyFill="1" applyBorder="1"/>
    <xf numFmtId="0" fontId="17" fillId="4" borderId="28" xfId="5" applyFont="1" applyFill="1" applyBorder="1"/>
    <xf numFmtId="0" fontId="17" fillId="4" borderId="29" xfId="5" applyFont="1" applyFill="1" applyBorder="1" applyAlignment="1">
      <alignment vertical="center" wrapText="1"/>
    </xf>
    <xf numFmtId="4" fontId="17" fillId="4" borderId="12" xfId="5" applyNumberFormat="1" applyFont="1" applyFill="1" applyBorder="1"/>
    <xf numFmtId="0" fontId="17" fillId="4" borderId="4" xfId="5" applyFont="1" applyFill="1" applyBorder="1"/>
    <xf numFmtId="0" fontId="17" fillId="4" borderId="0" xfId="5" applyFont="1" applyFill="1"/>
    <xf numFmtId="0" fontId="17" fillId="4" borderId="30" xfId="5" applyFont="1" applyFill="1" applyBorder="1"/>
    <xf numFmtId="0" fontId="17" fillId="4" borderId="31" xfId="5" applyFont="1" applyFill="1" applyBorder="1" applyAlignment="1">
      <alignment horizontal="left" wrapText="1"/>
    </xf>
    <xf numFmtId="4" fontId="17" fillId="4" borderId="24" xfId="5" applyNumberFormat="1" applyFont="1" applyFill="1" applyBorder="1"/>
    <xf numFmtId="0" fontId="24" fillId="0" borderId="0" xfId="5" applyFont="1"/>
    <xf numFmtId="0" fontId="17" fillId="4" borderId="6" xfId="5" applyFont="1" applyFill="1" applyBorder="1"/>
    <xf numFmtId="0" fontId="17" fillId="4" borderId="21" xfId="5" applyFont="1" applyFill="1" applyBorder="1"/>
    <xf numFmtId="0" fontId="17" fillId="4" borderId="32" xfId="5" applyFont="1" applyFill="1" applyBorder="1" applyAlignment="1">
      <alignment horizontal="left" vertical="center" wrapText="1"/>
    </xf>
    <xf numFmtId="4" fontId="17" fillId="4" borderId="27" xfId="5" applyNumberFormat="1" applyFont="1" applyFill="1" applyBorder="1"/>
    <xf numFmtId="0" fontId="17" fillId="4" borderId="33" xfId="5" applyFont="1" applyFill="1" applyBorder="1" applyAlignment="1">
      <alignment horizontal="left" vertical="center" wrapText="1"/>
    </xf>
    <xf numFmtId="4" fontId="17" fillId="4" borderId="11" xfId="5" applyNumberFormat="1" applyFont="1" applyFill="1" applyBorder="1"/>
    <xf numFmtId="0" fontId="17" fillId="4" borderId="31" xfId="5" applyFont="1" applyFill="1" applyBorder="1"/>
    <xf numFmtId="0" fontId="17" fillId="4" borderId="15" xfId="5" applyFont="1" applyFill="1" applyBorder="1" applyAlignment="1">
      <alignment horizontal="left" wrapText="1"/>
    </xf>
    <xf numFmtId="0" fontId="17" fillId="4" borderId="18" xfId="5" applyFont="1" applyFill="1" applyBorder="1"/>
    <xf numFmtId="0" fontId="17" fillId="4" borderId="29" xfId="5" applyFont="1" applyFill="1" applyBorder="1" applyAlignment="1">
      <alignment horizontal="left" vertical="center" wrapText="1"/>
    </xf>
    <xf numFmtId="0" fontId="17" fillId="4" borderId="31" xfId="5" applyFont="1" applyFill="1" applyBorder="1" applyAlignment="1">
      <alignment vertical="center" wrapText="1"/>
    </xf>
    <xf numFmtId="0" fontId="17" fillId="4" borderId="23" xfId="5" applyFont="1" applyFill="1" applyBorder="1" applyAlignment="1">
      <alignment vertical="center" wrapText="1"/>
    </xf>
    <xf numFmtId="0" fontId="20" fillId="4" borderId="3" xfId="1" quotePrefix="1" applyFont="1" applyFill="1" applyBorder="1" applyAlignment="1">
      <alignment horizontal="center" vertical="top"/>
    </xf>
    <xf numFmtId="0" fontId="17" fillId="0" borderId="33" xfId="6" applyFont="1" applyBorder="1" applyAlignment="1">
      <alignment horizontal="left" vertical="center" wrapText="1"/>
    </xf>
    <xf numFmtId="0" fontId="17" fillId="4" borderId="31" xfId="5" applyFont="1" applyFill="1" applyBorder="1" applyAlignment="1">
      <alignment horizontal="left" vertical="center" wrapText="1"/>
    </xf>
    <xf numFmtId="0" fontId="17" fillId="4" borderId="23" xfId="5" applyFont="1" applyFill="1" applyBorder="1"/>
    <xf numFmtId="0" fontId="17" fillId="4" borderId="33" xfId="5" applyFont="1" applyFill="1" applyBorder="1"/>
    <xf numFmtId="0" fontId="17" fillId="4" borderId="15" xfId="5" applyFont="1" applyFill="1" applyBorder="1" applyAlignment="1">
      <alignment vertical="center" wrapText="1"/>
    </xf>
    <xf numFmtId="0" fontId="17" fillId="4" borderId="18" xfId="5" applyFont="1" applyFill="1" applyBorder="1" applyAlignment="1">
      <alignment vertical="top" wrapText="1"/>
    </xf>
    <xf numFmtId="0" fontId="17" fillId="4" borderId="34" xfId="5" applyFont="1" applyFill="1" applyBorder="1" applyAlignment="1">
      <alignment vertical="center" wrapText="1"/>
    </xf>
    <xf numFmtId="4" fontId="17" fillId="4" borderId="35" xfId="5" applyNumberFormat="1" applyFont="1" applyFill="1" applyBorder="1"/>
    <xf numFmtId="0" fontId="17" fillId="4" borderId="19" xfId="5" applyFont="1" applyFill="1" applyBorder="1"/>
    <xf numFmtId="0" fontId="17" fillId="4" borderId="18" xfId="5" applyFont="1" applyFill="1" applyBorder="1" applyAlignment="1">
      <alignment horizontal="left" vertical="center" wrapText="1"/>
    </xf>
    <xf numFmtId="0" fontId="22" fillId="4" borderId="29" xfId="5" applyFont="1" applyFill="1" applyBorder="1"/>
    <xf numFmtId="0" fontId="17" fillId="4" borderId="33" xfId="5" applyFont="1" applyFill="1" applyBorder="1" applyAlignment="1">
      <alignment horizontal="left" wrapText="1"/>
    </xf>
    <xf numFmtId="0" fontId="22" fillId="4" borderId="31" xfId="5" applyFont="1" applyFill="1" applyBorder="1"/>
    <xf numFmtId="0" fontId="22" fillId="4" borderId="33" xfId="5" applyFont="1" applyFill="1" applyBorder="1"/>
    <xf numFmtId="0" fontId="17" fillId="4" borderId="18" xfId="5" applyFont="1" applyFill="1" applyBorder="1" applyAlignment="1">
      <alignment horizontal="left" wrapText="1"/>
    </xf>
    <xf numFmtId="0" fontId="17" fillId="4" borderId="33" xfId="5" applyFont="1" applyFill="1" applyBorder="1" applyAlignment="1">
      <alignment horizontal="left" vertical="top" wrapText="1"/>
    </xf>
    <xf numFmtId="0" fontId="17" fillId="4" borderId="31" xfId="5" applyFont="1" applyFill="1" applyBorder="1" applyAlignment="1">
      <alignment wrapText="1"/>
    </xf>
    <xf numFmtId="0" fontId="20" fillId="4" borderId="1" xfId="1" quotePrefix="1" applyFont="1" applyFill="1" applyBorder="1" applyAlignment="1">
      <alignment horizontal="center" vertical="top"/>
    </xf>
    <xf numFmtId="0" fontId="17" fillId="0" borderId="29" xfId="6" applyFont="1" applyBorder="1" applyAlignment="1">
      <alignment horizontal="left" vertical="center" wrapText="1"/>
    </xf>
    <xf numFmtId="0" fontId="17" fillId="4" borderId="33" xfId="5" applyFont="1" applyFill="1" applyBorder="1" applyAlignment="1">
      <alignment vertical="center" wrapText="1"/>
    </xf>
    <xf numFmtId="0" fontId="12" fillId="4" borderId="3" xfId="1" quotePrefix="1" applyFont="1" applyFill="1" applyBorder="1" applyAlignment="1">
      <alignment horizontal="center" vertical="top"/>
    </xf>
    <xf numFmtId="0" fontId="17" fillId="4" borderId="15" xfId="5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center" vertical="top"/>
    </xf>
    <xf numFmtId="0" fontId="17" fillId="4" borderId="23" xfId="5" applyFont="1" applyFill="1" applyBorder="1" applyAlignment="1">
      <alignment horizontal="left" vertical="center" wrapText="1"/>
    </xf>
    <xf numFmtId="0" fontId="20" fillId="4" borderId="5" xfId="1" quotePrefix="1" applyFont="1" applyFill="1" applyBorder="1" applyAlignment="1">
      <alignment horizontal="center" vertical="top"/>
    </xf>
    <xf numFmtId="0" fontId="17" fillId="4" borderId="36" xfId="5" applyFont="1" applyFill="1" applyBorder="1" applyAlignment="1">
      <alignment horizontal="left" wrapText="1"/>
    </xf>
    <xf numFmtId="0" fontId="17" fillId="4" borderId="37" xfId="5" applyFont="1" applyFill="1" applyBorder="1" applyAlignment="1">
      <alignment horizontal="left" vertical="center" wrapText="1"/>
    </xf>
    <xf numFmtId="0" fontId="17" fillId="4" borderId="5" xfId="5" applyFont="1" applyFill="1" applyBorder="1"/>
    <xf numFmtId="0" fontId="17" fillId="4" borderId="20" xfId="6" applyFont="1" applyFill="1" applyBorder="1"/>
    <xf numFmtId="0" fontId="17" fillId="4" borderId="18" xfId="6" applyFont="1" applyFill="1" applyBorder="1"/>
    <xf numFmtId="0" fontId="17" fillId="4" borderId="37" xfId="5" applyFont="1" applyFill="1" applyBorder="1" applyAlignment="1">
      <alignment vertical="center" wrapText="1"/>
    </xf>
    <xf numFmtId="0" fontId="17" fillId="4" borderId="18" xfId="5" applyFont="1" applyFill="1" applyBorder="1" applyAlignment="1">
      <alignment horizontal="left" vertical="top" wrapText="1"/>
    </xf>
    <xf numFmtId="0" fontId="17" fillId="4" borderId="29" xfId="5" applyFont="1" applyFill="1" applyBorder="1" applyAlignment="1">
      <alignment vertical="top" wrapText="1"/>
    </xf>
    <xf numFmtId="0" fontId="17" fillId="4" borderId="15" xfId="5" applyFont="1" applyFill="1" applyBorder="1" applyAlignment="1">
      <alignment vertical="top" wrapText="1"/>
    </xf>
    <xf numFmtId="0" fontId="17" fillId="4" borderId="18" xfId="5" applyFont="1" applyFill="1" applyBorder="1" applyAlignment="1">
      <alignment vertical="center"/>
    </xf>
    <xf numFmtId="0" fontId="18" fillId="4" borderId="17" xfId="5" applyFont="1" applyFill="1" applyBorder="1" applyAlignment="1">
      <alignment horizontal="center" vertical="center"/>
    </xf>
    <xf numFmtId="0" fontId="18" fillId="4" borderId="18" xfId="5" applyFont="1" applyFill="1" applyBorder="1" applyAlignment="1">
      <alignment horizontal="center" vertical="center"/>
    </xf>
    <xf numFmtId="4" fontId="25" fillId="4" borderId="20" xfId="5" applyNumberFormat="1" applyFont="1" applyFill="1" applyBorder="1" applyAlignment="1">
      <alignment vertical="center"/>
    </xf>
    <xf numFmtId="3" fontId="20" fillId="0" borderId="0" xfId="5" applyNumberFormat="1" applyFont="1"/>
    <xf numFmtId="0" fontId="4" fillId="0" borderId="0" xfId="0" applyFont="1" applyAlignment="1">
      <alignment horizontal="centerContinuous" vertical="center"/>
    </xf>
    <xf numFmtId="0" fontId="16" fillId="0" borderId="0" xfId="0" applyFont="1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11" fillId="0" borderId="0" xfId="0" applyFont="1"/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3" fontId="26" fillId="0" borderId="35" xfId="0" applyNumberFormat="1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2"/>
    </xf>
    <xf numFmtId="4" fontId="27" fillId="0" borderId="1" xfId="0" applyNumberFormat="1" applyFont="1" applyBorder="1" applyAlignment="1">
      <alignment vertical="center"/>
    </xf>
    <xf numFmtId="0" fontId="20" fillId="0" borderId="3" xfId="0" applyFont="1" applyBorder="1" applyAlignment="1">
      <alignment horizontal="left" vertical="center" indent="2"/>
    </xf>
    <xf numFmtId="4" fontId="27" fillId="0" borderId="3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top"/>
    </xf>
    <xf numFmtId="4" fontId="27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top"/>
    </xf>
    <xf numFmtId="0" fontId="27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left" vertical="top" wrapText="1" indent="2"/>
    </xf>
    <xf numFmtId="4" fontId="27" fillId="0" borderId="3" xfId="0" applyNumberFormat="1" applyFont="1" applyBorder="1"/>
    <xf numFmtId="0" fontId="27" fillId="0" borderId="20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indent="2"/>
    </xf>
    <xf numFmtId="4" fontId="27" fillId="0" borderId="20" xfId="0" applyNumberFormat="1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2"/>
    </xf>
    <xf numFmtId="4" fontId="27" fillId="0" borderId="5" xfId="0" applyNumberFormat="1" applyFont="1" applyBorder="1" applyAlignment="1">
      <alignment vertical="center"/>
    </xf>
    <xf numFmtId="4" fontId="27" fillId="0" borderId="5" xfId="0" applyNumberFormat="1" applyFont="1" applyBorder="1" applyAlignment="1">
      <alignment horizontal="right" vertical="center"/>
    </xf>
    <xf numFmtId="0" fontId="27" fillId="4" borderId="5" xfId="0" applyFont="1" applyFill="1" applyBorder="1" applyAlignment="1">
      <alignment horizontal="right" vertical="center"/>
    </xf>
    <xf numFmtId="0" fontId="27" fillId="4" borderId="5" xfId="0" applyFont="1" applyFill="1" applyBorder="1" applyAlignment="1">
      <alignment vertical="center"/>
    </xf>
    <xf numFmtId="0" fontId="12" fillId="0" borderId="0" xfId="0" applyFont="1"/>
    <xf numFmtId="0" fontId="16" fillId="0" borderId="0" xfId="0" applyFont="1" applyAlignment="1">
      <alignment vertical="center"/>
    </xf>
    <xf numFmtId="0" fontId="28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20" fillId="0" borderId="0" xfId="0" applyFont="1"/>
    <xf numFmtId="4" fontId="20" fillId="0" borderId="0" xfId="0" applyNumberFormat="1" applyFont="1"/>
    <xf numFmtId="0" fontId="2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4" fontId="20" fillId="0" borderId="5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49" fontId="20" fillId="0" borderId="20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vertical="center"/>
    </xf>
    <xf numFmtId="0" fontId="29" fillId="0" borderId="0" xfId="0" applyFont="1"/>
    <xf numFmtId="4" fontId="20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9" fontId="20" fillId="0" borderId="2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vertical="center"/>
    </xf>
    <xf numFmtId="0" fontId="29" fillId="0" borderId="0" xfId="0" applyFont="1" applyAlignment="1">
      <alignment vertical="center" wrapText="1"/>
    </xf>
    <xf numFmtId="49" fontId="20" fillId="0" borderId="30" xfId="0" applyNumberFormat="1" applyFont="1" applyBorder="1" applyAlignment="1">
      <alignment horizontal="center" vertical="center"/>
    </xf>
    <xf numFmtId="4" fontId="30" fillId="0" borderId="0" xfId="0" applyNumberFormat="1" applyFont="1"/>
    <xf numFmtId="0" fontId="0" fillId="0" borderId="0" xfId="0" applyAlignment="1">
      <alignment horizontal="centerContinuous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4" fontId="1" fillId="0" borderId="11" xfId="0" applyNumberFormat="1" applyFont="1" applyBorder="1"/>
    <xf numFmtId="0" fontId="2" fillId="0" borderId="13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3" fontId="2" fillId="0" borderId="11" xfId="0" applyNumberFormat="1" applyFont="1" applyBorder="1"/>
    <xf numFmtId="0" fontId="1" fillId="0" borderId="13" xfId="0" applyFont="1" applyBorder="1"/>
    <xf numFmtId="0" fontId="2" fillId="0" borderId="11" xfId="2" applyFont="1" applyBorder="1"/>
    <xf numFmtId="0" fontId="2" fillId="0" borderId="11" xfId="0" applyFont="1" applyBorder="1"/>
    <xf numFmtId="0" fontId="1" fillId="0" borderId="13" xfId="0" applyFont="1" applyBorder="1" applyAlignment="1">
      <alignment wrapText="1"/>
    </xf>
    <xf numFmtId="0" fontId="2" fillId="0" borderId="12" xfId="2" applyFont="1" applyBorder="1"/>
    <xf numFmtId="4" fontId="2" fillId="0" borderId="11" xfId="2" applyNumberFormat="1" applyFont="1" applyBorder="1" applyAlignment="1">
      <alignment horizontal="right"/>
    </xf>
    <xf numFmtId="0" fontId="2" fillId="0" borderId="11" xfId="2" applyFont="1" applyBorder="1" applyAlignment="1">
      <alignment wrapText="1"/>
    </xf>
    <xf numFmtId="0" fontId="10" fillId="0" borderId="13" xfId="2" applyFont="1" applyBorder="1"/>
    <xf numFmtId="0" fontId="10" fillId="0" borderId="13" xfId="2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1" xfId="2" applyFont="1" applyBorder="1"/>
    <xf numFmtId="0" fontId="1" fillId="0" borderId="11" xfId="0" applyFont="1" applyBorder="1"/>
    <xf numFmtId="0" fontId="2" fillId="0" borderId="11" xfId="0" applyFont="1" applyBorder="1" applyAlignment="1">
      <alignment vertical="center"/>
    </xf>
    <xf numFmtId="0" fontId="1" fillId="0" borderId="11" xfId="2" applyFont="1" applyBorder="1" applyAlignment="1">
      <alignment wrapText="1"/>
    </xf>
    <xf numFmtId="0" fontId="2" fillId="0" borderId="16" xfId="0" applyFont="1" applyBorder="1"/>
    <xf numFmtId="0" fontId="2" fillId="0" borderId="12" xfId="0" applyFont="1" applyBorder="1"/>
    <xf numFmtId="0" fontId="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1" fillId="0" borderId="11" xfId="2" applyFont="1" applyBorder="1" applyAlignment="1">
      <alignment horizontal="left" wrapText="1"/>
    </xf>
    <xf numFmtId="0" fontId="16" fillId="0" borderId="0" xfId="5" applyAlignment="1">
      <alignment vertical="center"/>
    </xf>
    <xf numFmtId="0" fontId="16" fillId="0" borderId="0" xfId="5"/>
    <xf numFmtId="4" fontId="21" fillId="0" borderId="5" xfId="5" applyNumberFormat="1" applyFont="1" applyBorder="1" applyAlignment="1">
      <alignment vertical="center"/>
    </xf>
    <xf numFmtId="0" fontId="25" fillId="4" borderId="17" xfId="5" applyFont="1" applyFill="1" applyBorder="1" applyAlignment="1">
      <alignment horizontal="left" vertical="center"/>
    </xf>
    <xf numFmtId="0" fontId="25" fillId="4" borderId="18" xfId="5" applyFont="1" applyFill="1" applyBorder="1" applyAlignment="1">
      <alignment horizontal="left" vertical="center"/>
    </xf>
    <xf numFmtId="0" fontId="25" fillId="4" borderId="19" xfId="5" applyFont="1" applyFill="1" applyBorder="1" applyAlignment="1">
      <alignment horizontal="left" vertical="center"/>
    </xf>
    <xf numFmtId="0" fontId="22" fillId="4" borderId="17" xfId="5" applyFont="1" applyFill="1" applyBorder="1" applyAlignment="1">
      <alignment horizontal="center"/>
    </xf>
    <xf numFmtId="0" fontId="22" fillId="4" borderId="18" xfId="5" applyFont="1" applyFill="1" applyBorder="1" applyAlignment="1">
      <alignment horizontal="center"/>
    </xf>
    <xf numFmtId="4" fontId="22" fillId="4" borderId="20" xfId="5" applyNumberFormat="1" applyFont="1" applyFill="1" applyBorder="1"/>
    <xf numFmtId="0" fontId="22" fillId="0" borderId="0" xfId="5" applyFont="1" applyAlignment="1">
      <alignment vertical="center"/>
    </xf>
    <xf numFmtId="0" fontId="0" fillId="0" borderId="0" xfId="0" applyAlignment="1">
      <alignment vertical="center"/>
    </xf>
    <xf numFmtId="0" fontId="21" fillId="0" borderId="35" xfId="0" applyFont="1" applyBorder="1" applyAlignment="1">
      <alignment vertical="center" wrapText="1"/>
    </xf>
    <xf numFmtId="0" fontId="21" fillId="4" borderId="20" xfId="0" applyFont="1" applyFill="1" applyBorder="1" applyAlignment="1">
      <alignment horizontal="left" vertical="center" indent="2"/>
    </xf>
    <xf numFmtId="4" fontId="21" fillId="4" borderId="5" xfId="0" applyNumberFormat="1" applyFont="1" applyFill="1" applyBorder="1" applyAlignment="1">
      <alignment vertical="center"/>
    </xf>
    <xf numFmtId="0" fontId="0" fillId="4" borderId="0" xfId="0" applyFill="1"/>
    <xf numFmtId="0" fontId="2" fillId="0" borderId="0" xfId="0" applyFont="1"/>
    <xf numFmtId="4" fontId="0" fillId="0" borderId="0" xfId="0" applyNumberFormat="1"/>
    <xf numFmtId="4" fontId="12" fillId="0" borderId="0" xfId="0" applyNumberFormat="1" applyFont="1"/>
    <xf numFmtId="0" fontId="12" fillId="0" borderId="0" xfId="0" applyFont="1" applyAlignment="1">
      <alignment vertical="center"/>
    </xf>
    <xf numFmtId="4" fontId="32" fillId="0" borderId="3" xfId="0" applyNumberFormat="1" applyFont="1" applyBorder="1" applyAlignment="1">
      <alignment vertical="center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5" xfId="0" applyFont="1" applyBorder="1"/>
    <xf numFmtId="4" fontId="32" fillId="0" borderId="5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4" fontId="18" fillId="0" borderId="19" xfId="0" applyNumberFormat="1" applyFont="1" applyBorder="1" applyAlignment="1">
      <alignment vertical="center"/>
    </xf>
    <xf numFmtId="4" fontId="18" fillId="0" borderId="2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1" fillId="0" borderId="6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/>
    </xf>
    <xf numFmtId="0" fontId="21" fillId="0" borderId="21" xfId="5" applyFont="1" applyBorder="1" applyAlignment="1">
      <alignment horizontal="center" vertical="center"/>
    </xf>
  </cellXfs>
  <cellStyles count="8">
    <cellStyle name="Dziesiętny 2" xfId="3" xr:uid="{E9A3ED08-777C-4370-B8BE-8C843237C87F}"/>
    <cellStyle name="Dziesiętny 2 2" xfId="4" xr:uid="{E533F47D-A97C-4095-9E61-750AD7548D93}"/>
    <cellStyle name="Normalny" xfId="0" builtinId="0"/>
    <cellStyle name="Normalny 2" xfId="2" xr:uid="{A285166E-41A3-49A8-B60A-3E3B2EBD0D63}"/>
    <cellStyle name="Normalny 3" xfId="5" xr:uid="{D08991F9-C4F9-48B7-BCFB-8AF1D400BBB6}"/>
    <cellStyle name="Normalny 3 2" xfId="6" xr:uid="{13CD597C-A2F3-448E-9BFC-0442880CBEA3}"/>
    <cellStyle name="Normalny 5" xfId="7" xr:uid="{D95FEAC8-2BA0-4CAB-A315-8D072EA1CB6E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E992-B7E1-4107-8D32-072C17B3A9CF}">
  <sheetPr>
    <tabColor rgb="FFCC00CC"/>
  </sheetPr>
  <dimension ref="A1:H1124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85546875" customWidth="1"/>
    <col min="8" max="8" width="12.710937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21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298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299</v>
      </c>
      <c r="G4" s="1"/>
      <c r="H4" s="1"/>
    </row>
    <row r="5" spans="1:8" ht="18" customHeight="1" x14ac:dyDescent="0.25">
      <c r="A5" s="4" t="s">
        <v>15</v>
      </c>
      <c r="B5" s="475"/>
      <c r="C5" s="5"/>
      <c r="D5" s="5"/>
      <c r="E5" s="475"/>
      <c r="F5" s="475"/>
      <c r="G5" s="6"/>
      <c r="H5" s="475"/>
    </row>
    <row r="6" spans="1:8" ht="22.5" customHeight="1" x14ac:dyDescent="0.25">
      <c r="A6" s="1"/>
      <c r="B6" s="1"/>
      <c r="C6" s="2"/>
      <c r="D6" s="2"/>
      <c r="E6" s="7"/>
      <c r="F6" s="1"/>
      <c r="G6" s="8"/>
      <c r="H6" s="9" t="s">
        <v>1</v>
      </c>
    </row>
    <row r="7" spans="1:8" s="16" customFormat="1" ht="11.25" x14ac:dyDescent="0.2">
      <c r="A7" s="10"/>
      <c r="B7" s="10"/>
      <c r="C7" s="11"/>
      <c r="D7" s="12"/>
      <c r="E7" s="13" t="s">
        <v>2</v>
      </c>
      <c r="F7" s="14"/>
      <c r="G7" s="15"/>
      <c r="H7" s="13" t="s">
        <v>2</v>
      </c>
    </row>
    <row r="8" spans="1:8" s="16" customFormat="1" ht="11.25" x14ac:dyDescent="0.2">
      <c r="A8" s="17" t="s">
        <v>3</v>
      </c>
      <c r="B8" s="17" t="s">
        <v>4</v>
      </c>
      <c r="C8" s="18" t="s">
        <v>5</v>
      </c>
      <c r="D8" s="19" t="s">
        <v>6</v>
      </c>
      <c r="E8" s="17" t="s">
        <v>7</v>
      </c>
      <c r="F8" s="20" t="s">
        <v>8</v>
      </c>
      <c r="G8" s="17" t="s">
        <v>9</v>
      </c>
      <c r="H8" s="17" t="s">
        <v>10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47"/>
      <c r="B10" s="47"/>
      <c r="C10" s="26"/>
      <c r="D10" s="27" t="s">
        <v>16</v>
      </c>
      <c r="E10" s="28">
        <v>933417359.17999983</v>
      </c>
      <c r="F10" s="28">
        <f>SUM(F11,F62,F92)</f>
        <v>1598890.2000000002</v>
      </c>
      <c r="G10" s="28">
        <f>SUM(G11,G62,G92)</f>
        <v>1393000.48</v>
      </c>
      <c r="H10" s="28">
        <f t="shared" ref="H10:H24" si="0">SUM(E10+F10-G10)</f>
        <v>933623248.89999986</v>
      </c>
    </row>
    <row r="11" spans="1:8" s="16" customFormat="1" ht="17.25" customHeight="1" thickBot="1" x14ac:dyDescent="0.25">
      <c r="A11" s="47"/>
      <c r="B11" s="47"/>
      <c r="C11" s="26"/>
      <c r="D11" s="29" t="s">
        <v>17</v>
      </c>
      <c r="E11" s="30">
        <v>856203853.9000001</v>
      </c>
      <c r="F11" s="30">
        <f>SUM(F12,F17,F21,F25,F37,F51,F55)</f>
        <v>437377.39</v>
      </c>
      <c r="G11" s="30">
        <f>SUM(G12,G17,G21,G25,G37,G51,G55)</f>
        <v>1361870</v>
      </c>
      <c r="H11" s="30">
        <f t="shared" si="0"/>
        <v>855279361.29000008</v>
      </c>
    </row>
    <row r="12" spans="1:8" s="16" customFormat="1" ht="17.25" customHeight="1" thickTop="1" thickBot="1" x14ac:dyDescent="0.25">
      <c r="A12" s="32">
        <v>752</v>
      </c>
      <c r="B12" s="48"/>
      <c r="C12" s="31"/>
      <c r="D12" s="33" t="s">
        <v>22</v>
      </c>
      <c r="E12" s="30">
        <v>45000</v>
      </c>
      <c r="F12" s="34">
        <f t="shared" ref="F12:G14" si="1">SUM(F13)</f>
        <v>0</v>
      </c>
      <c r="G12" s="34">
        <f t="shared" si="1"/>
        <v>5900</v>
      </c>
      <c r="H12" s="30">
        <f>SUM(E12+F12-G12)</f>
        <v>39100</v>
      </c>
    </row>
    <row r="13" spans="1:8" s="16" customFormat="1" ht="12" customHeight="1" thickTop="1" x14ac:dyDescent="0.2">
      <c r="A13" s="32"/>
      <c r="B13" s="55">
        <v>75224</v>
      </c>
      <c r="C13" s="56"/>
      <c r="D13" s="57" t="s">
        <v>23</v>
      </c>
      <c r="E13" s="36">
        <v>45000</v>
      </c>
      <c r="F13" s="36">
        <f t="shared" si="1"/>
        <v>0</v>
      </c>
      <c r="G13" s="36">
        <f t="shared" si="1"/>
        <v>5900</v>
      </c>
      <c r="H13" s="36">
        <f t="shared" ref="H13:H15" si="2">SUM(E13+F13-G13)</f>
        <v>39100</v>
      </c>
    </row>
    <row r="14" spans="1:8" s="16" customFormat="1" ht="12" customHeight="1" x14ac:dyDescent="0.2">
      <c r="A14" s="47"/>
      <c r="B14" s="58"/>
      <c r="C14" s="59"/>
      <c r="D14" s="476" t="s">
        <v>24</v>
      </c>
      <c r="E14" s="60">
        <v>45000</v>
      </c>
      <c r="F14" s="60">
        <f t="shared" si="1"/>
        <v>0</v>
      </c>
      <c r="G14" s="60">
        <f t="shared" si="1"/>
        <v>5900</v>
      </c>
      <c r="H14" s="60">
        <f t="shared" si="2"/>
        <v>39100</v>
      </c>
    </row>
    <row r="15" spans="1:8" s="16" customFormat="1" ht="35.25" customHeight="1" x14ac:dyDescent="0.2">
      <c r="A15" s="47"/>
      <c r="B15" s="58"/>
      <c r="C15" s="61" t="s">
        <v>25</v>
      </c>
      <c r="D15" s="62" t="s">
        <v>26</v>
      </c>
      <c r="E15" s="41">
        <v>45000</v>
      </c>
      <c r="F15" s="41"/>
      <c r="G15" s="41">
        <v>5900</v>
      </c>
      <c r="H15" s="41">
        <f t="shared" si="2"/>
        <v>39100</v>
      </c>
    </row>
    <row r="16" spans="1:8" s="16" customFormat="1" ht="12" customHeight="1" x14ac:dyDescent="0.2">
      <c r="A16" s="32">
        <v>754</v>
      </c>
      <c r="B16" s="48"/>
      <c r="C16" s="31"/>
      <c r="D16" s="48" t="s">
        <v>27</v>
      </c>
      <c r="E16" s="63"/>
      <c r="F16" s="63"/>
      <c r="G16" s="63"/>
      <c r="H16" s="63"/>
    </row>
    <row r="17" spans="1:8" s="16" customFormat="1" ht="12" customHeight="1" thickBot="1" x14ac:dyDescent="0.25">
      <c r="A17" s="32"/>
      <c r="B17" s="48"/>
      <c r="C17" s="31"/>
      <c r="D17" s="48" t="s">
        <v>28</v>
      </c>
      <c r="E17" s="30">
        <v>451404</v>
      </c>
      <c r="F17" s="34">
        <f>SUM(F18)</f>
        <v>60000</v>
      </c>
      <c r="G17" s="34">
        <f>SUM(G18)</f>
        <v>0</v>
      </c>
      <c r="H17" s="30">
        <f>SUM(E17+F17-G17)</f>
        <v>511404</v>
      </c>
    </row>
    <row r="18" spans="1:8" s="16" customFormat="1" ht="12" customHeight="1" thickTop="1" x14ac:dyDescent="0.2">
      <c r="A18" s="32"/>
      <c r="B18" s="64">
        <v>75411</v>
      </c>
      <c r="C18" s="35"/>
      <c r="D18" s="65" t="s">
        <v>29</v>
      </c>
      <c r="E18" s="38">
        <v>310250</v>
      </c>
      <c r="F18" s="37">
        <f>SUM(F19)</f>
        <v>60000</v>
      </c>
      <c r="G18" s="37">
        <f>SUM(G19)</f>
        <v>0</v>
      </c>
      <c r="H18" s="38">
        <f>SUM(E18+F18-G18)</f>
        <v>370250</v>
      </c>
    </row>
    <row r="19" spans="1:8" s="16" customFormat="1" ht="12" customHeight="1" x14ac:dyDescent="0.2">
      <c r="A19" s="32"/>
      <c r="B19" s="64"/>
      <c r="C19" s="35"/>
      <c r="D19" s="477" t="s">
        <v>24</v>
      </c>
      <c r="E19" s="478">
        <v>310250</v>
      </c>
      <c r="F19" s="478">
        <f>SUM(F20:F20)</f>
        <v>60000</v>
      </c>
      <c r="G19" s="478">
        <f>SUM(G20:G20)</f>
        <v>0</v>
      </c>
      <c r="H19" s="53">
        <f>SUM(E19+F19-G19)</f>
        <v>370250</v>
      </c>
    </row>
    <row r="20" spans="1:8" s="16" customFormat="1" ht="32.25" customHeight="1" x14ac:dyDescent="0.2">
      <c r="A20" s="39"/>
      <c r="B20" s="64"/>
      <c r="C20" s="66">
        <v>2440</v>
      </c>
      <c r="D20" s="67" t="s">
        <v>30</v>
      </c>
      <c r="E20" s="51">
        <v>179000</v>
      </c>
      <c r="F20" s="51">
        <v>60000</v>
      </c>
      <c r="G20" s="51"/>
      <c r="H20" s="68">
        <f t="shared" ref="H20" si="3">SUM(E20+F20-G20)</f>
        <v>239000</v>
      </c>
    </row>
    <row r="21" spans="1:8" s="16" customFormat="1" ht="12" customHeight="1" thickBot="1" x14ac:dyDescent="0.25">
      <c r="A21" s="49">
        <v>758</v>
      </c>
      <c r="B21" s="17"/>
      <c r="C21" s="17"/>
      <c r="D21" s="69" t="s">
        <v>31</v>
      </c>
      <c r="E21" s="30">
        <v>264630544.55000001</v>
      </c>
      <c r="F21" s="34">
        <f>SUM(F22)</f>
        <v>299544</v>
      </c>
      <c r="G21" s="34">
        <f t="shared" ref="G21:G22" si="4">SUM(G22)</f>
        <v>0</v>
      </c>
      <c r="H21" s="30">
        <f t="shared" si="0"/>
        <v>264930088.55000001</v>
      </c>
    </row>
    <row r="22" spans="1:8" s="16" customFormat="1" ht="12.75" customHeight="1" thickTop="1" x14ac:dyDescent="0.2">
      <c r="A22" s="49"/>
      <c r="B22" s="26" t="s">
        <v>32</v>
      </c>
      <c r="C22" s="56"/>
      <c r="D22" s="50" t="s">
        <v>33</v>
      </c>
      <c r="E22" s="38">
        <v>3177374</v>
      </c>
      <c r="F22" s="37">
        <f>SUM(F23)</f>
        <v>299544</v>
      </c>
      <c r="G22" s="37">
        <f t="shared" si="4"/>
        <v>0</v>
      </c>
      <c r="H22" s="38">
        <f t="shared" si="0"/>
        <v>3476918</v>
      </c>
    </row>
    <row r="23" spans="1:8" s="16" customFormat="1" ht="20.25" customHeight="1" x14ac:dyDescent="0.2">
      <c r="A23" s="47"/>
      <c r="B23" s="70"/>
      <c r="C23" s="26"/>
      <c r="D23" s="479" t="s">
        <v>34</v>
      </c>
      <c r="E23" s="53">
        <v>2877374</v>
      </c>
      <c r="F23" s="480">
        <f>SUM(F24:F24)</f>
        <v>299544</v>
      </c>
      <c r="G23" s="480">
        <f>SUM(G24:G24)</f>
        <v>0</v>
      </c>
      <c r="H23" s="53">
        <f t="shared" si="0"/>
        <v>3176918</v>
      </c>
    </row>
    <row r="24" spans="1:8" s="16" customFormat="1" ht="36" customHeight="1" x14ac:dyDescent="0.2">
      <c r="A24" s="47"/>
      <c r="B24" s="70"/>
      <c r="C24" s="71" t="s">
        <v>35</v>
      </c>
      <c r="D24" s="72" t="s">
        <v>36</v>
      </c>
      <c r="E24" s="68">
        <v>2877374</v>
      </c>
      <c r="F24" s="68">
        <f>219515+80029</f>
        <v>299544</v>
      </c>
      <c r="G24" s="52"/>
      <c r="H24" s="68">
        <f t="shared" si="0"/>
        <v>3176918</v>
      </c>
    </row>
    <row r="25" spans="1:8" s="16" customFormat="1" ht="12" customHeight="1" thickBot="1" x14ac:dyDescent="0.25">
      <c r="A25" s="32">
        <v>801</v>
      </c>
      <c r="B25" s="48"/>
      <c r="C25" s="31"/>
      <c r="D25" s="33" t="s">
        <v>37</v>
      </c>
      <c r="E25" s="30">
        <v>21201069.419999998</v>
      </c>
      <c r="F25" s="30">
        <f>SUM(F26,F29,F34)</f>
        <v>41787.39</v>
      </c>
      <c r="G25" s="30">
        <f>SUM(G26,G29,G34)</f>
        <v>0</v>
      </c>
      <c r="H25" s="30">
        <f>SUM(E25+F25-G25)</f>
        <v>21242856.809999999</v>
      </c>
    </row>
    <row r="26" spans="1:8" s="16" customFormat="1" ht="12" customHeight="1" thickTop="1" x14ac:dyDescent="0.2">
      <c r="A26" s="32"/>
      <c r="B26" s="35">
        <v>80120</v>
      </c>
      <c r="C26" s="58"/>
      <c r="D26" s="73" t="s">
        <v>38</v>
      </c>
      <c r="E26" s="36">
        <v>12590.39</v>
      </c>
      <c r="F26" s="36">
        <f>SUM(F27)</f>
        <v>37120</v>
      </c>
      <c r="G26" s="36">
        <f>SUM(G27)</f>
        <v>0</v>
      </c>
      <c r="H26" s="36">
        <f t="shared" ref="H26:H31" si="5">SUM(E26+F26-G26)</f>
        <v>49710.39</v>
      </c>
    </row>
    <row r="27" spans="1:8" s="16" customFormat="1" ht="12" customHeight="1" x14ac:dyDescent="0.2">
      <c r="A27" s="32"/>
      <c r="B27" s="58"/>
      <c r="C27" s="59"/>
      <c r="D27" s="476" t="s">
        <v>24</v>
      </c>
      <c r="E27" s="60">
        <v>0</v>
      </c>
      <c r="F27" s="60">
        <f>SUM(F28)</f>
        <v>37120</v>
      </c>
      <c r="G27" s="60">
        <f>SUM(G28)</f>
        <v>0</v>
      </c>
      <c r="H27" s="60">
        <f t="shared" si="5"/>
        <v>37120</v>
      </c>
    </row>
    <row r="28" spans="1:8" s="16" customFormat="1" ht="22.5" customHeight="1" x14ac:dyDescent="0.2">
      <c r="A28" s="32"/>
      <c r="B28" s="58"/>
      <c r="C28" s="71" t="s">
        <v>39</v>
      </c>
      <c r="D28" s="74" t="s">
        <v>40</v>
      </c>
      <c r="E28" s="41">
        <v>0</v>
      </c>
      <c r="F28" s="41">
        <v>37120</v>
      </c>
      <c r="G28" s="63"/>
      <c r="H28" s="41">
        <f t="shared" si="5"/>
        <v>37120</v>
      </c>
    </row>
    <row r="29" spans="1:8" s="16" customFormat="1" ht="12" customHeight="1" x14ac:dyDescent="0.2">
      <c r="A29" s="32"/>
      <c r="B29" s="35">
        <v>80146</v>
      </c>
      <c r="C29" s="59"/>
      <c r="D29" s="57" t="s">
        <v>41</v>
      </c>
      <c r="E29" s="36">
        <v>466366</v>
      </c>
      <c r="F29" s="36">
        <f>SUM(F30)</f>
        <v>3500</v>
      </c>
      <c r="G29" s="36">
        <f>SUM(G30)</f>
        <v>0</v>
      </c>
      <c r="H29" s="36">
        <f t="shared" si="5"/>
        <v>469866</v>
      </c>
    </row>
    <row r="30" spans="1:8" s="16" customFormat="1" ht="12" customHeight="1" x14ac:dyDescent="0.2">
      <c r="A30" s="32"/>
      <c r="B30" s="58"/>
      <c r="C30" s="59"/>
      <c r="D30" s="476" t="s">
        <v>24</v>
      </c>
      <c r="E30" s="60">
        <v>408207</v>
      </c>
      <c r="F30" s="60">
        <f>SUM(F31)</f>
        <v>3500</v>
      </c>
      <c r="G30" s="60">
        <f>SUM(G31)</f>
        <v>0</v>
      </c>
      <c r="H30" s="60">
        <f t="shared" si="5"/>
        <v>411707</v>
      </c>
    </row>
    <row r="31" spans="1:8" s="16" customFormat="1" ht="35.25" customHeight="1" x14ac:dyDescent="0.2">
      <c r="A31" s="32"/>
      <c r="B31" s="58"/>
      <c r="C31" s="61" t="s">
        <v>25</v>
      </c>
      <c r="D31" s="62" t="s">
        <v>26</v>
      </c>
      <c r="E31" s="41">
        <v>408207</v>
      </c>
      <c r="F31" s="41">
        <v>3500</v>
      </c>
      <c r="G31" s="63"/>
      <c r="H31" s="41">
        <f t="shared" si="5"/>
        <v>411707</v>
      </c>
    </row>
    <row r="32" spans="1:8" s="16" customFormat="1" ht="12" customHeight="1" x14ac:dyDescent="0.2">
      <c r="A32" s="32"/>
      <c r="B32" s="25">
        <v>80153</v>
      </c>
      <c r="C32" s="31"/>
      <c r="D32" s="43" t="s">
        <v>42</v>
      </c>
      <c r="E32" s="63"/>
      <c r="F32" s="63"/>
      <c r="G32" s="63"/>
      <c r="H32" s="63"/>
    </row>
    <row r="33" spans="1:8" s="16" customFormat="1" ht="12" customHeight="1" x14ac:dyDescent="0.2">
      <c r="A33" s="32"/>
      <c r="B33" s="48"/>
      <c r="C33" s="31"/>
      <c r="D33" s="43" t="s">
        <v>43</v>
      </c>
      <c r="E33" s="63"/>
      <c r="F33" s="63"/>
      <c r="G33" s="63"/>
      <c r="H33" s="63"/>
    </row>
    <row r="34" spans="1:8" s="16" customFormat="1" ht="12.75" customHeight="1" x14ac:dyDescent="0.2">
      <c r="A34" s="48"/>
      <c r="B34" s="25"/>
      <c r="C34" s="26"/>
      <c r="D34" s="50" t="s">
        <v>44</v>
      </c>
      <c r="E34" s="38">
        <v>27148.54</v>
      </c>
      <c r="F34" s="38">
        <f>SUM(F35)</f>
        <v>1167.3900000000001</v>
      </c>
      <c r="G34" s="38">
        <f>SUM(G35)</f>
        <v>0</v>
      </c>
      <c r="H34" s="38">
        <f>SUM(E34+F34-G34)</f>
        <v>28315.93</v>
      </c>
    </row>
    <row r="35" spans="1:8" s="16" customFormat="1" ht="42.75" customHeight="1" x14ac:dyDescent="0.2">
      <c r="A35" s="48"/>
      <c r="B35" s="48"/>
      <c r="C35" s="42"/>
      <c r="D35" s="481" t="s">
        <v>45</v>
      </c>
      <c r="E35" s="53">
        <v>27148.54</v>
      </c>
      <c r="F35" s="480">
        <f>SUM(F36:F36)</f>
        <v>1167.3900000000001</v>
      </c>
      <c r="G35" s="480">
        <f>SUM(G36:G36)</f>
        <v>0</v>
      </c>
      <c r="H35" s="53">
        <f t="shared" ref="H35:H36" si="6">SUM(E35+F35-G35)</f>
        <v>28315.93</v>
      </c>
    </row>
    <row r="36" spans="1:8" s="16" customFormat="1" ht="35.25" customHeight="1" x14ac:dyDescent="0.2">
      <c r="A36" s="48"/>
      <c r="B36" s="48"/>
      <c r="C36" s="71" t="s">
        <v>35</v>
      </c>
      <c r="D36" s="72" t="s">
        <v>36</v>
      </c>
      <c r="E36" s="68">
        <v>27148.54</v>
      </c>
      <c r="F36" s="68">
        <v>1167.3900000000001</v>
      </c>
      <c r="G36" s="52"/>
      <c r="H36" s="68">
        <f t="shared" si="6"/>
        <v>28315.93</v>
      </c>
    </row>
    <row r="37" spans="1:8" s="16" customFormat="1" ht="12.75" customHeight="1" thickBot="1" x14ac:dyDescent="0.25">
      <c r="A37" s="48">
        <v>852</v>
      </c>
      <c r="B37" s="48"/>
      <c r="C37" s="31"/>
      <c r="D37" s="33" t="s">
        <v>46</v>
      </c>
      <c r="E37" s="34">
        <v>23955694.68</v>
      </c>
      <c r="F37" s="34">
        <f>SUM(F38,F42,F45,F48)</f>
        <v>4573</v>
      </c>
      <c r="G37" s="34">
        <f>SUM(G38,G42,G45,G48)</f>
        <v>1205970</v>
      </c>
      <c r="H37" s="34">
        <f>SUM(E37+F37-G37)</f>
        <v>22754297.68</v>
      </c>
    </row>
    <row r="38" spans="1:8" s="16" customFormat="1" ht="12.75" customHeight="1" thickTop="1" x14ac:dyDescent="0.2">
      <c r="A38" s="48"/>
      <c r="B38" s="55">
        <v>85202</v>
      </c>
      <c r="C38" s="26"/>
      <c r="D38" s="50" t="s">
        <v>47</v>
      </c>
      <c r="E38" s="38">
        <v>2860719.0300000003</v>
      </c>
      <c r="F38" s="37">
        <f>SUM(F39)</f>
        <v>3300</v>
      </c>
      <c r="G38" s="37">
        <f>SUM(G39)</f>
        <v>0</v>
      </c>
      <c r="H38" s="38">
        <f t="shared" ref="H38:H40" si="7">SUM(E38+F38-G38)</f>
        <v>2864019.0300000003</v>
      </c>
    </row>
    <row r="39" spans="1:8" s="16" customFormat="1" ht="12.75" customHeight="1" x14ac:dyDescent="0.2">
      <c r="A39" s="48"/>
      <c r="B39" s="25"/>
      <c r="C39" s="26"/>
      <c r="D39" s="482" t="s">
        <v>48</v>
      </c>
      <c r="E39" s="53">
        <v>886901</v>
      </c>
      <c r="F39" s="480">
        <f>SUM(F40:F40)</f>
        <v>3300</v>
      </c>
      <c r="G39" s="480">
        <f>SUM(G40:G40)</f>
        <v>0</v>
      </c>
      <c r="H39" s="53">
        <f t="shared" si="7"/>
        <v>890201</v>
      </c>
    </row>
    <row r="40" spans="1:8" s="16" customFormat="1" ht="23.25" customHeight="1" x14ac:dyDescent="0.2">
      <c r="A40" s="48"/>
      <c r="B40" s="25"/>
      <c r="C40" s="71" t="s">
        <v>39</v>
      </c>
      <c r="D40" s="74" t="s">
        <v>40</v>
      </c>
      <c r="E40" s="68">
        <v>886901</v>
      </c>
      <c r="F40" s="68">
        <v>3300</v>
      </c>
      <c r="G40" s="52"/>
      <c r="H40" s="68">
        <f t="shared" si="7"/>
        <v>890201</v>
      </c>
    </row>
    <row r="41" spans="1:8" s="16" customFormat="1" ht="12.75" customHeight="1" x14ac:dyDescent="0.2">
      <c r="A41" s="48"/>
      <c r="B41" s="25">
        <v>85214</v>
      </c>
      <c r="C41" s="26"/>
      <c r="D41" s="75" t="s">
        <v>49</v>
      </c>
      <c r="E41" s="63"/>
      <c r="F41" s="76"/>
      <c r="G41" s="76"/>
      <c r="H41" s="63"/>
    </row>
    <row r="42" spans="1:8" s="16" customFormat="1" ht="12" customHeight="1" x14ac:dyDescent="0.2">
      <c r="A42" s="48"/>
      <c r="B42" s="25"/>
      <c r="C42" s="26"/>
      <c r="D42" s="77" t="s">
        <v>50</v>
      </c>
      <c r="E42" s="38">
        <v>6799771</v>
      </c>
      <c r="F42" s="37">
        <f>SUM(F43)</f>
        <v>0</v>
      </c>
      <c r="G42" s="37">
        <f>SUM(G43)</f>
        <v>1005970</v>
      </c>
      <c r="H42" s="38">
        <f>SUM(E42+F42-G42)</f>
        <v>5793801</v>
      </c>
    </row>
    <row r="43" spans="1:8" s="16" customFormat="1" ht="12.75" customHeight="1" x14ac:dyDescent="0.2">
      <c r="A43" s="48"/>
      <c r="B43" s="25"/>
      <c r="C43" s="26"/>
      <c r="D43" s="482" t="s">
        <v>48</v>
      </c>
      <c r="E43" s="53">
        <v>6757473</v>
      </c>
      <c r="F43" s="480">
        <f>SUM(F44)</f>
        <v>0</v>
      </c>
      <c r="G43" s="480">
        <f>SUM(G44)</f>
        <v>1005970</v>
      </c>
      <c r="H43" s="53">
        <f t="shared" ref="H43:H44" si="8">SUM(E43+F43-G43)</f>
        <v>5751503</v>
      </c>
    </row>
    <row r="44" spans="1:8" s="16" customFormat="1" ht="34.5" customHeight="1" x14ac:dyDescent="0.2">
      <c r="A44" s="78"/>
      <c r="B44" s="79"/>
      <c r="C44" s="80" t="s">
        <v>51</v>
      </c>
      <c r="D44" s="81" t="s">
        <v>52</v>
      </c>
      <c r="E44" s="82">
        <v>6757473</v>
      </c>
      <c r="F44" s="37"/>
      <c r="G44" s="37">
        <v>1005970</v>
      </c>
      <c r="H44" s="82">
        <f t="shared" si="8"/>
        <v>5751503</v>
      </c>
    </row>
    <row r="45" spans="1:8" s="16" customFormat="1" ht="12" customHeight="1" x14ac:dyDescent="0.2">
      <c r="A45" s="48"/>
      <c r="B45" s="25">
        <v>85216</v>
      </c>
      <c r="C45" s="26"/>
      <c r="D45" s="73" t="s">
        <v>53</v>
      </c>
      <c r="E45" s="38">
        <v>4660317</v>
      </c>
      <c r="F45" s="37">
        <f t="shared" ref="F45:G45" si="9">SUM(F46)</f>
        <v>0</v>
      </c>
      <c r="G45" s="37">
        <f t="shared" si="9"/>
        <v>200000</v>
      </c>
      <c r="H45" s="38">
        <f>SUM(E45+F45-G45)</f>
        <v>4460317</v>
      </c>
    </row>
    <row r="46" spans="1:8" s="16" customFormat="1" ht="12" customHeight="1" x14ac:dyDescent="0.2">
      <c r="A46" s="48"/>
      <c r="B46" s="48"/>
      <c r="C46" s="42"/>
      <c r="D46" s="481" t="s">
        <v>48</v>
      </c>
      <c r="E46" s="53">
        <v>4603200</v>
      </c>
      <c r="F46" s="480">
        <f>SUM(F47:F47)</f>
        <v>0</v>
      </c>
      <c r="G46" s="480">
        <f>SUM(G47:G47)</f>
        <v>200000</v>
      </c>
      <c r="H46" s="53">
        <f t="shared" ref="H46" si="10">SUM(E46+F46-G46)</f>
        <v>4403200</v>
      </c>
    </row>
    <row r="47" spans="1:8" s="16" customFormat="1" ht="36.75" customHeight="1" x14ac:dyDescent="0.2">
      <c r="A47" s="48"/>
      <c r="B47" s="48"/>
      <c r="C47" s="71" t="s">
        <v>51</v>
      </c>
      <c r="D47" s="72" t="s">
        <v>54</v>
      </c>
      <c r="E47" s="68">
        <v>4603200</v>
      </c>
      <c r="F47" s="68"/>
      <c r="G47" s="52">
        <v>200000</v>
      </c>
      <c r="H47" s="68">
        <f>SUM(E47+F47-G47)</f>
        <v>4403200</v>
      </c>
    </row>
    <row r="48" spans="1:8" s="16" customFormat="1" ht="12" customHeight="1" x14ac:dyDescent="0.2">
      <c r="A48" s="48"/>
      <c r="B48" s="25">
        <v>85230</v>
      </c>
      <c r="C48" s="26"/>
      <c r="D48" s="50" t="s">
        <v>55</v>
      </c>
      <c r="E48" s="38">
        <v>4499215</v>
      </c>
      <c r="F48" s="37">
        <f>SUM(F49)</f>
        <v>1273</v>
      </c>
      <c r="G48" s="37">
        <f>SUM(G49)</f>
        <v>0</v>
      </c>
      <c r="H48" s="38">
        <f>SUM(E48+F48-G48)</f>
        <v>4500488</v>
      </c>
    </row>
    <row r="49" spans="1:8" s="16" customFormat="1" ht="24" customHeight="1" x14ac:dyDescent="0.2">
      <c r="A49" s="48"/>
      <c r="B49" s="48"/>
      <c r="C49" s="42"/>
      <c r="D49" s="481" t="s">
        <v>56</v>
      </c>
      <c r="E49" s="53">
        <v>19452</v>
      </c>
      <c r="F49" s="480">
        <f>SUM(F50:F50)</f>
        <v>1273</v>
      </c>
      <c r="G49" s="480">
        <f>SUM(G50:G50)</f>
        <v>0</v>
      </c>
      <c r="H49" s="53">
        <f t="shared" ref="H49:H50" si="11">SUM(E49+F49-G49)</f>
        <v>20725</v>
      </c>
    </row>
    <row r="50" spans="1:8" s="16" customFormat="1" ht="36.75" customHeight="1" x14ac:dyDescent="0.2">
      <c r="A50" s="48"/>
      <c r="B50" s="48"/>
      <c r="C50" s="71" t="s">
        <v>35</v>
      </c>
      <c r="D50" s="72" t="s">
        <v>36</v>
      </c>
      <c r="E50" s="68">
        <v>19452</v>
      </c>
      <c r="F50" s="68">
        <v>1273</v>
      </c>
      <c r="G50" s="52"/>
      <c r="H50" s="68">
        <f t="shared" si="11"/>
        <v>20725</v>
      </c>
    </row>
    <row r="51" spans="1:8" s="16" customFormat="1" ht="12" customHeight="1" thickBot="1" x14ac:dyDescent="0.25">
      <c r="A51" s="32">
        <v>854</v>
      </c>
      <c r="B51" s="48"/>
      <c r="C51" s="31"/>
      <c r="D51" s="33" t="s">
        <v>57</v>
      </c>
      <c r="E51" s="34">
        <v>1034408.47</v>
      </c>
      <c r="F51" s="34">
        <f t="shared" ref="F51:G53" si="12">SUM(F52)</f>
        <v>0</v>
      </c>
      <c r="G51" s="34">
        <f t="shared" si="12"/>
        <v>150000</v>
      </c>
      <c r="H51" s="34">
        <f>SUM(E51+F51-G51)</f>
        <v>884408.47</v>
      </c>
    </row>
    <row r="52" spans="1:8" s="16" customFormat="1" ht="11.25" customHeight="1" thickTop="1" x14ac:dyDescent="0.2">
      <c r="A52" s="32"/>
      <c r="B52" s="25">
        <v>85415</v>
      </c>
      <c r="C52" s="26"/>
      <c r="D52" s="50" t="s">
        <v>58</v>
      </c>
      <c r="E52" s="38">
        <v>651725</v>
      </c>
      <c r="F52" s="37">
        <f t="shared" si="12"/>
        <v>0</v>
      </c>
      <c r="G52" s="37">
        <f t="shared" si="12"/>
        <v>150000</v>
      </c>
      <c r="H52" s="38">
        <f>SUM(E52+F52-G52)</f>
        <v>501725</v>
      </c>
    </row>
    <row r="53" spans="1:8" s="16" customFormat="1" ht="11.25" customHeight="1" x14ac:dyDescent="0.2">
      <c r="A53" s="39"/>
      <c r="B53" s="48"/>
      <c r="C53" s="26"/>
      <c r="D53" s="482" t="s">
        <v>48</v>
      </c>
      <c r="E53" s="53">
        <v>631725</v>
      </c>
      <c r="F53" s="480">
        <f t="shared" si="12"/>
        <v>0</v>
      </c>
      <c r="G53" s="480">
        <f t="shared" si="12"/>
        <v>150000</v>
      </c>
      <c r="H53" s="53">
        <f>SUM(E53+F53-G53)</f>
        <v>481725</v>
      </c>
    </row>
    <row r="54" spans="1:8" s="16" customFormat="1" ht="36.75" customHeight="1" x14ac:dyDescent="0.2">
      <c r="A54" s="39"/>
      <c r="B54" s="48"/>
      <c r="C54" s="71" t="s">
        <v>51</v>
      </c>
      <c r="D54" s="72" t="s">
        <v>54</v>
      </c>
      <c r="E54" s="68">
        <v>520000</v>
      </c>
      <c r="F54" s="68"/>
      <c r="G54" s="52">
        <v>150000</v>
      </c>
      <c r="H54" s="68">
        <f t="shared" ref="H54:H62" si="13">SUM(E54+F54-G54)</f>
        <v>370000</v>
      </c>
    </row>
    <row r="55" spans="1:8" s="16" customFormat="1" ht="12" customHeight="1" thickBot="1" x14ac:dyDescent="0.25">
      <c r="A55" s="48">
        <v>855</v>
      </c>
      <c r="B55" s="48"/>
      <c r="C55" s="31"/>
      <c r="D55" s="33" t="s">
        <v>59</v>
      </c>
      <c r="E55" s="34">
        <v>28048408.949999999</v>
      </c>
      <c r="F55" s="34">
        <f>SUM(F56,F59)</f>
        <v>31473</v>
      </c>
      <c r="G55" s="34">
        <f>SUM(G56,G59)</f>
        <v>0</v>
      </c>
      <c r="H55" s="34">
        <f t="shared" si="13"/>
        <v>28079881.949999999</v>
      </c>
    </row>
    <row r="56" spans="1:8" s="16" customFormat="1" ht="12" customHeight="1" thickTop="1" x14ac:dyDescent="0.2">
      <c r="A56" s="48"/>
      <c r="B56" s="83">
        <v>85510</v>
      </c>
      <c r="C56" s="26"/>
      <c r="D56" s="50" t="s">
        <v>60</v>
      </c>
      <c r="E56" s="38">
        <v>22296130</v>
      </c>
      <c r="F56" s="37">
        <f t="shared" ref="F56:G56" si="14">SUM(F57)</f>
        <v>12013</v>
      </c>
      <c r="G56" s="37">
        <f t="shared" si="14"/>
        <v>0</v>
      </c>
      <c r="H56" s="38">
        <f t="shared" si="13"/>
        <v>22308143</v>
      </c>
    </row>
    <row r="57" spans="1:8" s="16" customFormat="1" ht="34.5" customHeight="1" x14ac:dyDescent="0.2">
      <c r="A57" s="48"/>
      <c r="B57" s="48"/>
      <c r="C57" s="42"/>
      <c r="D57" s="481" t="s">
        <v>61</v>
      </c>
      <c r="E57" s="53">
        <v>0</v>
      </c>
      <c r="F57" s="480">
        <f>SUM(F58:F58)</f>
        <v>12013</v>
      </c>
      <c r="G57" s="480">
        <f>SUM(G58:G58)</f>
        <v>0</v>
      </c>
      <c r="H57" s="53">
        <f t="shared" si="13"/>
        <v>12013</v>
      </c>
    </row>
    <row r="58" spans="1:8" s="16" customFormat="1" ht="35.25" customHeight="1" x14ac:dyDescent="0.2">
      <c r="A58" s="48"/>
      <c r="B58" s="48"/>
      <c r="C58" s="71" t="s">
        <v>35</v>
      </c>
      <c r="D58" s="72" t="s">
        <v>36</v>
      </c>
      <c r="E58" s="68">
        <v>0</v>
      </c>
      <c r="F58" s="68">
        <v>12013</v>
      </c>
      <c r="G58" s="52"/>
      <c r="H58" s="68">
        <f t="shared" si="13"/>
        <v>12013</v>
      </c>
    </row>
    <row r="59" spans="1:8" s="16" customFormat="1" ht="12" customHeight="1" x14ac:dyDescent="0.2">
      <c r="A59" s="55"/>
      <c r="B59" s="83">
        <v>85595</v>
      </c>
      <c r="C59" s="26"/>
      <c r="D59" s="50" t="s">
        <v>19</v>
      </c>
      <c r="E59" s="38">
        <v>3643404.95</v>
      </c>
      <c r="F59" s="37">
        <f t="shared" ref="F59:G59" si="15">SUM(F60)</f>
        <v>19460</v>
      </c>
      <c r="G59" s="37">
        <f t="shared" si="15"/>
        <v>0</v>
      </c>
      <c r="H59" s="38">
        <f t="shared" si="13"/>
        <v>3662864.95</v>
      </c>
    </row>
    <row r="60" spans="1:8" s="16" customFormat="1" ht="12" customHeight="1" x14ac:dyDescent="0.2">
      <c r="A60" s="39"/>
      <c r="B60" s="48"/>
      <c r="C60" s="42"/>
      <c r="D60" s="481" t="s">
        <v>62</v>
      </c>
      <c r="E60" s="53">
        <v>218329</v>
      </c>
      <c r="F60" s="480">
        <f>SUM(F61:F61)</f>
        <v>19460</v>
      </c>
      <c r="G60" s="480">
        <f>SUM(G61:G61)</f>
        <v>0</v>
      </c>
      <c r="H60" s="53">
        <f t="shared" si="13"/>
        <v>237789</v>
      </c>
    </row>
    <row r="61" spans="1:8" s="16" customFormat="1" ht="35.25" customHeight="1" x14ac:dyDescent="0.2">
      <c r="A61" s="39"/>
      <c r="B61" s="48"/>
      <c r="C61" s="71" t="s">
        <v>35</v>
      </c>
      <c r="D61" s="72" t="s">
        <v>36</v>
      </c>
      <c r="E61" s="68">
        <v>218329</v>
      </c>
      <c r="F61" s="68">
        <v>19460</v>
      </c>
      <c r="G61" s="52"/>
      <c r="H61" s="68">
        <f t="shared" si="13"/>
        <v>237789</v>
      </c>
    </row>
    <row r="62" spans="1:8" s="16" customFormat="1" ht="23.25" customHeight="1" thickBot="1" x14ac:dyDescent="0.25">
      <c r="A62" s="47"/>
      <c r="B62" s="47"/>
      <c r="C62" s="26"/>
      <c r="D62" s="29" t="s">
        <v>63</v>
      </c>
      <c r="E62" s="30">
        <v>55448919.629999995</v>
      </c>
      <c r="F62" s="34">
        <f>SUM(F63,F69,F73,F83)</f>
        <v>619184.5</v>
      </c>
      <c r="G62" s="34">
        <f>SUM(G63,G69,G73,G83)</f>
        <v>0</v>
      </c>
      <c r="H62" s="30">
        <f t="shared" si="13"/>
        <v>56068104.129999995</v>
      </c>
    </row>
    <row r="63" spans="1:8" s="16" customFormat="1" ht="20.25" customHeight="1" thickTop="1" thickBot="1" x14ac:dyDescent="0.25">
      <c r="A63" s="32">
        <v>750</v>
      </c>
      <c r="B63" s="48"/>
      <c r="C63" s="31"/>
      <c r="D63" s="33" t="s">
        <v>64</v>
      </c>
      <c r="E63" s="34">
        <v>2213511.4400000004</v>
      </c>
      <c r="F63" s="34">
        <f t="shared" ref="F63:G63" si="16">SUM(F64)</f>
        <v>62233.5</v>
      </c>
      <c r="G63" s="34">
        <f t="shared" si="16"/>
        <v>0</v>
      </c>
      <c r="H63" s="34">
        <f t="shared" ref="H63:H68" si="17">SUM(E63+F63-G63)</f>
        <v>2275744.9400000004</v>
      </c>
    </row>
    <row r="64" spans="1:8" s="16" customFormat="1" ht="12" customHeight="1" thickTop="1" x14ac:dyDescent="0.2">
      <c r="A64" s="32"/>
      <c r="B64" s="55">
        <v>75011</v>
      </c>
      <c r="C64" s="56"/>
      <c r="D64" s="84" t="s">
        <v>65</v>
      </c>
      <c r="E64" s="38">
        <v>2213511.4400000004</v>
      </c>
      <c r="F64" s="37">
        <f>SUM(F65,F67)</f>
        <v>62233.5</v>
      </c>
      <c r="G64" s="37">
        <f>SUM(G65,G67)</f>
        <v>0</v>
      </c>
      <c r="H64" s="38">
        <f t="shared" si="17"/>
        <v>2275744.9400000004</v>
      </c>
    </row>
    <row r="65" spans="1:8" s="16" customFormat="1" ht="12" customHeight="1" x14ac:dyDescent="0.2">
      <c r="A65" s="32"/>
      <c r="B65" s="25"/>
      <c r="C65" s="26"/>
      <c r="D65" s="482" t="s">
        <v>48</v>
      </c>
      <c r="E65" s="53">
        <v>2210223.2400000002</v>
      </c>
      <c r="F65" s="480">
        <f>SUM(F66)</f>
        <v>61711</v>
      </c>
      <c r="G65" s="480">
        <f>SUM(G66)</f>
        <v>0</v>
      </c>
      <c r="H65" s="53">
        <f t="shared" si="17"/>
        <v>2271934.2400000002</v>
      </c>
    </row>
    <row r="66" spans="1:8" s="16" customFormat="1" ht="46.5" customHeight="1" x14ac:dyDescent="0.2">
      <c r="A66" s="32"/>
      <c r="B66" s="48"/>
      <c r="C66" s="71" t="s">
        <v>66</v>
      </c>
      <c r="D66" s="85" t="s">
        <v>67</v>
      </c>
      <c r="E66" s="51">
        <v>2210223.2400000002</v>
      </c>
      <c r="F66" s="68">
        <v>61711</v>
      </c>
      <c r="G66" s="68"/>
      <c r="H66" s="51">
        <f t="shared" si="17"/>
        <v>2271934.2400000002</v>
      </c>
    </row>
    <row r="67" spans="1:8" s="16" customFormat="1" ht="47.25" customHeight="1" x14ac:dyDescent="0.2">
      <c r="A67" s="48"/>
      <c r="B67" s="48"/>
      <c r="C67" s="26"/>
      <c r="D67" s="481" t="s">
        <v>68</v>
      </c>
      <c r="E67" s="53">
        <v>3288.2</v>
      </c>
      <c r="F67" s="480">
        <f>SUM(F68:F68)</f>
        <v>522.5</v>
      </c>
      <c r="G67" s="480">
        <f>SUM(G68:G68)</f>
        <v>0</v>
      </c>
      <c r="H67" s="53">
        <f t="shared" si="17"/>
        <v>3810.7</v>
      </c>
    </row>
    <row r="68" spans="1:8" s="16" customFormat="1" ht="35.25" customHeight="1" x14ac:dyDescent="0.2">
      <c r="A68" s="48"/>
      <c r="B68" s="48"/>
      <c r="C68" s="71" t="s">
        <v>35</v>
      </c>
      <c r="D68" s="72" t="s">
        <v>36</v>
      </c>
      <c r="E68" s="68">
        <v>3288.2</v>
      </c>
      <c r="F68" s="68">
        <f>25.89+174.18+95.68+200.86+25.89</f>
        <v>522.5</v>
      </c>
      <c r="G68" s="52"/>
      <c r="H68" s="68">
        <f t="shared" si="17"/>
        <v>3810.7</v>
      </c>
    </row>
    <row r="69" spans="1:8" s="16" customFormat="1" ht="12.75" customHeight="1" thickBot="1" x14ac:dyDescent="0.25">
      <c r="A69" s="48">
        <v>754</v>
      </c>
      <c r="B69" s="48"/>
      <c r="C69" s="31"/>
      <c r="D69" s="33" t="s">
        <v>69</v>
      </c>
      <c r="E69" s="34">
        <v>2128332</v>
      </c>
      <c r="F69" s="34">
        <f>SUM(F70)</f>
        <v>22360</v>
      </c>
      <c r="G69" s="34">
        <f>SUM(G70)</f>
        <v>0</v>
      </c>
      <c r="H69" s="34">
        <f>SUM(E69+F69-G69)</f>
        <v>2150692</v>
      </c>
    </row>
    <row r="70" spans="1:8" s="16" customFormat="1" ht="12" customHeight="1" thickTop="1" x14ac:dyDescent="0.2">
      <c r="A70" s="25"/>
      <c r="B70" s="25">
        <v>75495</v>
      </c>
      <c r="C70" s="26"/>
      <c r="D70" s="50" t="s">
        <v>19</v>
      </c>
      <c r="E70" s="38">
        <v>2128332</v>
      </c>
      <c r="F70" s="37">
        <f>SUM(F71)</f>
        <v>22360</v>
      </c>
      <c r="G70" s="37">
        <f>SUM(G71)</f>
        <v>0</v>
      </c>
      <c r="H70" s="38">
        <f>SUM(E70+F70-G70)</f>
        <v>2150692</v>
      </c>
    </row>
    <row r="71" spans="1:8" s="16" customFormat="1" ht="22.5" customHeight="1" x14ac:dyDescent="0.2">
      <c r="A71" s="25"/>
      <c r="B71" s="25"/>
      <c r="C71" s="42"/>
      <c r="D71" s="481" t="s">
        <v>70</v>
      </c>
      <c r="E71" s="53">
        <v>313352</v>
      </c>
      <c r="F71" s="480">
        <f>SUM(F72:F72)</f>
        <v>22360</v>
      </c>
      <c r="G71" s="480">
        <f>SUM(G72:G72)</f>
        <v>0</v>
      </c>
      <c r="H71" s="53">
        <f t="shared" ref="H71:H72" si="18">SUM(E71+F71-G71)</f>
        <v>335712</v>
      </c>
    </row>
    <row r="72" spans="1:8" s="16" customFormat="1" ht="35.25" customHeight="1" x14ac:dyDescent="0.2">
      <c r="A72" s="25"/>
      <c r="B72" s="25"/>
      <c r="C72" s="71" t="s">
        <v>35</v>
      </c>
      <c r="D72" s="72" t="s">
        <v>36</v>
      </c>
      <c r="E72" s="68">
        <v>313352</v>
      </c>
      <c r="F72" s="68">
        <f>160+22200</f>
        <v>22360</v>
      </c>
      <c r="G72" s="52"/>
      <c r="H72" s="68">
        <f t="shared" si="18"/>
        <v>335712</v>
      </c>
    </row>
    <row r="73" spans="1:8" s="16" customFormat="1" ht="12" customHeight="1" thickBot="1" x14ac:dyDescent="0.25">
      <c r="A73" s="48">
        <v>852</v>
      </c>
      <c r="B73" s="48"/>
      <c r="C73" s="31"/>
      <c r="D73" s="33" t="s">
        <v>46</v>
      </c>
      <c r="E73" s="30">
        <v>4478225</v>
      </c>
      <c r="F73" s="34">
        <f>SUM(F74,F77,F80)</f>
        <v>467161</v>
      </c>
      <c r="G73" s="34">
        <f>SUM(G74,G77,G80)</f>
        <v>0</v>
      </c>
      <c r="H73" s="34">
        <f>SUM(E73+F73-G73)</f>
        <v>4945386</v>
      </c>
    </row>
    <row r="74" spans="1:8" s="16" customFormat="1" ht="12" customHeight="1" thickTop="1" x14ac:dyDescent="0.2">
      <c r="A74" s="48"/>
      <c r="B74" s="25">
        <v>85203</v>
      </c>
      <c r="C74" s="26"/>
      <c r="D74" s="86" t="s">
        <v>71</v>
      </c>
      <c r="E74" s="38">
        <v>1248603</v>
      </c>
      <c r="F74" s="37">
        <f t="shared" ref="F74:G75" si="19">SUM(F75)</f>
        <v>9136</v>
      </c>
      <c r="G74" s="37">
        <f t="shared" si="19"/>
        <v>0</v>
      </c>
      <c r="H74" s="38">
        <f t="shared" ref="H74:H92" si="20">SUM(E74+F74-G74)</f>
        <v>1257739</v>
      </c>
    </row>
    <row r="75" spans="1:8" s="16" customFormat="1" ht="12" customHeight="1" x14ac:dyDescent="0.2">
      <c r="A75" s="48"/>
      <c r="B75" s="25"/>
      <c r="C75" s="26"/>
      <c r="D75" s="482" t="s">
        <v>48</v>
      </c>
      <c r="E75" s="53">
        <v>1248603</v>
      </c>
      <c r="F75" s="480">
        <f t="shared" si="19"/>
        <v>9136</v>
      </c>
      <c r="G75" s="480">
        <f t="shared" si="19"/>
        <v>0</v>
      </c>
      <c r="H75" s="53">
        <f t="shared" si="20"/>
        <v>1257739</v>
      </c>
    </row>
    <row r="76" spans="1:8" s="16" customFormat="1" ht="47.25" customHeight="1" x14ac:dyDescent="0.2">
      <c r="A76" s="78"/>
      <c r="B76" s="78"/>
      <c r="C76" s="80" t="s">
        <v>66</v>
      </c>
      <c r="D76" s="87" t="s">
        <v>67</v>
      </c>
      <c r="E76" s="82">
        <v>1248603</v>
      </c>
      <c r="F76" s="38">
        <v>9136</v>
      </c>
      <c r="G76" s="38"/>
      <c r="H76" s="82">
        <f t="shared" si="20"/>
        <v>1257739</v>
      </c>
    </row>
    <row r="77" spans="1:8" s="16" customFormat="1" ht="12" customHeight="1" x14ac:dyDescent="0.2">
      <c r="A77" s="47"/>
      <c r="B77" s="25">
        <v>85219</v>
      </c>
      <c r="C77" s="26"/>
      <c r="D77" s="50" t="s">
        <v>72</v>
      </c>
      <c r="E77" s="38">
        <v>67577</v>
      </c>
      <c r="F77" s="37">
        <f t="shared" ref="F77:G78" si="21">SUM(F78)</f>
        <v>5705</v>
      </c>
      <c r="G77" s="37">
        <f t="shared" si="21"/>
        <v>0</v>
      </c>
      <c r="H77" s="38">
        <f t="shared" si="20"/>
        <v>73282</v>
      </c>
    </row>
    <row r="78" spans="1:8" s="16" customFormat="1" ht="12" customHeight="1" x14ac:dyDescent="0.2">
      <c r="A78" s="47"/>
      <c r="B78" s="25"/>
      <c r="C78" s="26"/>
      <c r="D78" s="482" t="s">
        <v>48</v>
      </c>
      <c r="E78" s="53">
        <v>67577</v>
      </c>
      <c r="F78" s="480">
        <f t="shared" si="21"/>
        <v>5705</v>
      </c>
      <c r="G78" s="480">
        <f t="shared" si="21"/>
        <v>0</v>
      </c>
      <c r="H78" s="53">
        <f t="shared" si="20"/>
        <v>73282</v>
      </c>
    </row>
    <row r="79" spans="1:8" s="16" customFormat="1" ht="45" customHeight="1" x14ac:dyDescent="0.2">
      <c r="A79" s="47"/>
      <c r="B79" s="48"/>
      <c r="C79" s="71" t="s">
        <v>66</v>
      </c>
      <c r="D79" s="85" t="s">
        <v>67</v>
      </c>
      <c r="E79" s="51">
        <v>67577</v>
      </c>
      <c r="F79" s="68">
        <v>5705</v>
      </c>
      <c r="G79" s="68"/>
      <c r="H79" s="51">
        <f t="shared" si="20"/>
        <v>73282</v>
      </c>
    </row>
    <row r="80" spans="1:8" s="16" customFormat="1" ht="12" customHeight="1" x14ac:dyDescent="0.2">
      <c r="A80" s="47"/>
      <c r="B80" s="25">
        <v>85228</v>
      </c>
      <c r="C80" s="26"/>
      <c r="D80" s="86" t="s">
        <v>73</v>
      </c>
      <c r="E80" s="38">
        <v>3154045</v>
      </c>
      <c r="F80" s="37">
        <f t="shared" ref="F80:G81" si="22">SUM(F81)</f>
        <v>452320</v>
      </c>
      <c r="G80" s="37">
        <f t="shared" si="22"/>
        <v>0</v>
      </c>
      <c r="H80" s="38">
        <f t="shared" si="20"/>
        <v>3606365</v>
      </c>
    </row>
    <row r="81" spans="1:8" s="16" customFormat="1" ht="12" customHeight="1" x14ac:dyDescent="0.2">
      <c r="A81" s="47"/>
      <c r="B81" s="25"/>
      <c r="C81" s="26"/>
      <c r="D81" s="482" t="s">
        <v>48</v>
      </c>
      <c r="E81" s="53">
        <v>3154045</v>
      </c>
      <c r="F81" s="480">
        <f t="shared" si="22"/>
        <v>452320</v>
      </c>
      <c r="G81" s="480">
        <f t="shared" si="22"/>
        <v>0</v>
      </c>
      <c r="H81" s="53">
        <f t="shared" si="20"/>
        <v>3606365</v>
      </c>
    </row>
    <row r="82" spans="1:8" s="16" customFormat="1" ht="47.25" customHeight="1" x14ac:dyDescent="0.2">
      <c r="A82" s="47"/>
      <c r="B82" s="48"/>
      <c r="C82" s="71" t="s">
        <v>66</v>
      </c>
      <c r="D82" s="85" t="s">
        <v>67</v>
      </c>
      <c r="E82" s="51">
        <v>3154045</v>
      </c>
      <c r="F82" s="68">
        <v>452320</v>
      </c>
      <c r="G82" s="68"/>
      <c r="H82" s="51">
        <f t="shared" si="20"/>
        <v>3606365</v>
      </c>
    </row>
    <row r="83" spans="1:8" s="16" customFormat="1" ht="12" customHeight="1" thickBot="1" x14ac:dyDescent="0.25">
      <c r="A83" s="48">
        <v>855</v>
      </c>
      <c r="B83" s="48"/>
      <c r="C83" s="31"/>
      <c r="D83" s="33" t="s">
        <v>59</v>
      </c>
      <c r="E83" s="34">
        <v>44711938</v>
      </c>
      <c r="F83" s="34">
        <f>SUM(F84,F89)</f>
        <v>67430</v>
      </c>
      <c r="G83" s="34">
        <f>SUM(G84,G89)</f>
        <v>0</v>
      </c>
      <c r="H83" s="34">
        <f>SUM(E83+F83-G83)</f>
        <v>44779368</v>
      </c>
    </row>
    <row r="84" spans="1:8" s="16" customFormat="1" ht="33.75" customHeight="1" thickTop="1" x14ac:dyDescent="0.2">
      <c r="A84" s="48"/>
      <c r="B84" s="83">
        <v>85502</v>
      </c>
      <c r="C84" s="26"/>
      <c r="D84" s="88" t="s">
        <v>74</v>
      </c>
      <c r="E84" s="38">
        <v>44191915</v>
      </c>
      <c r="F84" s="37">
        <f t="shared" ref="F84:G84" si="23">SUM(F85)</f>
        <v>18962</v>
      </c>
      <c r="G84" s="37">
        <f t="shared" si="23"/>
        <v>0</v>
      </c>
      <c r="H84" s="38">
        <f>SUM(E84+F84-G84)</f>
        <v>44210877</v>
      </c>
    </row>
    <row r="85" spans="1:8" s="16" customFormat="1" ht="12" customHeight="1" x14ac:dyDescent="0.2">
      <c r="A85" s="48"/>
      <c r="B85" s="25"/>
      <c r="C85" s="26"/>
      <c r="D85" s="482" t="s">
        <v>48</v>
      </c>
      <c r="E85" s="53">
        <v>44191915</v>
      </c>
      <c r="F85" s="480">
        <f>SUM(F86:F86)</f>
        <v>18962</v>
      </c>
      <c r="G85" s="480">
        <f>SUM(G86:G86)</f>
        <v>0</v>
      </c>
      <c r="H85" s="53">
        <f>SUM(E85+F85-G85)</f>
        <v>44210877</v>
      </c>
    </row>
    <row r="86" spans="1:8" s="16" customFormat="1" ht="58.5" customHeight="1" x14ac:dyDescent="0.2">
      <c r="A86" s="48"/>
      <c r="B86" s="48"/>
      <c r="C86" s="71" t="s">
        <v>75</v>
      </c>
      <c r="D86" s="72" t="s">
        <v>76</v>
      </c>
      <c r="E86" s="51">
        <v>105557</v>
      </c>
      <c r="F86" s="52">
        <v>18962</v>
      </c>
      <c r="G86" s="52"/>
      <c r="H86" s="51">
        <f>SUM(E86+F86-G86)</f>
        <v>124519</v>
      </c>
    </row>
    <row r="87" spans="1:8" s="16" customFormat="1" ht="12" customHeight="1" x14ac:dyDescent="0.2">
      <c r="A87" s="48"/>
      <c r="B87" s="25">
        <v>85513</v>
      </c>
      <c r="C87" s="26"/>
      <c r="D87" s="64" t="s">
        <v>77</v>
      </c>
      <c r="E87" s="51"/>
      <c r="F87" s="68"/>
      <c r="G87" s="68"/>
      <c r="H87" s="51"/>
    </row>
    <row r="88" spans="1:8" s="16" customFormat="1" ht="12" customHeight="1" x14ac:dyDescent="0.2">
      <c r="A88" s="48"/>
      <c r="B88" s="47"/>
      <c r="C88" s="26"/>
      <c r="D88" s="75" t="s">
        <v>78</v>
      </c>
      <c r="E88" s="51"/>
      <c r="F88" s="68"/>
      <c r="G88" s="68"/>
      <c r="H88" s="51"/>
    </row>
    <row r="89" spans="1:8" s="16" customFormat="1" ht="12" customHeight="1" x14ac:dyDescent="0.2">
      <c r="A89" s="48"/>
      <c r="B89" s="25"/>
      <c r="C89" s="26"/>
      <c r="D89" s="50" t="s">
        <v>79</v>
      </c>
      <c r="E89" s="38">
        <v>505836</v>
      </c>
      <c r="F89" s="37">
        <f t="shared" ref="F89:G90" si="24">SUM(F90)</f>
        <v>48468</v>
      </c>
      <c r="G89" s="37">
        <f t="shared" si="24"/>
        <v>0</v>
      </c>
      <c r="H89" s="38">
        <f t="shared" ref="H89:H91" si="25">SUM(E89+F89-G89)</f>
        <v>554304</v>
      </c>
    </row>
    <row r="90" spans="1:8" s="16" customFormat="1" ht="12" customHeight="1" x14ac:dyDescent="0.2">
      <c r="A90" s="48"/>
      <c r="B90" s="25"/>
      <c r="C90" s="26"/>
      <c r="D90" s="482" t="s">
        <v>48</v>
      </c>
      <c r="E90" s="53">
        <v>505836</v>
      </c>
      <c r="F90" s="480">
        <f t="shared" si="24"/>
        <v>48468</v>
      </c>
      <c r="G90" s="480">
        <f t="shared" si="24"/>
        <v>0</v>
      </c>
      <c r="H90" s="53">
        <f t="shared" si="25"/>
        <v>554304</v>
      </c>
    </row>
    <row r="91" spans="1:8" s="16" customFormat="1" ht="45" customHeight="1" x14ac:dyDescent="0.2">
      <c r="A91" s="48"/>
      <c r="B91" s="48"/>
      <c r="C91" s="71" t="s">
        <v>66</v>
      </c>
      <c r="D91" s="85" t="s">
        <v>67</v>
      </c>
      <c r="E91" s="51">
        <v>505836</v>
      </c>
      <c r="F91" s="68">
        <v>48468</v>
      </c>
      <c r="G91" s="68"/>
      <c r="H91" s="51">
        <f t="shared" si="25"/>
        <v>554304</v>
      </c>
    </row>
    <row r="92" spans="1:8" s="16" customFormat="1" ht="18.75" customHeight="1" thickBot="1" x14ac:dyDescent="0.25">
      <c r="A92" s="47"/>
      <c r="B92" s="47"/>
      <c r="C92" s="26"/>
      <c r="D92" s="29" t="s">
        <v>80</v>
      </c>
      <c r="E92" s="30">
        <v>21764585.649999999</v>
      </c>
      <c r="F92" s="30">
        <f>SUM(F93,F97,F104,F109,F113)</f>
        <v>542328.31000000006</v>
      </c>
      <c r="G92" s="30">
        <f>SUM(G93,G97,G104,G109,G113)</f>
        <v>31130.48</v>
      </c>
      <c r="H92" s="30">
        <f t="shared" si="20"/>
        <v>22275783.479999997</v>
      </c>
    </row>
    <row r="93" spans="1:8" s="16" customFormat="1" ht="18.75" customHeight="1" thickTop="1" thickBot="1" x14ac:dyDescent="0.25">
      <c r="A93" s="48">
        <v>700</v>
      </c>
      <c r="B93" s="48"/>
      <c r="C93" s="31"/>
      <c r="D93" s="33" t="s">
        <v>81</v>
      </c>
      <c r="E93" s="30">
        <v>465137</v>
      </c>
      <c r="F93" s="30">
        <f t="shared" ref="F93:G95" si="26">SUM(F94)</f>
        <v>308760</v>
      </c>
      <c r="G93" s="30">
        <f t="shared" si="26"/>
        <v>18160</v>
      </c>
      <c r="H93" s="30">
        <f>SUM(E93+F93-G93)</f>
        <v>755737</v>
      </c>
    </row>
    <row r="94" spans="1:8" s="16" customFormat="1" ht="12.75" customHeight="1" thickTop="1" x14ac:dyDescent="0.2">
      <c r="A94" s="48"/>
      <c r="B94" s="25">
        <v>70005</v>
      </c>
      <c r="C94" s="26"/>
      <c r="D94" s="77" t="s">
        <v>82</v>
      </c>
      <c r="E94" s="38">
        <v>465137</v>
      </c>
      <c r="F94" s="38">
        <f t="shared" si="26"/>
        <v>308760</v>
      </c>
      <c r="G94" s="38">
        <f t="shared" si="26"/>
        <v>18160</v>
      </c>
      <c r="H94" s="38">
        <f>SUM(E94+F94-G94)</f>
        <v>755737</v>
      </c>
    </row>
    <row r="95" spans="1:8" s="16" customFormat="1" ht="12.75" customHeight="1" x14ac:dyDescent="0.2">
      <c r="A95" s="47"/>
      <c r="B95" s="25"/>
      <c r="C95" s="26"/>
      <c r="D95" s="482" t="s">
        <v>48</v>
      </c>
      <c r="E95" s="53">
        <v>465137</v>
      </c>
      <c r="F95" s="480">
        <f t="shared" si="26"/>
        <v>308760</v>
      </c>
      <c r="G95" s="480">
        <f t="shared" si="26"/>
        <v>18160</v>
      </c>
      <c r="H95" s="53">
        <f>SUM(E95+F95-G95)</f>
        <v>755737</v>
      </c>
    </row>
    <row r="96" spans="1:8" s="16" customFormat="1" ht="33.75" customHeight="1" x14ac:dyDescent="0.2">
      <c r="A96" s="48"/>
      <c r="B96" s="47"/>
      <c r="C96" s="83">
        <v>2110</v>
      </c>
      <c r="D96" s="89" t="s">
        <v>83</v>
      </c>
      <c r="E96" s="90">
        <v>465137</v>
      </c>
      <c r="F96" s="91">
        <f>4950+303810</f>
        <v>308760</v>
      </c>
      <c r="G96" s="91">
        <v>18160</v>
      </c>
      <c r="H96" s="90">
        <f t="shared" ref="H96" si="27">SUM(E96+F96-G96)</f>
        <v>755737</v>
      </c>
    </row>
    <row r="97" spans="1:8" s="16" customFormat="1" ht="12.75" customHeight="1" thickBot="1" x14ac:dyDescent="0.25">
      <c r="A97" s="31" t="s">
        <v>84</v>
      </c>
      <c r="B97" s="48"/>
      <c r="C97" s="31"/>
      <c r="D97" s="33" t="s">
        <v>85</v>
      </c>
      <c r="E97" s="30">
        <v>1235200</v>
      </c>
      <c r="F97" s="30">
        <f>SUM(F98,F101)</f>
        <v>20116</v>
      </c>
      <c r="G97" s="30">
        <f>SUM(G98,G101)</f>
        <v>0</v>
      </c>
      <c r="H97" s="30">
        <f>SUM(E97+F97-G97)</f>
        <v>1255316</v>
      </c>
    </row>
    <row r="98" spans="1:8" s="16" customFormat="1" ht="12.75" customHeight="1" thickTop="1" x14ac:dyDescent="0.2">
      <c r="A98" s="31"/>
      <c r="B98" s="25">
        <v>71012</v>
      </c>
      <c r="C98" s="55"/>
      <c r="D98" s="50" t="s">
        <v>86</v>
      </c>
      <c r="E98" s="38">
        <v>289000</v>
      </c>
      <c r="F98" s="38">
        <f t="shared" ref="F98:G98" si="28">SUM(F99)</f>
        <v>12116</v>
      </c>
      <c r="G98" s="38">
        <f t="shared" si="28"/>
        <v>0</v>
      </c>
      <c r="H98" s="38">
        <f t="shared" ref="H98:H99" si="29">SUM(E98+F98-G98)</f>
        <v>301116</v>
      </c>
    </row>
    <row r="99" spans="1:8" s="16" customFormat="1" ht="12.75" customHeight="1" x14ac:dyDescent="0.2">
      <c r="A99" s="31"/>
      <c r="B99" s="25"/>
      <c r="C99" s="26"/>
      <c r="D99" s="482" t="s">
        <v>48</v>
      </c>
      <c r="E99" s="53">
        <v>289000</v>
      </c>
      <c r="F99" s="480">
        <f>SUM(F100:F100)</f>
        <v>12116</v>
      </c>
      <c r="G99" s="480">
        <f>SUM(G100:G100)</f>
        <v>0</v>
      </c>
      <c r="H99" s="53">
        <f t="shared" si="29"/>
        <v>301116</v>
      </c>
    </row>
    <row r="100" spans="1:8" s="16" customFormat="1" ht="34.5" customHeight="1" x14ac:dyDescent="0.2">
      <c r="A100" s="31"/>
      <c r="B100" s="47"/>
      <c r="C100" s="83">
        <v>2110</v>
      </c>
      <c r="D100" s="89" t="s">
        <v>83</v>
      </c>
      <c r="E100" s="68">
        <v>289000</v>
      </c>
      <c r="F100" s="68">
        <v>12116</v>
      </c>
      <c r="G100" s="68"/>
      <c r="H100" s="68">
        <f>SUM(E100+F100-G100)</f>
        <v>301116</v>
      </c>
    </row>
    <row r="101" spans="1:8" s="16" customFormat="1" ht="12" customHeight="1" x14ac:dyDescent="0.2">
      <c r="A101" s="32"/>
      <c r="B101" s="35">
        <v>71015</v>
      </c>
      <c r="C101" s="59"/>
      <c r="D101" s="73" t="s">
        <v>87</v>
      </c>
      <c r="E101" s="38">
        <v>946200</v>
      </c>
      <c r="F101" s="38">
        <f t="shared" ref="F101:G102" si="30">SUM(F102)</f>
        <v>8000</v>
      </c>
      <c r="G101" s="38">
        <f t="shared" si="30"/>
        <v>0</v>
      </c>
      <c r="H101" s="38">
        <f>SUM(E101+F101-G101)</f>
        <v>954200</v>
      </c>
    </row>
    <row r="102" spans="1:8" s="16" customFormat="1" ht="12.75" customHeight="1" x14ac:dyDescent="0.2">
      <c r="A102" s="47"/>
      <c r="B102" s="25"/>
      <c r="C102" s="26"/>
      <c r="D102" s="482" t="s">
        <v>48</v>
      </c>
      <c r="E102" s="53">
        <v>946200</v>
      </c>
      <c r="F102" s="480">
        <f t="shared" si="30"/>
        <v>8000</v>
      </c>
      <c r="G102" s="480">
        <f t="shared" si="30"/>
        <v>0</v>
      </c>
      <c r="H102" s="53">
        <f>SUM(E102+F102-G102)</f>
        <v>954200</v>
      </c>
    </row>
    <row r="103" spans="1:8" s="16" customFormat="1" ht="34.5" customHeight="1" x14ac:dyDescent="0.2">
      <c r="A103" s="48"/>
      <c r="B103" s="47"/>
      <c r="C103" s="83">
        <v>2110</v>
      </c>
      <c r="D103" s="89" t="s">
        <v>83</v>
      </c>
      <c r="E103" s="90">
        <v>946200</v>
      </c>
      <c r="F103" s="91">
        <v>8000</v>
      </c>
      <c r="G103" s="91"/>
      <c r="H103" s="90">
        <f t="shared" ref="H103" si="31">SUM(E103+F103-G103)</f>
        <v>954200</v>
      </c>
    </row>
    <row r="104" spans="1:8" s="16" customFormat="1" ht="16.5" customHeight="1" thickBot="1" x14ac:dyDescent="0.25">
      <c r="A104" s="32">
        <v>752</v>
      </c>
      <c r="B104" s="48"/>
      <c r="C104" s="31"/>
      <c r="D104" s="33" t="s">
        <v>22</v>
      </c>
      <c r="E104" s="30">
        <v>37300</v>
      </c>
      <c r="F104" s="30">
        <f t="shared" ref="F104:G106" si="32">SUM(F105)</f>
        <v>0</v>
      </c>
      <c r="G104" s="30">
        <f t="shared" si="32"/>
        <v>7997</v>
      </c>
      <c r="H104" s="30">
        <f>SUM(E104+F104-G104)</f>
        <v>29303</v>
      </c>
    </row>
    <row r="105" spans="1:8" s="16" customFormat="1" ht="12" customHeight="1" thickTop="1" x14ac:dyDescent="0.2">
      <c r="A105" s="32"/>
      <c r="B105" s="55">
        <v>75224</v>
      </c>
      <c r="C105" s="56"/>
      <c r="D105" s="57" t="s">
        <v>23</v>
      </c>
      <c r="E105" s="38">
        <v>34800</v>
      </c>
      <c r="F105" s="38">
        <f t="shared" si="32"/>
        <v>0</v>
      </c>
      <c r="G105" s="38">
        <f t="shared" si="32"/>
        <v>7997</v>
      </c>
      <c r="H105" s="38">
        <f>SUM(E105+F105-G105)</f>
        <v>26803</v>
      </c>
    </row>
    <row r="106" spans="1:8" s="16" customFormat="1" ht="12" customHeight="1" x14ac:dyDescent="0.2">
      <c r="A106" s="47"/>
      <c r="B106" s="25"/>
      <c r="C106" s="26"/>
      <c r="D106" s="482" t="s">
        <v>48</v>
      </c>
      <c r="E106" s="53">
        <v>34800</v>
      </c>
      <c r="F106" s="480">
        <f t="shared" si="32"/>
        <v>0</v>
      </c>
      <c r="G106" s="480">
        <f t="shared" si="32"/>
        <v>7997</v>
      </c>
      <c r="H106" s="53">
        <f>SUM(E106+F106-G106)</f>
        <v>26803</v>
      </c>
    </row>
    <row r="107" spans="1:8" s="16" customFormat="1" ht="33" customHeight="1" x14ac:dyDescent="0.2">
      <c r="A107" s="48"/>
      <c r="B107" s="47"/>
      <c r="C107" s="83">
        <v>2110</v>
      </c>
      <c r="D107" s="89" t="s">
        <v>83</v>
      </c>
      <c r="E107" s="90">
        <v>34800</v>
      </c>
      <c r="F107" s="91"/>
      <c r="G107" s="91">
        <v>7997</v>
      </c>
      <c r="H107" s="90">
        <f t="shared" ref="H107" si="33">SUM(E107+F107-G107)</f>
        <v>26803</v>
      </c>
    </row>
    <row r="108" spans="1:8" s="16" customFormat="1" ht="12" customHeight="1" x14ac:dyDescent="0.2">
      <c r="A108" s="32">
        <v>754</v>
      </c>
      <c r="B108" s="48"/>
      <c r="C108" s="31"/>
      <c r="D108" s="33" t="s">
        <v>88</v>
      </c>
      <c r="E108" s="63"/>
      <c r="F108" s="63"/>
      <c r="G108" s="63"/>
      <c r="H108" s="63"/>
    </row>
    <row r="109" spans="1:8" s="16" customFormat="1" ht="12" customHeight="1" thickBot="1" x14ac:dyDescent="0.25">
      <c r="A109" s="32"/>
      <c r="B109" s="48"/>
      <c r="C109" s="31"/>
      <c r="D109" s="33" t="s">
        <v>28</v>
      </c>
      <c r="E109" s="30">
        <v>18471075.32</v>
      </c>
      <c r="F109" s="30">
        <f t="shared" ref="F109:H111" si="34">SUM(F110)</f>
        <v>203752.31</v>
      </c>
      <c r="G109" s="30">
        <f t="shared" si="34"/>
        <v>4973.4799999999996</v>
      </c>
      <c r="H109" s="30">
        <f t="shared" si="34"/>
        <v>18669854.149999999</v>
      </c>
    </row>
    <row r="110" spans="1:8" s="16" customFormat="1" ht="12" customHeight="1" thickTop="1" x14ac:dyDescent="0.2">
      <c r="A110" s="39"/>
      <c r="B110" s="25">
        <v>75411</v>
      </c>
      <c r="C110" s="26"/>
      <c r="D110" s="86" t="s">
        <v>89</v>
      </c>
      <c r="E110" s="38">
        <v>18471075.32</v>
      </c>
      <c r="F110" s="38">
        <f t="shared" si="34"/>
        <v>203752.31</v>
      </c>
      <c r="G110" s="38">
        <f t="shared" si="34"/>
        <v>4973.4799999999996</v>
      </c>
      <c r="H110" s="38">
        <f t="shared" si="34"/>
        <v>18669854.149999999</v>
      </c>
    </row>
    <row r="111" spans="1:8" s="16" customFormat="1" ht="12" customHeight="1" x14ac:dyDescent="0.2">
      <c r="A111" s="47"/>
      <c r="B111" s="25"/>
      <c r="C111" s="26"/>
      <c r="D111" s="482" t="s">
        <v>48</v>
      </c>
      <c r="E111" s="53">
        <v>18471075.32</v>
      </c>
      <c r="F111" s="53">
        <f t="shared" si="34"/>
        <v>203752.31</v>
      </c>
      <c r="G111" s="53">
        <f t="shared" si="34"/>
        <v>4973.4799999999996</v>
      </c>
      <c r="H111" s="53">
        <f t="shared" si="34"/>
        <v>18669854.149999999</v>
      </c>
    </row>
    <row r="112" spans="1:8" s="16" customFormat="1" ht="33" customHeight="1" x14ac:dyDescent="0.2">
      <c r="A112" s="78"/>
      <c r="B112" s="92"/>
      <c r="C112" s="93">
        <v>2110</v>
      </c>
      <c r="D112" s="88" t="s">
        <v>83</v>
      </c>
      <c r="E112" s="82">
        <v>18471075.32</v>
      </c>
      <c r="F112" s="38">
        <f>31992.13+205.54+3566.64+3000+164988</f>
        <v>203752.31</v>
      </c>
      <c r="G112" s="38">
        <v>4973.4799999999996</v>
      </c>
      <c r="H112" s="82">
        <f t="shared" ref="H112" si="35">SUM(E112+F112-G112)</f>
        <v>18669854.149999999</v>
      </c>
    </row>
    <row r="113" spans="1:8" s="16" customFormat="1" ht="12.75" customHeight="1" thickBot="1" x14ac:dyDescent="0.25">
      <c r="A113" s="32">
        <v>853</v>
      </c>
      <c r="B113" s="48"/>
      <c r="C113" s="31"/>
      <c r="D113" s="33" t="s">
        <v>18</v>
      </c>
      <c r="E113" s="30">
        <v>538299</v>
      </c>
      <c r="F113" s="30">
        <f>SUM(F114)</f>
        <v>9700</v>
      </c>
      <c r="G113" s="30">
        <f t="shared" ref="F113:G115" si="36">SUM(G114)</f>
        <v>0</v>
      </c>
      <c r="H113" s="30">
        <f>SUM(E113+F113-G113)</f>
        <v>547999</v>
      </c>
    </row>
    <row r="114" spans="1:8" s="16" customFormat="1" ht="12" customHeight="1" thickTop="1" x14ac:dyDescent="0.2">
      <c r="A114" s="32"/>
      <c r="B114" s="25">
        <v>85321</v>
      </c>
      <c r="C114" s="26"/>
      <c r="D114" s="50" t="s">
        <v>90</v>
      </c>
      <c r="E114" s="38">
        <v>508500</v>
      </c>
      <c r="F114" s="38">
        <f>SUM(F115)</f>
        <v>9700</v>
      </c>
      <c r="G114" s="38">
        <f t="shared" si="36"/>
        <v>0</v>
      </c>
      <c r="H114" s="38">
        <f>SUM(E114+F114-G114)</f>
        <v>518200</v>
      </c>
    </row>
    <row r="115" spans="1:8" s="16" customFormat="1" ht="12" customHeight="1" x14ac:dyDescent="0.2">
      <c r="A115" s="47"/>
      <c r="B115" s="25"/>
      <c r="C115" s="26"/>
      <c r="D115" s="482" t="s">
        <v>48</v>
      </c>
      <c r="E115" s="53">
        <v>507500</v>
      </c>
      <c r="F115" s="480">
        <f t="shared" si="36"/>
        <v>9700</v>
      </c>
      <c r="G115" s="480">
        <f t="shared" si="36"/>
        <v>0</v>
      </c>
      <c r="H115" s="53">
        <f>SUM(E115+F115-G115)</f>
        <v>517200</v>
      </c>
    </row>
    <row r="116" spans="1:8" s="16" customFormat="1" ht="35.25" customHeight="1" x14ac:dyDescent="0.2">
      <c r="A116" s="48"/>
      <c r="B116" s="47"/>
      <c r="C116" s="83">
        <v>2110</v>
      </c>
      <c r="D116" s="89" t="s">
        <v>83</v>
      </c>
      <c r="E116" s="51">
        <v>507500</v>
      </c>
      <c r="F116" s="68">
        <v>9700</v>
      </c>
      <c r="G116" s="68"/>
      <c r="H116" s="51">
        <f t="shared" ref="H116:H118" si="37">SUM(E116+F116-G116)</f>
        <v>517200</v>
      </c>
    </row>
    <row r="117" spans="1:8" s="16" customFormat="1" ht="20.25" customHeight="1" thickBot="1" x14ac:dyDescent="0.25">
      <c r="A117" s="25"/>
      <c r="B117" s="25"/>
      <c r="C117" s="26"/>
      <c r="D117" s="27" t="s">
        <v>11</v>
      </c>
      <c r="E117" s="28">
        <v>1094532332.6699998</v>
      </c>
      <c r="F117" s="28">
        <f>SUM(F118,F769,F832)</f>
        <v>7338124.1400000006</v>
      </c>
      <c r="G117" s="28">
        <f>SUM(G118,G769,G832)</f>
        <v>7132234.4199999999</v>
      </c>
      <c r="H117" s="28">
        <f t="shared" si="37"/>
        <v>1094738222.3899999</v>
      </c>
    </row>
    <row r="118" spans="1:8" s="16" customFormat="1" ht="17.25" customHeight="1" thickBot="1" x14ac:dyDescent="0.25">
      <c r="A118" s="25"/>
      <c r="B118" s="25"/>
      <c r="C118" s="26"/>
      <c r="D118" s="29" t="s">
        <v>12</v>
      </c>
      <c r="E118" s="30">
        <v>1016925520.27</v>
      </c>
      <c r="F118" s="30">
        <f>SUM(F119,F146,F163,F201,F206,F216,F220,F520,F540,F603,F630,F666,F730,F754,F759)</f>
        <v>5616544.9500000002</v>
      </c>
      <c r="G118" s="30">
        <f>SUM(G119,G146,G163,G201,G206,G216,G220,G520,G540,G603,G630,G666,G730,G754,G759)</f>
        <v>6541037.5599999996</v>
      </c>
      <c r="H118" s="30">
        <f t="shared" si="37"/>
        <v>1016001027.6600001</v>
      </c>
    </row>
    <row r="119" spans="1:8" s="16" customFormat="1" ht="20.25" customHeight="1" thickTop="1" thickBot="1" x14ac:dyDescent="0.25">
      <c r="A119" s="32">
        <v>600</v>
      </c>
      <c r="B119" s="48"/>
      <c r="C119" s="31"/>
      <c r="D119" s="33" t="s">
        <v>91</v>
      </c>
      <c r="E119" s="30">
        <v>147214476.63999999</v>
      </c>
      <c r="F119" s="30">
        <f>SUM(F120,F128,F131,F134,F137,F140)</f>
        <v>192500</v>
      </c>
      <c r="G119" s="30">
        <f>SUM(G120,G128,G131,G134,G137,G140)</f>
        <v>192500</v>
      </c>
      <c r="H119" s="30">
        <f t="shared" ref="H119" si="38">SUM(E119+F119-G119)</f>
        <v>147214476.63999999</v>
      </c>
    </row>
    <row r="120" spans="1:8" s="16" customFormat="1" ht="12" customHeight="1" thickTop="1" x14ac:dyDescent="0.2">
      <c r="A120" s="48"/>
      <c r="B120" s="25">
        <v>60004</v>
      </c>
      <c r="C120" s="26"/>
      <c r="D120" s="50" t="s">
        <v>92</v>
      </c>
      <c r="E120" s="36">
        <v>37589181.190000005</v>
      </c>
      <c r="F120" s="36">
        <f>SUM(F121,F124)</f>
        <v>22500</v>
      </c>
      <c r="G120" s="36">
        <f>SUM(G121,G124)</f>
        <v>20000</v>
      </c>
      <c r="H120" s="38">
        <f>SUM(E120+F120-G120)</f>
        <v>37591681.190000005</v>
      </c>
    </row>
    <row r="121" spans="1:8" s="16" customFormat="1" ht="12" customHeight="1" x14ac:dyDescent="0.2">
      <c r="A121" s="48"/>
      <c r="B121" s="25"/>
      <c r="C121" s="94"/>
      <c r="D121" s="483" t="s">
        <v>20</v>
      </c>
      <c r="E121" s="53">
        <v>35649631.240000002</v>
      </c>
      <c r="F121" s="53">
        <f>SUM(F122:F123)</f>
        <v>10000</v>
      </c>
      <c r="G121" s="53">
        <f>SUM(G122:G123)</f>
        <v>10000</v>
      </c>
      <c r="H121" s="53">
        <f t="shared" ref="H121:H123" si="39">SUM(E121+F121-G121)</f>
        <v>35649631.240000002</v>
      </c>
    </row>
    <row r="122" spans="1:8" s="16" customFormat="1" ht="12" customHeight="1" x14ac:dyDescent="0.2">
      <c r="A122" s="48"/>
      <c r="B122" s="25"/>
      <c r="C122" s="25">
        <v>4300</v>
      </c>
      <c r="D122" s="40" t="s">
        <v>14</v>
      </c>
      <c r="E122" s="41">
        <v>35394871.240000002</v>
      </c>
      <c r="F122" s="41"/>
      <c r="G122" s="41">
        <v>10000</v>
      </c>
      <c r="H122" s="68">
        <f t="shared" si="39"/>
        <v>35384871.240000002</v>
      </c>
    </row>
    <row r="123" spans="1:8" s="16" customFormat="1" ht="23.25" customHeight="1" x14ac:dyDescent="0.2">
      <c r="A123" s="48"/>
      <c r="B123" s="25"/>
      <c r="C123" s="83">
        <v>4390</v>
      </c>
      <c r="D123" s="89" t="s">
        <v>93</v>
      </c>
      <c r="E123" s="41">
        <v>14760</v>
      </c>
      <c r="F123" s="41">
        <v>10000</v>
      </c>
      <c r="G123" s="41"/>
      <c r="H123" s="68">
        <f t="shared" si="39"/>
        <v>24760</v>
      </c>
    </row>
    <row r="124" spans="1:8" s="16" customFormat="1" ht="12" customHeight="1" x14ac:dyDescent="0.2">
      <c r="A124" s="48"/>
      <c r="B124" s="25"/>
      <c r="C124" s="94"/>
      <c r="D124" s="484" t="s">
        <v>94</v>
      </c>
      <c r="E124" s="53">
        <v>277030</v>
      </c>
      <c r="F124" s="53">
        <f>SUM(F125:F127)</f>
        <v>12500</v>
      </c>
      <c r="G124" s="53">
        <f>SUM(G125:G127)</f>
        <v>10000</v>
      </c>
      <c r="H124" s="53">
        <f>SUM(E124+F124-G124)</f>
        <v>279530</v>
      </c>
    </row>
    <row r="125" spans="1:8" s="16" customFormat="1" ht="12" customHeight="1" x14ac:dyDescent="0.2">
      <c r="A125" s="48"/>
      <c r="B125" s="25"/>
      <c r="C125" s="55">
        <v>4270</v>
      </c>
      <c r="D125" s="40" t="s">
        <v>95</v>
      </c>
      <c r="E125" s="41">
        <v>31910</v>
      </c>
      <c r="F125" s="41">
        <v>10000</v>
      </c>
      <c r="G125" s="41"/>
      <c r="H125" s="68">
        <f t="shared" ref="H125:H127" si="40">SUM(E125+F125-G125)</f>
        <v>41910</v>
      </c>
    </row>
    <row r="126" spans="1:8" s="16" customFormat="1" ht="12" customHeight="1" x14ac:dyDescent="0.2">
      <c r="A126" s="48"/>
      <c r="B126" s="25"/>
      <c r="C126" s="55">
        <v>4300</v>
      </c>
      <c r="D126" s="40" t="s">
        <v>14</v>
      </c>
      <c r="E126" s="41">
        <v>78067</v>
      </c>
      <c r="F126" s="41"/>
      <c r="G126" s="41">
        <v>10000</v>
      </c>
      <c r="H126" s="68">
        <f t="shared" si="40"/>
        <v>68067</v>
      </c>
    </row>
    <row r="127" spans="1:8" s="16" customFormat="1" ht="12" customHeight="1" x14ac:dyDescent="0.2">
      <c r="A127" s="48"/>
      <c r="B127" s="25"/>
      <c r="C127" s="55">
        <v>4610</v>
      </c>
      <c r="D127" s="95" t="s">
        <v>96</v>
      </c>
      <c r="E127" s="41">
        <v>10000</v>
      </c>
      <c r="F127" s="41">
        <v>2500</v>
      </c>
      <c r="G127" s="41"/>
      <c r="H127" s="68">
        <f t="shared" si="40"/>
        <v>12500</v>
      </c>
    </row>
    <row r="128" spans="1:8" s="16" customFormat="1" ht="12" customHeight="1" x14ac:dyDescent="0.2">
      <c r="A128" s="48"/>
      <c r="B128" s="25">
        <v>60015</v>
      </c>
      <c r="C128" s="26"/>
      <c r="D128" s="50" t="s">
        <v>97</v>
      </c>
      <c r="E128" s="36">
        <v>39194647.259999998</v>
      </c>
      <c r="F128" s="36">
        <f>SUM(F129)</f>
        <v>0</v>
      </c>
      <c r="G128" s="36">
        <f>SUM(G129)</f>
        <v>22000</v>
      </c>
      <c r="H128" s="38">
        <f>SUM(E128+F128-G128)</f>
        <v>39172647.259999998</v>
      </c>
    </row>
    <row r="129" spans="1:8" s="16" customFormat="1" ht="12" customHeight="1" x14ac:dyDescent="0.2">
      <c r="A129" s="48"/>
      <c r="B129" s="25"/>
      <c r="C129" s="26"/>
      <c r="D129" s="484" t="s">
        <v>94</v>
      </c>
      <c r="E129" s="478">
        <v>13433809.369999999</v>
      </c>
      <c r="F129" s="480">
        <f>SUM(F130:F130)</f>
        <v>0</v>
      </c>
      <c r="G129" s="480">
        <f>SUM(G130:G130)</f>
        <v>22000</v>
      </c>
      <c r="H129" s="53">
        <f>SUM(E129+F129-G129)</f>
        <v>13411809.369999999</v>
      </c>
    </row>
    <row r="130" spans="1:8" s="16" customFormat="1" ht="12" customHeight="1" x14ac:dyDescent="0.2">
      <c r="A130" s="48"/>
      <c r="B130" s="25"/>
      <c r="C130" s="55">
        <v>4260</v>
      </c>
      <c r="D130" s="40" t="s">
        <v>98</v>
      </c>
      <c r="E130" s="41">
        <v>600000</v>
      </c>
      <c r="F130" s="41"/>
      <c r="G130" s="41">
        <v>22000</v>
      </c>
      <c r="H130" s="68">
        <f t="shared" ref="H130" si="41">SUM(E130+F130-G130)</f>
        <v>578000</v>
      </c>
    </row>
    <row r="131" spans="1:8" s="16" customFormat="1" ht="12" customHeight="1" x14ac:dyDescent="0.2">
      <c r="A131" s="48"/>
      <c r="B131" s="25">
        <v>60016</v>
      </c>
      <c r="C131" s="26"/>
      <c r="D131" s="50" t="s">
        <v>99</v>
      </c>
      <c r="E131" s="36">
        <v>62424164.25</v>
      </c>
      <c r="F131" s="36">
        <f>SUM(F132)</f>
        <v>120000</v>
      </c>
      <c r="G131" s="36">
        <f>SUM(G132)</f>
        <v>0</v>
      </c>
      <c r="H131" s="38">
        <f>SUM(E131+F131-G131)</f>
        <v>62544164.25</v>
      </c>
    </row>
    <row r="132" spans="1:8" s="16" customFormat="1" ht="12" customHeight="1" x14ac:dyDescent="0.2">
      <c r="A132" s="48"/>
      <c r="B132" s="25"/>
      <c r="C132" s="26"/>
      <c r="D132" s="484" t="s">
        <v>94</v>
      </c>
      <c r="E132" s="478">
        <v>6744095.7200000007</v>
      </c>
      <c r="F132" s="480">
        <f>SUM(F133:F133)</f>
        <v>120000</v>
      </c>
      <c r="G132" s="480">
        <f>SUM(G133:G133)</f>
        <v>0</v>
      </c>
      <c r="H132" s="53">
        <f>SUM(E132+F132-G132)</f>
        <v>6864095.7200000007</v>
      </c>
    </row>
    <row r="133" spans="1:8" s="16" customFormat="1" ht="12" customHeight="1" x14ac:dyDescent="0.2">
      <c r="A133" s="48"/>
      <c r="B133" s="25"/>
      <c r="C133" s="55">
        <v>4300</v>
      </c>
      <c r="D133" s="40" t="s">
        <v>14</v>
      </c>
      <c r="E133" s="41">
        <v>3151634.49</v>
      </c>
      <c r="F133" s="41">
        <v>120000</v>
      </c>
      <c r="G133" s="41"/>
      <c r="H133" s="68">
        <f t="shared" ref="H133" si="42">SUM(E133+F133-G133)</f>
        <v>3271634.49</v>
      </c>
    </row>
    <row r="134" spans="1:8" s="16" customFormat="1" ht="12" customHeight="1" x14ac:dyDescent="0.2">
      <c r="A134" s="48"/>
      <c r="B134" s="35">
        <v>60017</v>
      </c>
      <c r="C134" s="58"/>
      <c r="D134" s="73" t="s">
        <v>100</v>
      </c>
      <c r="E134" s="36">
        <v>821311.91</v>
      </c>
      <c r="F134" s="36">
        <f>SUM(F135)</f>
        <v>0</v>
      </c>
      <c r="G134" s="36">
        <f>SUM(G135)</f>
        <v>120000</v>
      </c>
      <c r="H134" s="38">
        <f>SUM(E134+F134-G134)</f>
        <v>701311.91</v>
      </c>
    </row>
    <row r="135" spans="1:8" s="16" customFormat="1" ht="12" customHeight="1" x14ac:dyDescent="0.2">
      <c r="A135" s="48"/>
      <c r="B135" s="25"/>
      <c r="C135" s="26"/>
      <c r="D135" s="484" t="s">
        <v>94</v>
      </c>
      <c r="E135" s="53">
        <v>355311.91000000003</v>
      </c>
      <c r="F135" s="53">
        <f>SUM(F136:F136)</f>
        <v>0</v>
      </c>
      <c r="G135" s="53">
        <f>SUM(G136:G136)</f>
        <v>120000</v>
      </c>
      <c r="H135" s="53">
        <f>SUM(E135+F135-G135)</f>
        <v>235311.91000000003</v>
      </c>
    </row>
    <row r="136" spans="1:8" s="16" customFormat="1" ht="12" customHeight="1" x14ac:dyDescent="0.2">
      <c r="A136" s="48"/>
      <c r="B136" s="48"/>
      <c r="C136" s="55">
        <v>4300</v>
      </c>
      <c r="D136" s="40" t="s">
        <v>14</v>
      </c>
      <c r="E136" s="41">
        <v>259311.91</v>
      </c>
      <c r="F136" s="41"/>
      <c r="G136" s="41">
        <v>120000</v>
      </c>
      <c r="H136" s="68">
        <f t="shared" ref="H136:H137" si="43">SUM(E136+F136-G136)</f>
        <v>139311.91</v>
      </c>
    </row>
    <row r="137" spans="1:8" s="16" customFormat="1" ht="12" customHeight="1" x14ac:dyDescent="0.2">
      <c r="A137" s="48"/>
      <c r="B137" s="96">
        <v>60021</v>
      </c>
      <c r="C137" s="96"/>
      <c r="D137" s="97" t="s">
        <v>101</v>
      </c>
      <c r="E137" s="36">
        <v>196150</v>
      </c>
      <c r="F137" s="36">
        <f>SUM(F138)</f>
        <v>22000</v>
      </c>
      <c r="G137" s="36">
        <f>SUM(G138)</f>
        <v>0</v>
      </c>
      <c r="H137" s="38">
        <f t="shared" si="43"/>
        <v>218150</v>
      </c>
    </row>
    <row r="138" spans="1:8" s="16" customFormat="1" ht="12" customHeight="1" x14ac:dyDescent="0.2">
      <c r="A138" s="48"/>
      <c r="B138" s="48"/>
      <c r="C138" s="26"/>
      <c r="D138" s="484" t="s">
        <v>94</v>
      </c>
      <c r="E138" s="478">
        <v>196150</v>
      </c>
      <c r="F138" s="480">
        <f>SUM(F139:F139)</f>
        <v>22000</v>
      </c>
      <c r="G138" s="480">
        <f>SUM(G139:G139)</f>
        <v>0</v>
      </c>
      <c r="H138" s="53">
        <f>SUM(E138+F138-G138)</f>
        <v>218150</v>
      </c>
    </row>
    <row r="139" spans="1:8" s="16" customFormat="1" ht="12" customHeight="1" x14ac:dyDescent="0.2">
      <c r="A139" s="48"/>
      <c r="B139" s="48"/>
      <c r="C139" s="55">
        <v>4260</v>
      </c>
      <c r="D139" s="40" t="s">
        <v>98</v>
      </c>
      <c r="E139" s="41">
        <v>60000</v>
      </c>
      <c r="F139" s="41">
        <v>22000</v>
      </c>
      <c r="G139" s="41"/>
      <c r="H139" s="68">
        <f t="shared" ref="H139:H140" si="44">SUM(E139+F139-G139)</f>
        <v>82000</v>
      </c>
    </row>
    <row r="140" spans="1:8" s="16" customFormat="1" ht="12" customHeight="1" x14ac:dyDescent="0.2">
      <c r="A140" s="48"/>
      <c r="B140" s="25">
        <v>60095</v>
      </c>
      <c r="C140" s="26"/>
      <c r="D140" s="50" t="s">
        <v>19</v>
      </c>
      <c r="E140" s="36">
        <v>5536122.0300000003</v>
      </c>
      <c r="F140" s="37">
        <f>SUM(F141)</f>
        <v>28000</v>
      </c>
      <c r="G140" s="37">
        <f>SUM(G141)</f>
        <v>30500</v>
      </c>
      <c r="H140" s="38">
        <f t="shared" si="44"/>
        <v>5533622.0300000003</v>
      </c>
    </row>
    <row r="141" spans="1:8" s="16" customFormat="1" ht="12" customHeight="1" x14ac:dyDescent="0.2">
      <c r="A141" s="48"/>
      <c r="B141" s="25"/>
      <c r="C141" s="94"/>
      <c r="D141" s="484" t="s">
        <v>94</v>
      </c>
      <c r="E141" s="53">
        <v>5002896</v>
      </c>
      <c r="F141" s="53">
        <f>SUM(F142:F145)</f>
        <v>28000</v>
      </c>
      <c r="G141" s="53">
        <f>SUM(G142:G145)</f>
        <v>30500</v>
      </c>
      <c r="H141" s="53">
        <f>SUM(E141+F141-G141)</f>
        <v>5000396</v>
      </c>
    </row>
    <row r="142" spans="1:8" s="16" customFormat="1" ht="12" customHeight="1" x14ac:dyDescent="0.2">
      <c r="A142" s="48"/>
      <c r="B142" s="25"/>
      <c r="C142" s="42" t="s">
        <v>102</v>
      </c>
      <c r="D142" s="43" t="s">
        <v>13</v>
      </c>
      <c r="E142" s="41">
        <v>80500</v>
      </c>
      <c r="F142" s="41">
        <v>18000</v>
      </c>
      <c r="G142" s="41"/>
      <c r="H142" s="68">
        <f t="shared" ref="H142:H147" si="45">SUM(E142+F142-G142)</f>
        <v>98500</v>
      </c>
    </row>
    <row r="143" spans="1:8" s="16" customFormat="1" ht="12" customHeight="1" x14ac:dyDescent="0.2">
      <c r="A143" s="48"/>
      <c r="B143" s="25"/>
      <c r="C143" s="55">
        <v>4300</v>
      </c>
      <c r="D143" s="40" t="s">
        <v>14</v>
      </c>
      <c r="E143" s="41">
        <v>174000</v>
      </c>
      <c r="F143" s="41">
        <v>10000</v>
      </c>
      <c r="G143" s="41"/>
      <c r="H143" s="68">
        <f t="shared" si="45"/>
        <v>184000</v>
      </c>
    </row>
    <row r="144" spans="1:8" s="16" customFormat="1" ht="23.25" customHeight="1" x14ac:dyDescent="0.2">
      <c r="A144" s="48"/>
      <c r="B144" s="25"/>
      <c r="C144" s="83">
        <v>4600</v>
      </c>
      <c r="D144" s="89" t="s">
        <v>103</v>
      </c>
      <c r="E144" s="41">
        <v>63000</v>
      </c>
      <c r="F144" s="41"/>
      <c r="G144" s="41">
        <v>28000</v>
      </c>
      <c r="H144" s="68">
        <f t="shared" si="45"/>
        <v>35000</v>
      </c>
    </row>
    <row r="145" spans="1:8" s="16" customFormat="1" ht="12" customHeight="1" x14ac:dyDescent="0.2">
      <c r="A145" s="48"/>
      <c r="B145" s="25"/>
      <c r="C145" s="96">
        <v>4610</v>
      </c>
      <c r="D145" s="98" t="s">
        <v>96</v>
      </c>
      <c r="E145" s="41">
        <v>7000</v>
      </c>
      <c r="F145" s="41"/>
      <c r="G145" s="41">
        <v>2500</v>
      </c>
      <c r="H145" s="68">
        <f t="shared" si="45"/>
        <v>4500</v>
      </c>
    </row>
    <row r="146" spans="1:8" s="16" customFormat="1" ht="12" customHeight="1" thickBot="1" x14ac:dyDescent="0.25">
      <c r="A146" s="32">
        <v>700</v>
      </c>
      <c r="B146" s="32"/>
      <c r="C146" s="31"/>
      <c r="D146" s="33" t="s">
        <v>81</v>
      </c>
      <c r="E146" s="30">
        <v>69905876.760000005</v>
      </c>
      <c r="F146" s="34">
        <f>SUM(F147,F152)</f>
        <v>210357</v>
      </c>
      <c r="G146" s="34">
        <f>SUM(G147,G152)</f>
        <v>210357</v>
      </c>
      <c r="H146" s="30">
        <f t="shared" si="45"/>
        <v>69905876.760000005</v>
      </c>
    </row>
    <row r="147" spans="1:8" s="16" customFormat="1" ht="12" customHeight="1" thickTop="1" x14ac:dyDescent="0.2">
      <c r="A147" s="48"/>
      <c r="B147" s="100">
        <v>70005</v>
      </c>
      <c r="C147" s="96"/>
      <c r="D147" s="97" t="s">
        <v>82</v>
      </c>
      <c r="E147" s="38">
        <v>3362310</v>
      </c>
      <c r="F147" s="37">
        <f>SUM(F148)</f>
        <v>10000</v>
      </c>
      <c r="G147" s="37">
        <f>SUM(G148)</f>
        <v>10000</v>
      </c>
      <c r="H147" s="38">
        <f t="shared" si="45"/>
        <v>3362310</v>
      </c>
    </row>
    <row r="148" spans="1:8" s="16" customFormat="1" ht="12" customHeight="1" x14ac:dyDescent="0.2">
      <c r="A148" s="48"/>
      <c r="B148" s="100"/>
      <c r="C148" s="96"/>
      <c r="D148" s="485" t="s">
        <v>104</v>
      </c>
      <c r="E148" s="478">
        <v>3355810</v>
      </c>
      <c r="F148" s="480">
        <f>SUM(F149:F151)</f>
        <v>10000</v>
      </c>
      <c r="G148" s="480">
        <f>SUM(G149:G151)</f>
        <v>10000</v>
      </c>
      <c r="H148" s="53">
        <f>SUM(E148+F148-G148)</f>
        <v>3355810</v>
      </c>
    </row>
    <row r="149" spans="1:8" s="16" customFormat="1" ht="12" customHeight="1" x14ac:dyDescent="0.2">
      <c r="A149" s="48"/>
      <c r="B149" s="55"/>
      <c r="C149" s="55">
        <v>4580</v>
      </c>
      <c r="D149" s="40" t="s">
        <v>105</v>
      </c>
      <c r="E149" s="41">
        <v>3000</v>
      </c>
      <c r="F149" s="41">
        <v>8000</v>
      </c>
      <c r="G149" s="41"/>
      <c r="H149" s="68">
        <f t="shared" ref="H149:H152" si="46">SUM(E149+F149-G149)</f>
        <v>11000</v>
      </c>
    </row>
    <row r="150" spans="1:8" s="16" customFormat="1" ht="12" customHeight="1" x14ac:dyDescent="0.2">
      <c r="A150" s="48"/>
      <c r="B150" s="55"/>
      <c r="C150" s="96">
        <v>4590</v>
      </c>
      <c r="D150" s="98" t="s">
        <v>106</v>
      </c>
      <c r="E150" s="41">
        <v>581230</v>
      </c>
      <c r="F150" s="41"/>
      <c r="G150" s="41">
        <v>10000</v>
      </c>
      <c r="H150" s="68">
        <f t="shared" si="46"/>
        <v>571230</v>
      </c>
    </row>
    <row r="151" spans="1:8" s="16" customFormat="1" ht="12" customHeight="1" x14ac:dyDescent="0.2">
      <c r="A151" s="48"/>
      <c r="B151" s="55"/>
      <c r="C151" s="96">
        <v>4610</v>
      </c>
      <c r="D151" s="98" t="s">
        <v>96</v>
      </c>
      <c r="E151" s="41">
        <v>28000</v>
      </c>
      <c r="F151" s="41">
        <v>2000</v>
      </c>
      <c r="G151" s="41"/>
      <c r="H151" s="68">
        <f t="shared" si="46"/>
        <v>30000</v>
      </c>
    </row>
    <row r="152" spans="1:8" s="16" customFormat="1" ht="12" customHeight="1" x14ac:dyDescent="0.2">
      <c r="A152" s="48"/>
      <c r="B152" s="35">
        <v>70007</v>
      </c>
      <c r="C152" s="58"/>
      <c r="D152" s="73" t="s">
        <v>107</v>
      </c>
      <c r="E152" s="38">
        <v>35021715.640000001</v>
      </c>
      <c r="F152" s="37">
        <f>SUM(F153)</f>
        <v>200357</v>
      </c>
      <c r="G152" s="37">
        <f>SUM(G153)</f>
        <v>200357</v>
      </c>
      <c r="H152" s="38">
        <f t="shared" si="46"/>
        <v>35021715.640000001</v>
      </c>
    </row>
    <row r="153" spans="1:8" s="16" customFormat="1" ht="12" customHeight="1" x14ac:dyDescent="0.2">
      <c r="A153" s="48"/>
      <c r="B153" s="55"/>
      <c r="C153" s="26"/>
      <c r="D153" s="486" t="s">
        <v>108</v>
      </c>
      <c r="E153" s="478">
        <v>34850315.640000001</v>
      </c>
      <c r="F153" s="480">
        <f>SUM(F154:F162)</f>
        <v>200357</v>
      </c>
      <c r="G153" s="480">
        <f>SUM(G154:G162)</f>
        <v>200357</v>
      </c>
      <c r="H153" s="53">
        <f>SUM(E153+F153-G153)</f>
        <v>34850315.640000001</v>
      </c>
    </row>
    <row r="154" spans="1:8" s="16" customFormat="1" ht="12" customHeight="1" x14ac:dyDescent="0.2">
      <c r="A154" s="48"/>
      <c r="B154" s="55"/>
      <c r="C154" s="42" t="s">
        <v>102</v>
      </c>
      <c r="D154" s="43" t="s">
        <v>13</v>
      </c>
      <c r="E154" s="41">
        <v>40000</v>
      </c>
      <c r="F154" s="41"/>
      <c r="G154" s="41">
        <v>450</v>
      </c>
      <c r="H154" s="68">
        <f t="shared" ref="H154:H163" si="47">SUM(E154+F154-G154)</f>
        <v>39550</v>
      </c>
    </row>
    <row r="155" spans="1:8" s="16" customFormat="1" ht="12" customHeight="1" x14ac:dyDescent="0.2">
      <c r="A155" s="48"/>
      <c r="B155" s="55"/>
      <c r="C155" s="55">
        <v>4260</v>
      </c>
      <c r="D155" s="40" t="s">
        <v>98</v>
      </c>
      <c r="E155" s="41">
        <v>12623850</v>
      </c>
      <c r="F155" s="41"/>
      <c r="G155" s="41">
        <v>95225</v>
      </c>
      <c r="H155" s="68">
        <f t="shared" si="47"/>
        <v>12528625</v>
      </c>
    </row>
    <row r="156" spans="1:8" s="16" customFormat="1" ht="12" customHeight="1" x14ac:dyDescent="0.2">
      <c r="A156" s="48"/>
      <c r="B156" s="55"/>
      <c r="C156" s="55">
        <v>4270</v>
      </c>
      <c r="D156" s="40" t="s">
        <v>95</v>
      </c>
      <c r="E156" s="41">
        <v>6098584.0700000003</v>
      </c>
      <c r="F156" s="41">
        <v>199907</v>
      </c>
      <c r="G156" s="41"/>
      <c r="H156" s="68">
        <f t="shared" si="47"/>
        <v>6298491.0700000003</v>
      </c>
    </row>
    <row r="157" spans="1:8" s="16" customFormat="1" ht="12" customHeight="1" x14ac:dyDescent="0.2">
      <c r="A157" s="48"/>
      <c r="B157" s="55"/>
      <c r="C157" s="55">
        <v>4300</v>
      </c>
      <c r="D157" s="40" t="s">
        <v>14</v>
      </c>
      <c r="E157" s="41">
        <v>4187430</v>
      </c>
      <c r="F157" s="41"/>
      <c r="G157" s="41">
        <v>79894.39</v>
      </c>
      <c r="H157" s="68">
        <f t="shared" si="47"/>
        <v>4107535.61</v>
      </c>
    </row>
    <row r="158" spans="1:8" s="16" customFormat="1" ht="12" customHeight="1" x14ac:dyDescent="0.2">
      <c r="A158" s="48"/>
      <c r="B158" s="55"/>
      <c r="C158" s="55">
        <v>4360</v>
      </c>
      <c r="D158" s="40" t="s">
        <v>109</v>
      </c>
      <c r="E158" s="41">
        <v>42284</v>
      </c>
      <c r="F158" s="41">
        <v>450</v>
      </c>
      <c r="G158" s="41"/>
      <c r="H158" s="68">
        <f t="shared" si="47"/>
        <v>42734</v>
      </c>
    </row>
    <row r="159" spans="1:8" s="16" customFormat="1" ht="23.25" customHeight="1" x14ac:dyDescent="0.2">
      <c r="A159" s="48"/>
      <c r="B159" s="55"/>
      <c r="C159" s="83">
        <v>4390</v>
      </c>
      <c r="D159" s="89" t="s">
        <v>93</v>
      </c>
      <c r="E159" s="41">
        <v>120000</v>
      </c>
      <c r="F159" s="41"/>
      <c r="G159" s="41">
        <v>4775</v>
      </c>
      <c r="H159" s="68">
        <f t="shared" si="47"/>
        <v>115225</v>
      </c>
    </row>
    <row r="160" spans="1:8" s="16" customFormat="1" ht="12" customHeight="1" x14ac:dyDescent="0.2">
      <c r="A160" s="48"/>
      <c r="B160" s="55"/>
      <c r="C160" s="55">
        <v>4430</v>
      </c>
      <c r="D160" s="40" t="s">
        <v>110</v>
      </c>
      <c r="E160" s="41">
        <v>2608500</v>
      </c>
      <c r="F160" s="41"/>
      <c r="G160" s="41">
        <v>16057</v>
      </c>
      <c r="H160" s="68">
        <f t="shared" si="47"/>
        <v>2592443</v>
      </c>
    </row>
    <row r="161" spans="1:8" s="16" customFormat="1" ht="22.5" customHeight="1" x14ac:dyDescent="0.2">
      <c r="A161" s="48"/>
      <c r="B161" s="55"/>
      <c r="C161" s="83">
        <v>4600</v>
      </c>
      <c r="D161" s="89" t="s">
        <v>103</v>
      </c>
      <c r="E161" s="41">
        <v>3850</v>
      </c>
      <c r="F161" s="41"/>
      <c r="G161" s="41">
        <v>3850</v>
      </c>
      <c r="H161" s="68">
        <f t="shared" si="47"/>
        <v>0</v>
      </c>
    </row>
    <row r="162" spans="1:8" s="16" customFormat="1" ht="12" customHeight="1" x14ac:dyDescent="0.2">
      <c r="A162" s="78"/>
      <c r="B162" s="101"/>
      <c r="C162" s="93">
        <v>4710</v>
      </c>
      <c r="D162" s="102" t="s">
        <v>111</v>
      </c>
      <c r="E162" s="36">
        <v>141</v>
      </c>
      <c r="F162" s="36"/>
      <c r="G162" s="36">
        <v>105.61</v>
      </c>
      <c r="H162" s="38">
        <f t="shared" si="47"/>
        <v>35.39</v>
      </c>
    </row>
    <row r="163" spans="1:8" s="16" customFormat="1" ht="12" customHeight="1" thickBot="1" x14ac:dyDescent="0.25">
      <c r="A163" s="32">
        <v>750</v>
      </c>
      <c r="B163" s="32"/>
      <c r="C163" s="31"/>
      <c r="D163" s="33" t="s">
        <v>64</v>
      </c>
      <c r="E163" s="30">
        <v>69858466.199999988</v>
      </c>
      <c r="F163" s="34">
        <f>SUM(F164,F179,F189)</f>
        <v>196600</v>
      </c>
      <c r="G163" s="34">
        <f>SUM(G164,G179,G189)</f>
        <v>181600</v>
      </c>
      <c r="H163" s="103">
        <f t="shared" si="47"/>
        <v>69873466.199999988</v>
      </c>
    </row>
    <row r="164" spans="1:8" s="16" customFormat="1" ht="12" customHeight="1" thickTop="1" x14ac:dyDescent="0.2">
      <c r="A164" s="32"/>
      <c r="B164" s="26" t="s">
        <v>112</v>
      </c>
      <c r="C164" s="55"/>
      <c r="D164" s="50" t="s">
        <v>113</v>
      </c>
      <c r="E164" s="38">
        <v>36636752.709999993</v>
      </c>
      <c r="F164" s="37">
        <f>SUM(F165,F176)</f>
        <v>114000</v>
      </c>
      <c r="G164" s="37">
        <f>SUM(G165,G176)</f>
        <v>125000</v>
      </c>
      <c r="H164" s="38">
        <f>SUM(E164+F164-G164)</f>
        <v>36625752.709999993</v>
      </c>
    </row>
    <row r="165" spans="1:8" s="16" customFormat="1" ht="12" customHeight="1" x14ac:dyDescent="0.2">
      <c r="A165" s="32"/>
      <c r="B165" s="26"/>
      <c r="C165" s="55"/>
      <c r="D165" s="484" t="s">
        <v>114</v>
      </c>
      <c r="E165" s="53">
        <v>31693913</v>
      </c>
      <c r="F165" s="478">
        <f>SUM(F166:F175)</f>
        <v>107000</v>
      </c>
      <c r="G165" s="478">
        <f>SUM(G166:G175)</f>
        <v>118000</v>
      </c>
      <c r="H165" s="478">
        <f t="shared" ref="H165:H178" si="48">SUM(E165+F165-G165)</f>
        <v>31682913</v>
      </c>
    </row>
    <row r="166" spans="1:8" s="16" customFormat="1" ht="12" customHeight="1" x14ac:dyDescent="0.2">
      <c r="A166" s="32"/>
      <c r="B166" s="26"/>
      <c r="C166" s="55">
        <v>3020</v>
      </c>
      <c r="D166" s="40" t="s">
        <v>115</v>
      </c>
      <c r="E166" s="41">
        <v>85129</v>
      </c>
      <c r="F166" s="41">
        <v>6000</v>
      </c>
      <c r="G166" s="41"/>
      <c r="H166" s="68">
        <f t="shared" si="48"/>
        <v>91129</v>
      </c>
    </row>
    <row r="167" spans="1:8" s="16" customFormat="1" ht="12" customHeight="1" x14ac:dyDescent="0.2">
      <c r="A167" s="32"/>
      <c r="B167" s="26"/>
      <c r="C167" s="55">
        <v>4040</v>
      </c>
      <c r="D167" s="40" t="s">
        <v>116</v>
      </c>
      <c r="E167" s="41">
        <v>1364832</v>
      </c>
      <c r="F167" s="41"/>
      <c r="G167" s="41">
        <v>10000</v>
      </c>
      <c r="H167" s="68">
        <f t="shared" si="48"/>
        <v>1354832</v>
      </c>
    </row>
    <row r="168" spans="1:8" s="16" customFormat="1" ht="12" customHeight="1" x14ac:dyDescent="0.2">
      <c r="A168" s="32"/>
      <c r="B168" s="26"/>
      <c r="C168" s="55">
        <v>4110</v>
      </c>
      <c r="D168" s="40" t="s">
        <v>117</v>
      </c>
      <c r="E168" s="41">
        <v>3510026</v>
      </c>
      <c r="F168" s="41"/>
      <c r="G168" s="41">
        <v>7500</v>
      </c>
      <c r="H168" s="68">
        <f t="shared" si="48"/>
        <v>3502526</v>
      </c>
    </row>
    <row r="169" spans="1:8" s="16" customFormat="1" ht="23.25" customHeight="1" x14ac:dyDescent="0.2">
      <c r="A169" s="32"/>
      <c r="B169" s="26"/>
      <c r="C169" s="83">
        <v>4140</v>
      </c>
      <c r="D169" s="104" t="s">
        <v>118</v>
      </c>
      <c r="E169" s="41">
        <v>187625</v>
      </c>
      <c r="F169" s="41"/>
      <c r="G169" s="41">
        <v>22500</v>
      </c>
      <c r="H169" s="68">
        <f t="shared" si="48"/>
        <v>165125</v>
      </c>
    </row>
    <row r="170" spans="1:8" s="16" customFormat="1" ht="12" customHeight="1" x14ac:dyDescent="0.2">
      <c r="A170" s="32"/>
      <c r="B170" s="26"/>
      <c r="C170" s="42" t="s">
        <v>102</v>
      </c>
      <c r="D170" s="43" t="s">
        <v>13</v>
      </c>
      <c r="E170" s="41">
        <v>1185100</v>
      </c>
      <c r="F170" s="51">
        <v>31000</v>
      </c>
      <c r="G170" s="51"/>
      <c r="H170" s="68">
        <f t="shared" si="48"/>
        <v>1216100</v>
      </c>
    </row>
    <row r="171" spans="1:8" s="16" customFormat="1" ht="12" customHeight="1" x14ac:dyDescent="0.2">
      <c r="A171" s="32"/>
      <c r="B171" s="26"/>
      <c r="C171" s="55">
        <v>4270</v>
      </c>
      <c r="D171" s="40" t="s">
        <v>95</v>
      </c>
      <c r="E171" s="41">
        <v>153000</v>
      </c>
      <c r="F171" s="51"/>
      <c r="G171" s="51">
        <v>58000</v>
      </c>
      <c r="H171" s="68">
        <f t="shared" si="48"/>
        <v>95000</v>
      </c>
    </row>
    <row r="172" spans="1:8" s="16" customFormat="1" ht="12" customHeight="1" x14ac:dyDescent="0.2">
      <c r="A172" s="32"/>
      <c r="B172" s="26"/>
      <c r="C172" s="55">
        <v>4300</v>
      </c>
      <c r="D172" s="40" t="s">
        <v>14</v>
      </c>
      <c r="E172" s="41">
        <v>1151442</v>
      </c>
      <c r="F172" s="51">
        <v>30000</v>
      </c>
      <c r="G172" s="51"/>
      <c r="H172" s="68">
        <f t="shared" si="48"/>
        <v>1181442</v>
      </c>
    </row>
    <row r="173" spans="1:8" s="16" customFormat="1" ht="12.75" customHeight="1" x14ac:dyDescent="0.2">
      <c r="A173" s="32"/>
      <c r="B173" s="26"/>
      <c r="C173" s="55">
        <v>4360</v>
      </c>
      <c r="D173" s="40" t="s">
        <v>109</v>
      </c>
      <c r="E173" s="41">
        <v>85000</v>
      </c>
      <c r="F173" s="51"/>
      <c r="G173" s="51">
        <v>10000</v>
      </c>
      <c r="H173" s="68">
        <f t="shared" si="48"/>
        <v>75000</v>
      </c>
    </row>
    <row r="174" spans="1:8" s="16" customFormat="1" ht="12" customHeight="1" x14ac:dyDescent="0.2">
      <c r="A174" s="32"/>
      <c r="B174" s="26"/>
      <c r="C174" s="96">
        <v>4610</v>
      </c>
      <c r="D174" s="98" t="s">
        <v>96</v>
      </c>
      <c r="E174" s="41">
        <v>57000</v>
      </c>
      <c r="F174" s="51">
        <v>40000</v>
      </c>
      <c r="G174" s="51"/>
      <c r="H174" s="68">
        <f t="shared" si="48"/>
        <v>97000</v>
      </c>
    </row>
    <row r="175" spans="1:8" s="16" customFormat="1" ht="21.75" customHeight="1" x14ac:dyDescent="0.2">
      <c r="A175" s="32"/>
      <c r="B175" s="26"/>
      <c r="C175" s="83">
        <v>4700</v>
      </c>
      <c r="D175" s="104" t="s">
        <v>119</v>
      </c>
      <c r="E175" s="41">
        <v>75000</v>
      </c>
      <c r="F175" s="41"/>
      <c r="G175" s="41">
        <v>10000</v>
      </c>
      <c r="H175" s="52">
        <f t="shared" si="48"/>
        <v>65000</v>
      </c>
    </row>
    <row r="176" spans="1:8" s="16" customFormat="1" ht="12" customHeight="1" x14ac:dyDescent="0.2">
      <c r="A176" s="32"/>
      <c r="B176" s="26"/>
      <c r="C176" s="55"/>
      <c r="D176" s="484" t="s">
        <v>120</v>
      </c>
      <c r="E176" s="53">
        <v>3876650.19</v>
      </c>
      <c r="F176" s="478">
        <f>SUM(F177:F178)</f>
        <v>7000</v>
      </c>
      <c r="G176" s="478">
        <f>SUM(G177:G178)</f>
        <v>7000</v>
      </c>
      <c r="H176" s="478">
        <f t="shared" si="48"/>
        <v>3876650.19</v>
      </c>
    </row>
    <row r="177" spans="1:8" s="16" customFormat="1" ht="12" customHeight="1" x14ac:dyDescent="0.2">
      <c r="A177" s="32"/>
      <c r="B177" s="26"/>
      <c r="C177" s="42" t="s">
        <v>102</v>
      </c>
      <c r="D177" s="43" t="s">
        <v>13</v>
      </c>
      <c r="E177" s="41">
        <v>630046</v>
      </c>
      <c r="F177" s="51"/>
      <c r="G177" s="51">
        <v>7000</v>
      </c>
      <c r="H177" s="68">
        <f t="shared" si="48"/>
        <v>623046</v>
      </c>
    </row>
    <row r="178" spans="1:8" s="16" customFormat="1" ht="12" customHeight="1" x14ac:dyDescent="0.2">
      <c r="A178" s="32"/>
      <c r="B178" s="26"/>
      <c r="C178" s="55">
        <v>4270</v>
      </c>
      <c r="D178" s="40" t="s">
        <v>95</v>
      </c>
      <c r="E178" s="41">
        <v>35000</v>
      </c>
      <c r="F178" s="51">
        <v>7000</v>
      </c>
      <c r="G178" s="51"/>
      <c r="H178" s="68">
        <f t="shared" si="48"/>
        <v>42000</v>
      </c>
    </row>
    <row r="179" spans="1:8" s="16" customFormat="1" ht="12" customHeight="1" x14ac:dyDescent="0.2">
      <c r="A179" s="32"/>
      <c r="B179" s="26" t="s">
        <v>121</v>
      </c>
      <c r="C179" s="55"/>
      <c r="D179" s="50" t="s">
        <v>122</v>
      </c>
      <c r="E179" s="38">
        <v>7459347.5199999996</v>
      </c>
      <c r="F179" s="37">
        <f>SUM(F180)</f>
        <v>42800</v>
      </c>
      <c r="G179" s="37">
        <f>SUM(G180)</f>
        <v>42800</v>
      </c>
      <c r="H179" s="38">
        <f>SUM(E179+F179-G179)</f>
        <v>7459347.5199999996</v>
      </c>
    </row>
    <row r="180" spans="1:8" s="16" customFormat="1" ht="12" customHeight="1" x14ac:dyDescent="0.2">
      <c r="A180" s="32"/>
      <c r="B180" s="26"/>
      <c r="C180" s="26"/>
      <c r="D180" s="484" t="s">
        <v>123</v>
      </c>
      <c r="E180" s="478">
        <v>7434347.5199999996</v>
      </c>
      <c r="F180" s="480">
        <f>SUM(F181:F188)</f>
        <v>42800</v>
      </c>
      <c r="G180" s="480">
        <f>SUM(G181:G188)</f>
        <v>42800</v>
      </c>
      <c r="H180" s="53">
        <f>SUM(E180+F180-G180)</f>
        <v>7434347.5199999996</v>
      </c>
    </row>
    <row r="181" spans="1:8" s="16" customFormat="1" ht="12" customHeight="1" x14ac:dyDescent="0.2">
      <c r="A181" s="32"/>
      <c r="B181" s="26"/>
      <c r="C181" s="55">
        <v>3020</v>
      </c>
      <c r="D181" s="40" t="s">
        <v>115</v>
      </c>
      <c r="E181" s="41">
        <v>8200</v>
      </c>
      <c r="F181" s="51"/>
      <c r="G181" s="51">
        <v>4000</v>
      </c>
      <c r="H181" s="41">
        <f t="shared" ref="H181:H204" si="49">SUM(E181+F181-G181)</f>
        <v>4200</v>
      </c>
    </row>
    <row r="182" spans="1:8" s="16" customFormat="1" ht="12" customHeight="1" x14ac:dyDescent="0.2">
      <c r="A182" s="32"/>
      <c r="B182" s="26"/>
      <c r="C182" s="55">
        <v>4170</v>
      </c>
      <c r="D182" s="40" t="s">
        <v>124</v>
      </c>
      <c r="E182" s="41">
        <v>11800</v>
      </c>
      <c r="F182" s="51"/>
      <c r="G182" s="51">
        <v>11800</v>
      </c>
      <c r="H182" s="41">
        <f t="shared" si="49"/>
        <v>0</v>
      </c>
    </row>
    <row r="183" spans="1:8" s="16" customFormat="1" ht="12" customHeight="1" x14ac:dyDescent="0.2">
      <c r="A183" s="32"/>
      <c r="B183" s="26"/>
      <c r="C183" s="61" t="s">
        <v>102</v>
      </c>
      <c r="D183" s="105" t="s">
        <v>13</v>
      </c>
      <c r="E183" s="41">
        <v>83030</v>
      </c>
      <c r="F183" s="51">
        <v>42800</v>
      </c>
      <c r="G183" s="51"/>
      <c r="H183" s="41">
        <f t="shared" si="49"/>
        <v>125830</v>
      </c>
    </row>
    <row r="184" spans="1:8" s="16" customFormat="1" ht="12" customHeight="1" x14ac:dyDescent="0.2">
      <c r="A184" s="32"/>
      <c r="B184" s="26"/>
      <c r="C184" s="55">
        <v>4270</v>
      </c>
      <c r="D184" s="40" t="s">
        <v>95</v>
      </c>
      <c r="E184" s="41">
        <v>10200</v>
      </c>
      <c r="F184" s="51"/>
      <c r="G184" s="51">
        <v>5000</v>
      </c>
      <c r="H184" s="41">
        <f t="shared" si="49"/>
        <v>5200</v>
      </c>
    </row>
    <row r="185" spans="1:8" s="16" customFormat="1" ht="12" customHeight="1" x14ac:dyDescent="0.2">
      <c r="A185" s="32"/>
      <c r="B185" s="26"/>
      <c r="C185" s="55">
        <v>4280</v>
      </c>
      <c r="D185" s="40" t="s">
        <v>125</v>
      </c>
      <c r="E185" s="41">
        <v>4504</v>
      </c>
      <c r="F185" s="51"/>
      <c r="G185" s="51">
        <v>1000</v>
      </c>
      <c r="H185" s="41">
        <f t="shared" si="49"/>
        <v>3504</v>
      </c>
    </row>
    <row r="186" spans="1:8" s="16" customFormat="1" ht="12" customHeight="1" x14ac:dyDescent="0.2">
      <c r="A186" s="32"/>
      <c r="B186" s="26"/>
      <c r="C186" s="55">
        <v>4300</v>
      </c>
      <c r="D186" s="40" t="s">
        <v>14</v>
      </c>
      <c r="E186" s="41">
        <v>253220.39</v>
      </c>
      <c r="F186" s="51"/>
      <c r="G186" s="51">
        <v>18000</v>
      </c>
      <c r="H186" s="41">
        <f t="shared" si="49"/>
        <v>235220.39</v>
      </c>
    </row>
    <row r="187" spans="1:8" s="16" customFormat="1" ht="12" customHeight="1" x14ac:dyDescent="0.2">
      <c r="A187" s="32"/>
      <c r="B187" s="26"/>
      <c r="C187" s="55">
        <v>4360</v>
      </c>
      <c r="D187" s="40" t="s">
        <v>109</v>
      </c>
      <c r="E187" s="41">
        <v>8780</v>
      </c>
      <c r="F187" s="51"/>
      <c r="G187" s="51">
        <v>1000</v>
      </c>
      <c r="H187" s="41">
        <f t="shared" si="49"/>
        <v>7780</v>
      </c>
    </row>
    <row r="188" spans="1:8" s="16" customFormat="1" ht="12" customHeight="1" x14ac:dyDescent="0.2">
      <c r="A188" s="32"/>
      <c r="B188" s="26"/>
      <c r="C188" s="83">
        <v>4710</v>
      </c>
      <c r="D188" s="105" t="s">
        <v>111</v>
      </c>
      <c r="E188" s="41">
        <v>10000</v>
      </c>
      <c r="F188" s="51"/>
      <c r="G188" s="51">
        <v>2000</v>
      </c>
      <c r="H188" s="41">
        <f t="shared" si="49"/>
        <v>8000</v>
      </c>
    </row>
    <row r="189" spans="1:8" s="16" customFormat="1" ht="12" customHeight="1" x14ac:dyDescent="0.2">
      <c r="A189" s="32"/>
      <c r="B189" s="35">
        <v>75095</v>
      </c>
      <c r="C189" s="35"/>
      <c r="D189" s="65" t="s">
        <v>19</v>
      </c>
      <c r="E189" s="38">
        <v>16322590.419999998</v>
      </c>
      <c r="F189" s="37">
        <f>SUM(F190,F193)</f>
        <v>39800</v>
      </c>
      <c r="G189" s="37">
        <f>SUM(G190,G193)</f>
        <v>13800</v>
      </c>
      <c r="H189" s="38">
        <f t="shared" si="49"/>
        <v>16348590.419999998</v>
      </c>
    </row>
    <row r="190" spans="1:8" s="16" customFormat="1" ht="12" customHeight="1" x14ac:dyDescent="0.2">
      <c r="A190" s="32"/>
      <c r="B190" s="35"/>
      <c r="C190" s="55"/>
      <c r="D190" s="484" t="s">
        <v>114</v>
      </c>
      <c r="E190" s="53">
        <v>64500</v>
      </c>
      <c r="F190" s="478">
        <f>SUM(F191:F192)</f>
        <v>11000</v>
      </c>
      <c r="G190" s="478">
        <f>SUM(G191:G192)</f>
        <v>0</v>
      </c>
      <c r="H190" s="478">
        <f t="shared" si="49"/>
        <v>75500</v>
      </c>
    </row>
    <row r="191" spans="1:8" s="16" customFormat="1" ht="12" customHeight="1" x14ac:dyDescent="0.2">
      <c r="A191" s="32"/>
      <c r="B191" s="35"/>
      <c r="C191" s="61" t="s">
        <v>102</v>
      </c>
      <c r="D191" s="105" t="s">
        <v>13</v>
      </c>
      <c r="E191" s="41">
        <v>13000</v>
      </c>
      <c r="F191" s="41">
        <v>2000</v>
      </c>
      <c r="G191" s="41"/>
      <c r="H191" s="68">
        <f t="shared" si="49"/>
        <v>15000</v>
      </c>
    </row>
    <row r="192" spans="1:8" s="16" customFormat="1" ht="12" customHeight="1" x14ac:dyDescent="0.2">
      <c r="A192" s="32"/>
      <c r="B192" s="35"/>
      <c r="C192" s="55">
        <v>4300</v>
      </c>
      <c r="D192" s="40" t="s">
        <v>14</v>
      </c>
      <c r="E192" s="41">
        <v>51500</v>
      </c>
      <c r="F192" s="41">
        <v>9000</v>
      </c>
      <c r="G192" s="41"/>
      <c r="H192" s="68">
        <f t="shared" si="49"/>
        <v>60500</v>
      </c>
    </row>
    <row r="193" spans="1:8" s="16" customFormat="1" ht="12" customHeight="1" x14ac:dyDescent="0.2">
      <c r="A193" s="32"/>
      <c r="B193" s="35"/>
      <c r="C193" s="55"/>
      <c r="D193" s="487" t="s">
        <v>126</v>
      </c>
      <c r="E193" s="478">
        <v>281703.81</v>
      </c>
      <c r="F193" s="146">
        <f>SUM(F194:F200)</f>
        <v>28800</v>
      </c>
      <c r="G193" s="146">
        <f>SUM(G194:G200)</f>
        <v>13800</v>
      </c>
      <c r="H193" s="53">
        <f t="shared" si="49"/>
        <v>296703.81</v>
      </c>
    </row>
    <row r="194" spans="1:8" s="16" customFormat="1" ht="12" customHeight="1" x14ac:dyDescent="0.2">
      <c r="A194" s="32"/>
      <c r="B194" s="35"/>
      <c r="C194" s="55">
        <v>4110</v>
      </c>
      <c r="D194" s="40" t="s">
        <v>117</v>
      </c>
      <c r="E194" s="51">
        <v>3700</v>
      </c>
      <c r="F194" s="41"/>
      <c r="G194" s="41">
        <v>100</v>
      </c>
      <c r="H194" s="68">
        <f t="shared" si="49"/>
        <v>3600</v>
      </c>
    </row>
    <row r="195" spans="1:8" s="16" customFormat="1" ht="12" customHeight="1" x14ac:dyDescent="0.2">
      <c r="A195" s="32"/>
      <c r="B195" s="35"/>
      <c r="C195" s="55">
        <v>4170</v>
      </c>
      <c r="D195" s="40" t="s">
        <v>124</v>
      </c>
      <c r="E195" s="51">
        <v>21750</v>
      </c>
      <c r="F195" s="41"/>
      <c r="G195" s="41">
        <v>800</v>
      </c>
      <c r="H195" s="68">
        <f t="shared" si="49"/>
        <v>20950</v>
      </c>
    </row>
    <row r="196" spans="1:8" s="16" customFormat="1" ht="12" customHeight="1" x14ac:dyDescent="0.2">
      <c r="A196" s="32"/>
      <c r="B196" s="35"/>
      <c r="C196" s="42" t="s">
        <v>127</v>
      </c>
      <c r="D196" s="43" t="s">
        <v>128</v>
      </c>
      <c r="E196" s="51">
        <v>12000</v>
      </c>
      <c r="F196" s="41"/>
      <c r="G196" s="41">
        <v>3000</v>
      </c>
      <c r="H196" s="68">
        <f t="shared" si="49"/>
        <v>9000</v>
      </c>
    </row>
    <row r="197" spans="1:8" s="16" customFormat="1" ht="12" customHeight="1" x14ac:dyDescent="0.2">
      <c r="A197" s="32"/>
      <c r="B197" s="35"/>
      <c r="C197" s="61" t="s">
        <v>102</v>
      </c>
      <c r="D197" s="105" t="s">
        <v>13</v>
      </c>
      <c r="E197" s="51">
        <v>15000</v>
      </c>
      <c r="F197" s="41"/>
      <c r="G197" s="41">
        <v>7400</v>
      </c>
      <c r="H197" s="68">
        <f t="shared" si="49"/>
        <v>7600</v>
      </c>
    </row>
    <row r="198" spans="1:8" s="16" customFormat="1" ht="12" customHeight="1" x14ac:dyDescent="0.2">
      <c r="A198" s="32"/>
      <c r="B198" s="35"/>
      <c r="C198" s="55">
        <v>4300</v>
      </c>
      <c r="D198" s="40" t="s">
        <v>14</v>
      </c>
      <c r="E198" s="51">
        <v>15000</v>
      </c>
      <c r="F198" s="41"/>
      <c r="G198" s="41">
        <v>2500</v>
      </c>
      <c r="H198" s="68">
        <f t="shared" si="49"/>
        <v>12500</v>
      </c>
    </row>
    <row r="199" spans="1:8" s="16" customFormat="1" ht="23.25" customHeight="1" x14ac:dyDescent="0.2">
      <c r="A199" s="32"/>
      <c r="B199" s="35"/>
      <c r="C199" s="83">
        <v>4390</v>
      </c>
      <c r="D199" s="89" t="s">
        <v>93</v>
      </c>
      <c r="E199" s="51">
        <v>39000</v>
      </c>
      <c r="F199" s="41">
        <v>28400</v>
      </c>
      <c r="G199" s="41"/>
      <c r="H199" s="68">
        <f t="shared" si="49"/>
        <v>67400</v>
      </c>
    </row>
    <row r="200" spans="1:8" s="16" customFormat="1" ht="12" customHeight="1" x14ac:dyDescent="0.2">
      <c r="A200" s="32"/>
      <c r="B200" s="35"/>
      <c r="C200" s="55">
        <v>4580</v>
      </c>
      <c r="D200" s="40" t="s">
        <v>105</v>
      </c>
      <c r="E200" s="51">
        <v>0</v>
      </c>
      <c r="F200" s="41">
        <v>400</v>
      </c>
      <c r="G200" s="41"/>
      <c r="H200" s="68">
        <f t="shared" si="49"/>
        <v>400</v>
      </c>
    </row>
    <row r="201" spans="1:8" s="16" customFormat="1" ht="12" customHeight="1" thickBot="1" x14ac:dyDescent="0.25">
      <c r="A201" s="48">
        <v>752</v>
      </c>
      <c r="B201" s="48"/>
      <c r="C201" s="31"/>
      <c r="D201" s="33" t="s">
        <v>22</v>
      </c>
      <c r="E201" s="30">
        <v>45000</v>
      </c>
      <c r="F201" s="30">
        <f>SUM(F202)</f>
        <v>0</v>
      </c>
      <c r="G201" s="30">
        <f>SUM(G202)</f>
        <v>5900</v>
      </c>
      <c r="H201" s="30">
        <f t="shared" si="49"/>
        <v>39100</v>
      </c>
    </row>
    <row r="202" spans="1:8" s="16" customFormat="1" ht="12" customHeight="1" thickTop="1" x14ac:dyDescent="0.2">
      <c r="A202" s="48"/>
      <c r="B202" s="96">
        <v>75224</v>
      </c>
      <c r="C202" s="96"/>
      <c r="D202" s="97" t="s">
        <v>23</v>
      </c>
      <c r="E202" s="36">
        <v>45000</v>
      </c>
      <c r="F202" s="37">
        <f>SUM(F203)</f>
        <v>0</v>
      </c>
      <c r="G202" s="37">
        <f>SUM(G203)</f>
        <v>5900</v>
      </c>
      <c r="H202" s="38">
        <f t="shared" si="49"/>
        <v>39100</v>
      </c>
    </row>
    <row r="203" spans="1:8" s="16" customFormat="1" ht="12" customHeight="1" x14ac:dyDescent="0.2">
      <c r="A203" s="48"/>
      <c r="B203" s="106"/>
      <c r="C203" s="96"/>
      <c r="D203" s="488" t="s">
        <v>129</v>
      </c>
      <c r="E203" s="60">
        <v>45000</v>
      </c>
      <c r="F203" s="146">
        <f>SUM(F204:F204)</f>
        <v>0</v>
      </c>
      <c r="G203" s="146">
        <f>SUM(G204:G204)</f>
        <v>5900</v>
      </c>
      <c r="H203" s="478">
        <f t="shared" si="49"/>
        <v>39100</v>
      </c>
    </row>
    <row r="204" spans="1:8" s="16" customFormat="1" ht="12" customHeight="1" x14ac:dyDescent="0.2">
      <c r="A204" s="48"/>
      <c r="B204" s="55"/>
      <c r="C204" s="55">
        <v>4170</v>
      </c>
      <c r="D204" s="40" t="s">
        <v>124</v>
      </c>
      <c r="E204" s="51">
        <v>38200</v>
      </c>
      <c r="F204" s="41"/>
      <c r="G204" s="41">
        <v>5900</v>
      </c>
      <c r="H204" s="52">
        <f t="shared" si="49"/>
        <v>32300</v>
      </c>
    </row>
    <row r="205" spans="1:8" s="16" customFormat="1" ht="12" customHeight="1" x14ac:dyDescent="0.2">
      <c r="A205" s="107">
        <v>754</v>
      </c>
      <c r="B205" s="108"/>
      <c r="C205" s="109"/>
      <c r="D205" s="110" t="s">
        <v>27</v>
      </c>
      <c r="E205" s="51"/>
      <c r="F205" s="41"/>
      <c r="G205" s="41"/>
      <c r="H205" s="68"/>
    </row>
    <row r="206" spans="1:8" s="16" customFormat="1" ht="12" customHeight="1" thickBot="1" x14ac:dyDescent="0.25">
      <c r="A206" s="107"/>
      <c r="B206" s="108"/>
      <c r="C206" s="109"/>
      <c r="D206" s="110" t="s">
        <v>28</v>
      </c>
      <c r="E206" s="30">
        <v>6462028.0499999998</v>
      </c>
      <c r="F206" s="34">
        <f>SUM(F207,F212)</f>
        <v>65903</v>
      </c>
      <c r="G206" s="34">
        <f>SUM(G207,G212)</f>
        <v>5903</v>
      </c>
      <c r="H206" s="30">
        <f>SUM(E206+F206-G206)</f>
        <v>6522028.0499999998</v>
      </c>
    </row>
    <row r="207" spans="1:8" s="16" customFormat="1" ht="12" customHeight="1" thickTop="1" x14ac:dyDescent="0.2">
      <c r="A207" s="107"/>
      <c r="B207" s="64">
        <v>75411</v>
      </c>
      <c r="C207" s="35"/>
      <c r="D207" s="65" t="s">
        <v>29</v>
      </c>
      <c r="E207" s="38">
        <v>310000</v>
      </c>
      <c r="F207" s="37">
        <f>SUM(F208)</f>
        <v>60903</v>
      </c>
      <c r="G207" s="37">
        <f>SUM(G208)</f>
        <v>903</v>
      </c>
      <c r="H207" s="38">
        <f>SUM(E207+F207-G207)</f>
        <v>370000</v>
      </c>
    </row>
    <row r="208" spans="1:8" s="16" customFormat="1" ht="12" customHeight="1" x14ac:dyDescent="0.2">
      <c r="A208" s="107"/>
      <c r="B208" s="58"/>
      <c r="C208" s="58"/>
      <c r="D208" s="476" t="s">
        <v>130</v>
      </c>
      <c r="E208" s="478">
        <v>310000</v>
      </c>
      <c r="F208" s="480">
        <f>SUM(F209:F211)</f>
        <v>60903</v>
      </c>
      <c r="G208" s="480">
        <f>SUM(G209:G211)</f>
        <v>903</v>
      </c>
      <c r="H208" s="53">
        <f>SUM(E208+F208-G208)</f>
        <v>370000</v>
      </c>
    </row>
    <row r="209" spans="1:8" s="16" customFormat="1" ht="12" customHeight="1" x14ac:dyDescent="0.2">
      <c r="A209" s="107"/>
      <c r="B209" s="58"/>
      <c r="C209" s="42" t="s">
        <v>102</v>
      </c>
      <c r="D209" s="43" t="s">
        <v>13</v>
      </c>
      <c r="E209" s="41">
        <v>84813</v>
      </c>
      <c r="F209" s="51">
        <f>60000</f>
        <v>60000</v>
      </c>
      <c r="G209" s="51">
        <v>609.05999999999995</v>
      </c>
      <c r="H209" s="68">
        <f t="shared" ref="H209:H211" si="50">SUM(E209+F209-G209)</f>
        <v>144203.94</v>
      </c>
    </row>
    <row r="210" spans="1:8" s="16" customFormat="1" ht="12" customHeight="1" x14ac:dyDescent="0.2">
      <c r="A210" s="107"/>
      <c r="B210" s="58"/>
      <c r="C210" s="55">
        <v>4270</v>
      </c>
      <c r="D210" s="40" t="s">
        <v>95</v>
      </c>
      <c r="E210" s="41">
        <v>44332</v>
      </c>
      <c r="F210" s="51">
        <v>903</v>
      </c>
      <c r="G210" s="51"/>
      <c r="H210" s="68">
        <f t="shared" si="50"/>
        <v>45235</v>
      </c>
    </row>
    <row r="211" spans="1:8" s="16" customFormat="1" ht="12" customHeight="1" x14ac:dyDescent="0.2">
      <c r="A211" s="107"/>
      <c r="B211" s="58"/>
      <c r="C211" s="55">
        <v>4300</v>
      </c>
      <c r="D211" s="40" t="s">
        <v>14</v>
      </c>
      <c r="E211" s="41">
        <v>9855</v>
      </c>
      <c r="F211" s="51"/>
      <c r="G211" s="51">
        <v>293.94</v>
      </c>
      <c r="H211" s="68">
        <f t="shared" si="50"/>
        <v>9561.06</v>
      </c>
    </row>
    <row r="212" spans="1:8" s="16" customFormat="1" ht="12" customHeight="1" x14ac:dyDescent="0.2">
      <c r="A212" s="107"/>
      <c r="B212" s="96">
        <v>75421</v>
      </c>
      <c r="C212" s="111"/>
      <c r="D212" s="112" t="s">
        <v>131</v>
      </c>
      <c r="E212" s="38">
        <v>11090.05</v>
      </c>
      <c r="F212" s="37">
        <f>SUM(F213)</f>
        <v>5000</v>
      </c>
      <c r="G212" s="37">
        <f>SUM(G213)</f>
        <v>5000</v>
      </c>
      <c r="H212" s="38">
        <f>SUM(E212+F212-G212)</f>
        <v>11090.05</v>
      </c>
    </row>
    <row r="213" spans="1:8" s="16" customFormat="1" ht="12" customHeight="1" x14ac:dyDescent="0.2">
      <c r="A213" s="107"/>
      <c r="B213" s="64"/>
      <c r="C213" s="35"/>
      <c r="D213" s="488" t="s">
        <v>129</v>
      </c>
      <c r="E213" s="478">
        <v>11090.05</v>
      </c>
      <c r="F213" s="480">
        <f>SUM(F214:F215)</f>
        <v>5000</v>
      </c>
      <c r="G213" s="480">
        <f>SUM(G214:G215)</f>
        <v>5000</v>
      </c>
      <c r="H213" s="53">
        <f>SUM(E213+F213-G213)</f>
        <v>11090.05</v>
      </c>
    </row>
    <row r="214" spans="1:8" s="16" customFormat="1" ht="12" customHeight="1" x14ac:dyDescent="0.2">
      <c r="A214" s="107"/>
      <c r="B214" s="26"/>
      <c r="C214" s="42" t="s">
        <v>102</v>
      </c>
      <c r="D214" s="43" t="s">
        <v>13</v>
      </c>
      <c r="E214" s="113">
        <v>5000</v>
      </c>
      <c r="F214" s="113">
        <v>5000</v>
      </c>
      <c r="G214" s="113"/>
      <c r="H214" s="68">
        <f t="shared" ref="H214:H215" si="51">SUM(E214+F214-G214)</f>
        <v>10000</v>
      </c>
    </row>
    <row r="215" spans="1:8" s="16" customFormat="1" ht="12" customHeight="1" x14ac:dyDescent="0.2">
      <c r="A215" s="107"/>
      <c r="B215" s="26"/>
      <c r="C215" s="55">
        <v>4300</v>
      </c>
      <c r="D215" s="40" t="s">
        <v>14</v>
      </c>
      <c r="E215" s="113">
        <v>5790</v>
      </c>
      <c r="F215" s="113"/>
      <c r="G215" s="113">
        <v>5000</v>
      </c>
      <c r="H215" s="68">
        <f t="shared" si="51"/>
        <v>790</v>
      </c>
    </row>
    <row r="216" spans="1:8" s="16" customFormat="1" ht="12" customHeight="1" thickBot="1" x14ac:dyDescent="0.25">
      <c r="A216" s="48">
        <v>758</v>
      </c>
      <c r="B216" s="48"/>
      <c r="C216" s="31"/>
      <c r="D216" s="33" t="s">
        <v>31</v>
      </c>
      <c r="E216" s="30">
        <v>15924920</v>
      </c>
      <c r="F216" s="34">
        <f>SUM(F217)</f>
        <v>0</v>
      </c>
      <c r="G216" s="34">
        <f>SUM(G217)</f>
        <v>1834311</v>
      </c>
      <c r="H216" s="30">
        <f>SUM(E216+F216-G216)</f>
        <v>14090609</v>
      </c>
    </row>
    <row r="217" spans="1:8" s="16" customFormat="1" ht="12" customHeight="1" thickTop="1" x14ac:dyDescent="0.2">
      <c r="A217" s="47"/>
      <c r="B217" s="25">
        <v>75818</v>
      </c>
      <c r="C217" s="26"/>
      <c r="D217" s="86" t="s">
        <v>132</v>
      </c>
      <c r="E217" s="38">
        <v>15924920</v>
      </c>
      <c r="F217" s="37">
        <f>SUM(F218)</f>
        <v>0</v>
      </c>
      <c r="G217" s="37">
        <f>SUM(G218)</f>
        <v>1834311</v>
      </c>
      <c r="H217" s="38">
        <f>SUM(E217+F217-G217)</f>
        <v>14090609</v>
      </c>
    </row>
    <row r="218" spans="1:8" s="16" customFormat="1" ht="12" customHeight="1" x14ac:dyDescent="0.2">
      <c r="A218" s="47"/>
      <c r="B218" s="25"/>
      <c r="C218" s="26" t="s">
        <v>133</v>
      </c>
      <c r="D218" s="75" t="s">
        <v>134</v>
      </c>
      <c r="E218" s="114">
        <v>15804920</v>
      </c>
      <c r="F218" s="114">
        <f>SUM(F219:F219)</f>
        <v>0</v>
      </c>
      <c r="G218" s="114">
        <f>SUM(G219:G219)</f>
        <v>1834311</v>
      </c>
      <c r="H218" s="114">
        <f>SUM(E218+F218-G218)</f>
        <v>13970609</v>
      </c>
    </row>
    <row r="219" spans="1:8" s="16" customFormat="1" ht="12" customHeight="1" x14ac:dyDescent="0.2">
      <c r="A219" s="92"/>
      <c r="B219" s="79"/>
      <c r="C219" s="115"/>
      <c r="D219" s="65" t="s">
        <v>135</v>
      </c>
      <c r="E219" s="36">
        <v>15454140</v>
      </c>
      <c r="F219" s="36"/>
      <c r="G219" s="36">
        <f>15000+1150000+145000+4200+237111+153500+129500</f>
        <v>1834311</v>
      </c>
      <c r="H219" s="36">
        <f t="shared" ref="H219" si="52">SUM(E219+F219-G219)</f>
        <v>13619829</v>
      </c>
    </row>
    <row r="220" spans="1:8" s="16" customFormat="1" ht="12" customHeight="1" thickBot="1" x14ac:dyDescent="0.25">
      <c r="A220" s="48">
        <v>801</v>
      </c>
      <c r="B220" s="48"/>
      <c r="C220" s="31"/>
      <c r="D220" s="33" t="s">
        <v>37</v>
      </c>
      <c r="E220" s="116">
        <v>365438826.94999999</v>
      </c>
      <c r="F220" s="34">
        <f>SUM(F221,F251,F260,F265,F292,F301,F304,F313,F326,F359,F365,F385,F414,F427,F435,F441,F454,F463,F473,F480,F492,F501,F507)</f>
        <v>4090404.5300000003</v>
      </c>
      <c r="G220" s="34">
        <f>SUM(G221,G251,G260,G265,G292,G301,G304,G313,G326,G359,G365,G385,G414,G427,G435,G441,G454,G463,G473,G480,G492,G501,G507)</f>
        <v>2326159.1399999997</v>
      </c>
      <c r="H220" s="30">
        <f>SUM(E220+F220-G220)</f>
        <v>367203072.33999997</v>
      </c>
    </row>
    <row r="221" spans="1:8" s="16" customFormat="1" ht="12" customHeight="1" thickTop="1" x14ac:dyDescent="0.2">
      <c r="A221" s="48"/>
      <c r="B221" s="25">
        <v>80101</v>
      </c>
      <c r="C221" s="26"/>
      <c r="D221" s="50" t="s">
        <v>136</v>
      </c>
      <c r="E221" s="38">
        <v>95899281.280000016</v>
      </c>
      <c r="F221" s="37">
        <f>SUM(F222,F224,F243,F249)</f>
        <v>452839.7</v>
      </c>
      <c r="G221" s="37">
        <f>SUM(G222,G224,G243,G249)</f>
        <v>611291.69999999995</v>
      </c>
      <c r="H221" s="38">
        <f>SUM(E221+F221-G221)</f>
        <v>95740829.280000016</v>
      </c>
    </row>
    <row r="222" spans="1:8" s="16" customFormat="1" ht="12" customHeight="1" x14ac:dyDescent="0.2">
      <c r="A222" s="48"/>
      <c r="B222" s="25"/>
      <c r="C222" s="26"/>
      <c r="D222" s="477" t="s">
        <v>137</v>
      </c>
      <c r="E222" s="478">
        <v>9817418.25</v>
      </c>
      <c r="F222" s="478">
        <f>SUM(F223:F223)</f>
        <v>0</v>
      </c>
      <c r="G222" s="478">
        <f>SUM(G223:G223)</f>
        <v>50000</v>
      </c>
      <c r="H222" s="478">
        <f t="shared" ref="H222:H223" si="53">SUM(E222+F222-G222)</f>
        <v>9767418.25</v>
      </c>
    </row>
    <row r="223" spans="1:8" s="16" customFormat="1" ht="33" customHeight="1" x14ac:dyDescent="0.2">
      <c r="A223" s="48"/>
      <c r="B223" s="25"/>
      <c r="C223" s="83">
        <v>2590</v>
      </c>
      <c r="D223" s="117" t="s">
        <v>138</v>
      </c>
      <c r="E223" s="52">
        <v>6624656.3499999996</v>
      </c>
      <c r="F223" s="52"/>
      <c r="G223" s="52">
        <f>50000</f>
        <v>50000</v>
      </c>
      <c r="H223" s="52">
        <f t="shared" si="53"/>
        <v>6574656.3499999996</v>
      </c>
    </row>
    <row r="224" spans="1:8" s="16" customFormat="1" ht="12" customHeight="1" x14ac:dyDescent="0.2">
      <c r="A224" s="48"/>
      <c r="B224" s="25"/>
      <c r="C224" s="26"/>
      <c r="D224" s="484" t="s">
        <v>139</v>
      </c>
      <c r="E224" s="478">
        <v>83843703.900000006</v>
      </c>
      <c r="F224" s="478">
        <f>SUM(F225:F242)</f>
        <v>240838.7</v>
      </c>
      <c r="G224" s="478">
        <f>SUM(G225:G242)</f>
        <v>511338.7</v>
      </c>
      <c r="H224" s="53">
        <f>SUM(E224+F224-G224)</f>
        <v>83573203.900000006</v>
      </c>
    </row>
    <row r="225" spans="1:8" s="16" customFormat="1" ht="12" customHeight="1" x14ac:dyDescent="0.2">
      <c r="A225" s="48"/>
      <c r="B225" s="25"/>
      <c r="C225" s="55">
        <v>3020</v>
      </c>
      <c r="D225" s="40" t="s">
        <v>115</v>
      </c>
      <c r="E225" s="41">
        <v>460087</v>
      </c>
      <c r="F225" s="41"/>
      <c r="G225" s="41">
        <f>18300</f>
        <v>18300</v>
      </c>
      <c r="H225" s="68">
        <f t="shared" ref="H225:H242" si="54">SUM(E225+F225-G225)</f>
        <v>441787</v>
      </c>
    </row>
    <row r="226" spans="1:8" s="16" customFormat="1" ht="23.25" customHeight="1" x14ac:dyDescent="0.2">
      <c r="A226" s="48"/>
      <c r="B226" s="25"/>
      <c r="C226" s="83">
        <v>3040</v>
      </c>
      <c r="D226" s="89" t="s">
        <v>140</v>
      </c>
      <c r="E226" s="41">
        <v>629815.68000000005</v>
      </c>
      <c r="F226" s="41">
        <f>230</f>
        <v>230</v>
      </c>
      <c r="G226" s="41"/>
      <c r="H226" s="68">
        <f t="shared" si="54"/>
        <v>630045.68000000005</v>
      </c>
    </row>
    <row r="227" spans="1:8" s="16" customFormat="1" ht="12" customHeight="1" x14ac:dyDescent="0.2">
      <c r="A227" s="48"/>
      <c r="B227" s="25"/>
      <c r="C227" s="55">
        <v>4010</v>
      </c>
      <c r="D227" s="40" t="s">
        <v>141</v>
      </c>
      <c r="E227" s="41">
        <v>11223050</v>
      </c>
      <c r="F227" s="41">
        <f>30500</f>
        <v>30500</v>
      </c>
      <c r="G227" s="41"/>
      <c r="H227" s="68">
        <f t="shared" si="54"/>
        <v>11253550</v>
      </c>
    </row>
    <row r="228" spans="1:8" s="16" customFormat="1" ht="12" customHeight="1" x14ac:dyDescent="0.2">
      <c r="A228" s="48"/>
      <c r="B228" s="25"/>
      <c r="C228" s="55">
        <v>4110</v>
      </c>
      <c r="D228" s="40" t="s">
        <v>117</v>
      </c>
      <c r="E228" s="41">
        <v>10286985.949999999</v>
      </c>
      <c r="F228" s="41">
        <f>6500</f>
        <v>6500</v>
      </c>
      <c r="G228" s="41">
        <f>80000+204000</f>
        <v>284000</v>
      </c>
      <c r="H228" s="68">
        <f t="shared" si="54"/>
        <v>10009485.949999999</v>
      </c>
    </row>
    <row r="229" spans="1:8" s="16" customFormat="1" ht="12" customHeight="1" x14ac:dyDescent="0.2">
      <c r="A229" s="48"/>
      <c r="B229" s="25"/>
      <c r="C229" s="55">
        <v>4120</v>
      </c>
      <c r="D229" s="40" t="s">
        <v>142</v>
      </c>
      <c r="E229" s="41">
        <v>1247040</v>
      </c>
      <c r="F229" s="41"/>
      <c r="G229" s="41">
        <f>4100+53015+90000</f>
        <v>147115</v>
      </c>
      <c r="H229" s="68">
        <f t="shared" si="54"/>
        <v>1099925</v>
      </c>
    </row>
    <row r="230" spans="1:8" s="16" customFormat="1" ht="22.5" customHeight="1" x14ac:dyDescent="0.2">
      <c r="A230" s="48"/>
      <c r="B230" s="25"/>
      <c r="C230" s="83">
        <v>4140</v>
      </c>
      <c r="D230" s="104" t="s">
        <v>118</v>
      </c>
      <c r="E230" s="41">
        <v>59681</v>
      </c>
      <c r="F230" s="41"/>
      <c r="G230" s="41">
        <f>15900</f>
        <v>15900</v>
      </c>
      <c r="H230" s="68">
        <f t="shared" si="54"/>
        <v>43781</v>
      </c>
    </row>
    <row r="231" spans="1:8" s="16" customFormat="1" ht="12" customHeight="1" x14ac:dyDescent="0.2">
      <c r="A231" s="48"/>
      <c r="B231" s="25"/>
      <c r="C231" s="42" t="s">
        <v>102</v>
      </c>
      <c r="D231" s="43" t="s">
        <v>13</v>
      </c>
      <c r="E231" s="41">
        <v>604376</v>
      </c>
      <c r="F231" s="41">
        <f>19839+1801.7</f>
        <v>21640.7</v>
      </c>
      <c r="G231" s="41"/>
      <c r="H231" s="68">
        <f t="shared" si="54"/>
        <v>626016.69999999995</v>
      </c>
    </row>
    <row r="232" spans="1:8" s="16" customFormat="1" ht="12" customHeight="1" x14ac:dyDescent="0.2">
      <c r="A232" s="48"/>
      <c r="B232" s="25"/>
      <c r="C232" s="55">
        <v>4240</v>
      </c>
      <c r="D232" s="40" t="s">
        <v>143</v>
      </c>
      <c r="E232" s="41">
        <v>363681</v>
      </c>
      <c r="F232" s="41"/>
      <c r="G232" s="41">
        <f>30339+1801.7</f>
        <v>32140.7</v>
      </c>
      <c r="H232" s="68">
        <f t="shared" si="54"/>
        <v>331540.3</v>
      </c>
    </row>
    <row r="233" spans="1:8" s="16" customFormat="1" ht="12" customHeight="1" x14ac:dyDescent="0.2">
      <c r="A233" s="48"/>
      <c r="B233" s="25"/>
      <c r="C233" s="55">
        <v>4260</v>
      </c>
      <c r="D233" s="40" t="s">
        <v>98</v>
      </c>
      <c r="E233" s="41">
        <v>6602835</v>
      </c>
      <c r="F233" s="41">
        <f>76500</f>
        <v>76500</v>
      </c>
      <c r="G233" s="41"/>
      <c r="H233" s="68">
        <f t="shared" si="54"/>
        <v>6679335</v>
      </c>
    </row>
    <row r="234" spans="1:8" s="16" customFormat="1" ht="12" customHeight="1" x14ac:dyDescent="0.2">
      <c r="A234" s="48"/>
      <c r="B234" s="25"/>
      <c r="C234" s="55">
        <v>4280</v>
      </c>
      <c r="D234" s="40" t="s">
        <v>125</v>
      </c>
      <c r="E234" s="41">
        <v>79930</v>
      </c>
      <c r="F234" s="41">
        <f>115</f>
        <v>115</v>
      </c>
      <c r="G234" s="41"/>
      <c r="H234" s="68">
        <f t="shared" si="54"/>
        <v>80045</v>
      </c>
    </row>
    <row r="235" spans="1:8" s="16" customFormat="1" ht="12" customHeight="1" x14ac:dyDescent="0.2">
      <c r="A235" s="48"/>
      <c r="B235" s="25"/>
      <c r="C235" s="55">
        <v>4300</v>
      </c>
      <c r="D235" s="40" t="s">
        <v>14</v>
      </c>
      <c r="E235" s="51">
        <v>898168</v>
      </c>
      <c r="F235" s="51">
        <f>28000</f>
        <v>28000</v>
      </c>
      <c r="G235" s="51"/>
      <c r="H235" s="68">
        <f t="shared" si="54"/>
        <v>926168</v>
      </c>
    </row>
    <row r="236" spans="1:8" s="16" customFormat="1" ht="12" customHeight="1" x14ac:dyDescent="0.2">
      <c r="A236" s="48"/>
      <c r="B236" s="25"/>
      <c r="C236" s="55">
        <v>4360</v>
      </c>
      <c r="D236" s="40" t="s">
        <v>144</v>
      </c>
      <c r="E236" s="51">
        <v>57932</v>
      </c>
      <c r="F236" s="51"/>
      <c r="G236" s="51">
        <f>2500</f>
        <v>2500</v>
      </c>
      <c r="H236" s="68">
        <f t="shared" si="54"/>
        <v>55432</v>
      </c>
    </row>
    <row r="237" spans="1:8" s="16" customFormat="1" ht="12" customHeight="1" x14ac:dyDescent="0.2">
      <c r="A237" s="48"/>
      <c r="B237" s="25"/>
      <c r="C237" s="55">
        <v>4410</v>
      </c>
      <c r="D237" s="43" t="s">
        <v>145</v>
      </c>
      <c r="E237" s="118">
        <v>22975</v>
      </c>
      <c r="F237" s="51"/>
      <c r="G237" s="51">
        <f>756</f>
        <v>756</v>
      </c>
      <c r="H237" s="68">
        <f t="shared" si="54"/>
        <v>22219</v>
      </c>
    </row>
    <row r="238" spans="1:8" s="16" customFormat="1" ht="12" customHeight="1" x14ac:dyDescent="0.2">
      <c r="A238" s="48"/>
      <c r="B238" s="25"/>
      <c r="C238" s="55">
        <v>4430</v>
      </c>
      <c r="D238" s="40" t="s">
        <v>110</v>
      </c>
      <c r="E238" s="118">
        <v>8160</v>
      </c>
      <c r="F238" s="51"/>
      <c r="G238" s="51">
        <f>44</f>
        <v>44</v>
      </c>
      <c r="H238" s="68">
        <f t="shared" si="54"/>
        <v>8116</v>
      </c>
    </row>
    <row r="239" spans="1:8" s="16" customFormat="1" ht="12" customHeight="1" x14ac:dyDescent="0.2">
      <c r="A239" s="48"/>
      <c r="B239" s="25"/>
      <c r="C239" s="55">
        <v>4530</v>
      </c>
      <c r="D239" s="40" t="s">
        <v>146</v>
      </c>
      <c r="E239" s="118">
        <v>913</v>
      </c>
      <c r="F239" s="51">
        <f>244</f>
        <v>244</v>
      </c>
      <c r="G239" s="51"/>
      <c r="H239" s="68">
        <f t="shared" si="54"/>
        <v>1157</v>
      </c>
    </row>
    <row r="240" spans="1:8" s="16" customFormat="1" ht="12" customHeight="1" x14ac:dyDescent="0.2">
      <c r="A240" s="48"/>
      <c r="B240" s="25"/>
      <c r="C240" s="55">
        <v>4580</v>
      </c>
      <c r="D240" s="40" t="s">
        <v>105</v>
      </c>
      <c r="E240" s="118">
        <v>301</v>
      </c>
      <c r="F240" s="51">
        <f>109</f>
        <v>109</v>
      </c>
      <c r="G240" s="51"/>
      <c r="H240" s="68">
        <f t="shared" si="54"/>
        <v>410</v>
      </c>
    </row>
    <row r="241" spans="1:8" s="16" customFormat="1" ht="12" customHeight="1" x14ac:dyDescent="0.2">
      <c r="A241" s="48"/>
      <c r="B241" s="25"/>
      <c r="C241" s="55">
        <v>4710</v>
      </c>
      <c r="D241" s="40" t="s">
        <v>111</v>
      </c>
      <c r="E241" s="51">
        <v>142287.26999999999</v>
      </c>
      <c r="F241" s="51"/>
      <c r="G241" s="51">
        <f>1353</f>
        <v>1353</v>
      </c>
      <c r="H241" s="68">
        <f t="shared" si="54"/>
        <v>140934.26999999999</v>
      </c>
    </row>
    <row r="242" spans="1:8" s="16" customFormat="1" ht="12" customHeight="1" x14ac:dyDescent="0.2">
      <c r="A242" s="48"/>
      <c r="B242" s="25"/>
      <c r="C242" s="35">
        <v>4790</v>
      </c>
      <c r="D242" s="119" t="s">
        <v>147</v>
      </c>
      <c r="E242" s="51">
        <v>44399742</v>
      </c>
      <c r="F242" s="51">
        <f>77000</f>
        <v>77000</v>
      </c>
      <c r="G242" s="51">
        <f>9230</f>
        <v>9230</v>
      </c>
      <c r="H242" s="68">
        <f t="shared" si="54"/>
        <v>44467512</v>
      </c>
    </row>
    <row r="243" spans="1:8" s="16" customFormat="1" ht="22.5" customHeight="1" x14ac:dyDescent="0.2">
      <c r="A243" s="48"/>
      <c r="B243" s="25"/>
      <c r="C243" s="26"/>
      <c r="D243" s="479" t="s">
        <v>148</v>
      </c>
      <c r="E243" s="478">
        <v>1886443.59</v>
      </c>
      <c r="F243" s="478">
        <f>SUM(F244:F248)</f>
        <v>210716</v>
      </c>
      <c r="G243" s="478">
        <f>SUM(G244:G248)</f>
        <v>49953</v>
      </c>
      <c r="H243" s="53">
        <f>SUM(E243+F243-G243)</f>
        <v>2047206.5899999999</v>
      </c>
    </row>
    <row r="244" spans="1:8" s="16" customFormat="1" ht="22.5" customHeight="1" x14ac:dyDescent="0.2">
      <c r="A244" s="48"/>
      <c r="B244" s="25"/>
      <c r="C244" s="61" t="s">
        <v>149</v>
      </c>
      <c r="D244" s="104" t="s">
        <v>150</v>
      </c>
      <c r="E244" s="41">
        <v>1242556.27</v>
      </c>
      <c r="F244" s="41">
        <f>163809</f>
        <v>163809</v>
      </c>
      <c r="G244" s="41"/>
      <c r="H244" s="68">
        <f t="shared" ref="H244:H248" si="55">SUM(E244+F244-G244)</f>
        <v>1406365.27</v>
      </c>
    </row>
    <row r="245" spans="1:8" s="16" customFormat="1" ht="12.75" customHeight="1" x14ac:dyDescent="0.2">
      <c r="A245" s="48"/>
      <c r="B245" s="25"/>
      <c r="C245" s="61" t="s">
        <v>151</v>
      </c>
      <c r="D245" s="25" t="s">
        <v>152</v>
      </c>
      <c r="E245" s="41">
        <v>11536</v>
      </c>
      <c r="F245" s="41">
        <f>7179</f>
        <v>7179</v>
      </c>
      <c r="G245" s="41"/>
      <c r="H245" s="68">
        <f t="shared" si="55"/>
        <v>18715</v>
      </c>
    </row>
    <row r="246" spans="1:8" s="16" customFormat="1" ht="23.25" customHeight="1" x14ac:dyDescent="0.2">
      <c r="A246" s="48"/>
      <c r="B246" s="25"/>
      <c r="C246" s="83">
        <v>4750</v>
      </c>
      <c r="D246" s="89" t="s">
        <v>153</v>
      </c>
      <c r="E246" s="41">
        <v>373990.77</v>
      </c>
      <c r="F246" s="41"/>
      <c r="G246" s="41">
        <f>43028</f>
        <v>43028</v>
      </c>
      <c r="H246" s="68">
        <f t="shared" si="55"/>
        <v>330962.77</v>
      </c>
    </row>
    <row r="247" spans="1:8" s="16" customFormat="1" ht="23.25" customHeight="1" x14ac:dyDescent="0.2">
      <c r="A247" s="48"/>
      <c r="B247" s="25"/>
      <c r="C247" s="83">
        <v>4850</v>
      </c>
      <c r="D247" s="89" t="s">
        <v>154</v>
      </c>
      <c r="E247" s="41">
        <v>77653.55</v>
      </c>
      <c r="F247" s="41"/>
      <c r="G247" s="41">
        <f>6925</f>
        <v>6925</v>
      </c>
      <c r="H247" s="68">
        <f t="shared" si="55"/>
        <v>70728.55</v>
      </c>
    </row>
    <row r="248" spans="1:8" s="16" customFormat="1" ht="24" customHeight="1" x14ac:dyDescent="0.2">
      <c r="A248" s="48"/>
      <c r="B248" s="25"/>
      <c r="C248" s="83">
        <v>4860</v>
      </c>
      <c r="D248" s="89" t="s">
        <v>155</v>
      </c>
      <c r="E248" s="41">
        <v>169907</v>
      </c>
      <c r="F248" s="41">
        <f>39728</f>
        <v>39728</v>
      </c>
      <c r="G248" s="41"/>
      <c r="H248" s="68">
        <f t="shared" si="55"/>
        <v>209635</v>
      </c>
    </row>
    <row r="249" spans="1:8" s="16" customFormat="1" ht="21.75" customHeight="1" x14ac:dyDescent="0.2">
      <c r="A249" s="48"/>
      <c r="B249" s="25"/>
      <c r="C249" s="26"/>
      <c r="D249" s="479" t="s">
        <v>156</v>
      </c>
      <c r="E249" s="478">
        <v>11715.54</v>
      </c>
      <c r="F249" s="478">
        <f>SUM(F250)</f>
        <v>1285</v>
      </c>
      <c r="G249" s="478">
        <f>SUM(G250)</f>
        <v>0</v>
      </c>
      <c r="H249" s="53">
        <f>SUM(E249+F249-G249)</f>
        <v>13000.54</v>
      </c>
    </row>
    <row r="250" spans="1:8" s="16" customFormat="1" ht="33" customHeight="1" x14ac:dyDescent="0.2">
      <c r="A250" s="48"/>
      <c r="B250" s="25"/>
      <c r="C250" s="61" t="s">
        <v>157</v>
      </c>
      <c r="D250" s="104" t="s">
        <v>158</v>
      </c>
      <c r="E250" s="51">
        <v>11715.54</v>
      </c>
      <c r="F250" s="41">
        <v>1285</v>
      </c>
      <c r="G250" s="41"/>
      <c r="H250" s="68">
        <f t="shared" ref="H250" si="56">SUM(E250+F250-G250)</f>
        <v>13000.54</v>
      </c>
    </row>
    <row r="251" spans="1:8" s="16" customFormat="1" ht="12.75" customHeight="1" x14ac:dyDescent="0.2">
      <c r="A251" s="48"/>
      <c r="B251" s="25">
        <v>80102</v>
      </c>
      <c r="C251" s="26"/>
      <c r="D251" s="50" t="s">
        <v>159</v>
      </c>
      <c r="E251" s="37">
        <v>12385536.27</v>
      </c>
      <c r="F251" s="37">
        <f>SUM(F252,F256)</f>
        <v>406756</v>
      </c>
      <c r="G251" s="37">
        <f>SUM(G252,G256)</f>
        <v>26000</v>
      </c>
      <c r="H251" s="38">
        <f>SUM(E251+F251-G251)</f>
        <v>12766292.27</v>
      </c>
    </row>
    <row r="252" spans="1:8" s="16" customFormat="1" ht="12" customHeight="1" x14ac:dyDescent="0.2">
      <c r="A252" s="48"/>
      <c r="B252" s="25"/>
      <c r="C252" s="26"/>
      <c r="D252" s="484" t="s">
        <v>139</v>
      </c>
      <c r="E252" s="478">
        <v>12298107.77</v>
      </c>
      <c r="F252" s="478">
        <f>SUM(F253:F255)</f>
        <v>393000</v>
      </c>
      <c r="G252" s="478">
        <f>SUM(G253:G255)</f>
        <v>26000</v>
      </c>
      <c r="H252" s="478">
        <f t="shared" ref="H252:H255" si="57">SUM(E252+F252-G252)</f>
        <v>12665107.77</v>
      </c>
    </row>
    <row r="253" spans="1:8" s="16" customFormat="1" ht="12" customHeight="1" x14ac:dyDescent="0.2">
      <c r="A253" s="48"/>
      <c r="B253" s="25"/>
      <c r="C253" s="55">
        <v>4110</v>
      </c>
      <c r="D253" s="40" t="s">
        <v>117</v>
      </c>
      <c r="E253" s="41">
        <v>1724556</v>
      </c>
      <c r="F253" s="41"/>
      <c r="G253" s="41">
        <f>20000</f>
        <v>20000</v>
      </c>
      <c r="H253" s="68">
        <f t="shared" si="57"/>
        <v>1704556</v>
      </c>
    </row>
    <row r="254" spans="1:8" s="16" customFormat="1" ht="12" customHeight="1" x14ac:dyDescent="0.2">
      <c r="A254" s="48"/>
      <c r="B254" s="25"/>
      <c r="C254" s="55">
        <v>4120</v>
      </c>
      <c r="D254" s="40" t="s">
        <v>142</v>
      </c>
      <c r="E254" s="41">
        <v>186353</v>
      </c>
      <c r="F254" s="41"/>
      <c r="G254" s="41">
        <f>6000</f>
        <v>6000</v>
      </c>
      <c r="H254" s="68">
        <f t="shared" si="57"/>
        <v>180353</v>
      </c>
    </row>
    <row r="255" spans="1:8" s="16" customFormat="1" ht="12" customHeight="1" x14ac:dyDescent="0.2">
      <c r="A255" s="48"/>
      <c r="B255" s="25"/>
      <c r="C255" s="35">
        <v>4790</v>
      </c>
      <c r="D255" s="119" t="s">
        <v>147</v>
      </c>
      <c r="E255" s="41">
        <v>7033267</v>
      </c>
      <c r="F255" s="41">
        <f>393000</f>
        <v>393000</v>
      </c>
      <c r="G255" s="41"/>
      <c r="H255" s="52">
        <f t="shared" si="57"/>
        <v>7426267</v>
      </c>
    </row>
    <row r="256" spans="1:8" s="16" customFormat="1" ht="22.5" customHeight="1" x14ac:dyDescent="0.2">
      <c r="A256" s="48"/>
      <c r="B256" s="25"/>
      <c r="C256" s="26"/>
      <c r="D256" s="479" t="s">
        <v>148</v>
      </c>
      <c r="E256" s="478">
        <v>87428.5</v>
      </c>
      <c r="F256" s="478">
        <f>SUM(F257:F259)</f>
        <v>13756</v>
      </c>
      <c r="G256" s="478">
        <f>SUM(G257:G259)</f>
        <v>0</v>
      </c>
      <c r="H256" s="53">
        <f>SUM(E256+F256-G256)</f>
        <v>101184.5</v>
      </c>
    </row>
    <row r="257" spans="1:8" s="16" customFormat="1" ht="23.25" customHeight="1" x14ac:dyDescent="0.2">
      <c r="A257" s="48"/>
      <c r="B257" s="25"/>
      <c r="C257" s="61" t="s">
        <v>149</v>
      </c>
      <c r="D257" s="104" t="s">
        <v>150</v>
      </c>
      <c r="E257" s="41">
        <v>59583.57</v>
      </c>
      <c r="F257" s="41">
        <f>12956</f>
        <v>12956</v>
      </c>
      <c r="G257" s="41"/>
      <c r="H257" s="68">
        <f t="shared" ref="H257:H259" si="58">SUM(E257+F257-G257)</f>
        <v>72539.570000000007</v>
      </c>
    </row>
    <row r="258" spans="1:8" s="16" customFormat="1" ht="12.75" customHeight="1" x14ac:dyDescent="0.2">
      <c r="A258" s="48"/>
      <c r="B258" s="25"/>
      <c r="C258" s="120" t="s">
        <v>151</v>
      </c>
      <c r="D258" s="121" t="s">
        <v>152</v>
      </c>
      <c r="E258" s="41">
        <v>3500</v>
      </c>
      <c r="F258" s="41">
        <f>400</f>
        <v>400</v>
      </c>
      <c r="G258" s="41"/>
      <c r="H258" s="68">
        <f t="shared" si="58"/>
        <v>3900</v>
      </c>
    </row>
    <row r="259" spans="1:8" s="16" customFormat="1" ht="20.25" customHeight="1" x14ac:dyDescent="0.2">
      <c r="A259" s="48"/>
      <c r="B259" s="25"/>
      <c r="C259" s="83">
        <v>4860</v>
      </c>
      <c r="D259" s="89" t="s">
        <v>155</v>
      </c>
      <c r="E259" s="41">
        <v>4000</v>
      </c>
      <c r="F259" s="41">
        <f>400</f>
        <v>400</v>
      </c>
      <c r="G259" s="41"/>
      <c r="H259" s="68">
        <f t="shared" si="58"/>
        <v>4400</v>
      </c>
    </row>
    <row r="260" spans="1:8" s="16" customFormat="1" ht="12" customHeight="1" x14ac:dyDescent="0.2">
      <c r="A260" s="48"/>
      <c r="B260" s="25">
        <v>80103</v>
      </c>
      <c r="C260" s="26"/>
      <c r="D260" s="50" t="s">
        <v>160</v>
      </c>
      <c r="E260" s="37">
        <v>900676.81</v>
      </c>
      <c r="F260" s="37">
        <f>SUM(F261)</f>
        <v>5000</v>
      </c>
      <c r="G260" s="37">
        <f>SUM(G261)</f>
        <v>4000</v>
      </c>
      <c r="H260" s="38">
        <f>SUM(E260+F260-G260)</f>
        <v>901676.81</v>
      </c>
    </row>
    <row r="261" spans="1:8" s="16" customFormat="1" ht="12" customHeight="1" x14ac:dyDescent="0.2">
      <c r="A261" s="48"/>
      <c r="B261" s="25"/>
      <c r="C261" s="26"/>
      <c r="D261" s="484" t="s">
        <v>139</v>
      </c>
      <c r="E261" s="478">
        <v>728180.81</v>
      </c>
      <c r="F261" s="478">
        <f>SUM(F262:F264)</f>
        <v>5000</v>
      </c>
      <c r="G261" s="478">
        <f>SUM(G262:G264)</f>
        <v>4000</v>
      </c>
      <c r="H261" s="53">
        <f>SUM(E261+F261-G261)</f>
        <v>729180.81</v>
      </c>
    </row>
    <row r="262" spans="1:8" s="16" customFormat="1" ht="22.5" customHeight="1" x14ac:dyDescent="0.2">
      <c r="A262" s="48"/>
      <c r="B262" s="25"/>
      <c r="C262" s="83">
        <v>3040</v>
      </c>
      <c r="D262" s="89" t="s">
        <v>140</v>
      </c>
      <c r="E262" s="41">
        <v>5026</v>
      </c>
      <c r="F262" s="41">
        <f>1100</f>
        <v>1100</v>
      </c>
      <c r="G262" s="41"/>
      <c r="H262" s="68">
        <f t="shared" ref="H262:H264" si="59">SUM(E262+F262-G262)</f>
        <v>6126</v>
      </c>
    </row>
    <row r="263" spans="1:8" s="16" customFormat="1" ht="12" customHeight="1" x14ac:dyDescent="0.2">
      <c r="A263" s="48"/>
      <c r="B263" s="25"/>
      <c r="C263" s="55">
        <v>4110</v>
      </c>
      <c r="D263" s="40" t="s">
        <v>117</v>
      </c>
      <c r="E263" s="41">
        <v>90662.38</v>
      </c>
      <c r="F263" s="41"/>
      <c r="G263" s="41">
        <f>4000</f>
        <v>4000</v>
      </c>
      <c r="H263" s="68">
        <f t="shared" si="59"/>
        <v>86662.38</v>
      </c>
    </row>
    <row r="264" spans="1:8" s="16" customFormat="1" ht="12" customHeight="1" x14ac:dyDescent="0.2">
      <c r="A264" s="78"/>
      <c r="B264" s="79"/>
      <c r="C264" s="122">
        <v>4790</v>
      </c>
      <c r="D264" s="123" t="s">
        <v>147</v>
      </c>
      <c r="E264" s="36">
        <v>426731</v>
      </c>
      <c r="F264" s="36">
        <f>3900</f>
        <v>3900</v>
      </c>
      <c r="G264" s="36"/>
      <c r="H264" s="38">
        <f t="shared" si="59"/>
        <v>430631</v>
      </c>
    </row>
    <row r="265" spans="1:8" s="16" customFormat="1" ht="12" customHeight="1" x14ac:dyDescent="0.2">
      <c r="A265" s="48"/>
      <c r="B265" s="25">
        <v>80104</v>
      </c>
      <c r="C265" s="26"/>
      <c r="D265" s="50" t="s">
        <v>161</v>
      </c>
      <c r="E265" s="37">
        <v>49797336.369999997</v>
      </c>
      <c r="F265" s="37">
        <f>SUM(F266,F269,F284,F290)</f>
        <v>1887705</v>
      </c>
      <c r="G265" s="37">
        <f>SUM(G266,G269,G284,G290)</f>
        <v>250170</v>
      </c>
      <c r="H265" s="38">
        <f>SUM(E265+F265-G265)</f>
        <v>51434871.369999997</v>
      </c>
    </row>
    <row r="266" spans="1:8" s="16" customFormat="1" ht="12.75" customHeight="1" x14ac:dyDescent="0.2">
      <c r="A266" s="48"/>
      <c r="B266" s="25"/>
      <c r="C266" s="26"/>
      <c r="D266" s="477" t="s">
        <v>137</v>
      </c>
      <c r="E266" s="478">
        <v>11113257.25</v>
      </c>
      <c r="F266" s="478">
        <f>SUM(F267:F268)</f>
        <v>1547000</v>
      </c>
      <c r="G266" s="478">
        <f>SUM(G267:G268)</f>
        <v>0</v>
      </c>
      <c r="H266" s="478">
        <f t="shared" ref="H266:H268" si="60">SUM(E266+F266-G266)</f>
        <v>12660257.25</v>
      </c>
    </row>
    <row r="267" spans="1:8" s="16" customFormat="1" ht="23.25" customHeight="1" x14ac:dyDescent="0.2">
      <c r="A267" s="48"/>
      <c r="B267" s="25"/>
      <c r="C267" s="83">
        <v>2540</v>
      </c>
      <c r="D267" s="89" t="s">
        <v>162</v>
      </c>
      <c r="E267" s="41">
        <v>8131256</v>
      </c>
      <c r="F267" s="41">
        <v>1150000</v>
      </c>
      <c r="G267" s="41"/>
      <c r="H267" s="51">
        <f t="shared" si="60"/>
        <v>9281256</v>
      </c>
    </row>
    <row r="268" spans="1:8" s="16" customFormat="1" ht="33" customHeight="1" x14ac:dyDescent="0.2">
      <c r="A268" s="48"/>
      <c r="B268" s="25"/>
      <c r="C268" s="83">
        <v>2590</v>
      </c>
      <c r="D268" s="89" t="s">
        <v>138</v>
      </c>
      <c r="E268" s="41">
        <v>2601055</v>
      </c>
      <c r="F268" s="41">
        <f>397000</f>
        <v>397000</v>
      </c>
      <c r="G268" s="41"/>
      <c r="H268" s="51">
        <f t="shared" si="60"/>
        <v>2998055</v>
      </c>
    </row>
    <row r="269" spans="1:8" s="16" customFormat="1" ht="12" customHeight="1" x14ac:dyDescent="0.2">
      <c r="A269" s="48"/>
      <c r="B269" s="25"/>
      <c r="C269" s="26"/>
      <c r="D269" s="484" t="s">
        <v>139</v>
      </c>
      <c r="E269" s="478">
        <v>38033277.259999998</v>
      </c>
      <c r="F269" s="478">
        <f>SUM(F270:F283)</f>
        <v>283265</v>
      </c>
      <c r="G269" s="478">
        <f>SUM(G270:G283)</f>
        <v>247549</v>
      </c>
      <c r="H269" s="53">
        <f>SUM(E269+F269-G269)</f>
        <v>38068993.259999998</v>
      </c>
    </row>
    <row r="270" spans="1:8" s="16" customFormat="1" ht="12" customHeight="1" x14ac:dyDescent="0.2">
      <c r="A270" s="48"/>
      <c r="B270" s="25"/>
      <c r="C270" s="55">
        <v>3020</v>
      </c>
      <c r="D270" s="40" t="s">
        <v>115</v>
      </c>
      <c r="E270" s="41">
        <v>73123</v>
      </c>
      <c r="F270" s="41">
        <f>800</f>
        <v>800</v>
      </c>
      <c r="G270" s="41"/>
      <c r="H270" s="68">
        <f t="shared" ref="H270:H283" si="61">SUM(E270+F270-G270)</f>
        <v>73923</v>
      </c>
    </row>
    <row r="271" spans="1:8" s="16" customFormat="1" ht="12" customHeight="1" x14ac:dyDescent="0.2">
      <c r="A271" s="48"/>
      <c r="B271" s="25"/>
      <c r="C271" s="55">
        <v>4010</v>
      </c>
      <c r="D271" s="40" t="s">
        <v>141</v>
      </c>
      <c r="E271" s="41">
        <v>10502692</v>
      </c>
      <c r="F271" s="41">
        <f>65000+55000</f>
        <v>120000</v>
      </c>
      <c r="G271" s="41"/>
      <c r="H271" s="68">
        <f t="shared" si="61"/>
        <v>10622692</v>
      </c>
    </row>
    <row r="272" spans="1:8" s="16" customFormat="1" ht="12" customHeight="1" x14ac:dyDescent="0.2">
      <c r="A272" s="48"/>
      <c r="B272" s="25"/>
      <c r="C272" s="55">
        <v>4110</v>
      </c>
      <c r="D272" s="40" t="s">
        <v>117</v>
      </c>
      <c r="E272" s="41">
        <v>4717571.0999999996</v>
      </c>
      <c r="F272" s="41"/>
      <c r="G272" s="41">
        <f>136000+9000</f>
        <v>145000</v>
      </c>
      <c r="H272" s="68">
        <f t="shared" si="61"/>
        <v>4572571.0999999996</v>
      </c>
    </row>
    <row r="273" spans="1:8" s="16" customFormat="1" ht="12" customHeight="1" x14ac:dyDescent="0.2">
      <c r="A273" s="48"/>
      <c r="B273" s="25"/>
      <c r="C273" s="55">
        <v>4120</v>
      </c>
      <c r="D273" s="40" t="s">
        <v>142</v>
      </c>
      <c r="E273" s="41">
        <v>555489.81000000006</v>
      </c>
      <c r="F273" s="41">
        <f>3000</f>
        <v>3000</v>
      </c>
      <c r="G273" s="41">
        <f>24894</f>
        <v>24894</v>
      </c>
      <c r="H273" s="68">
        <f t="shared" si="61"/>
        <v>533595.81000000006</v>
      </c>
    </row>
    <row r="274" spans="1:8" s="16" customFormat="1" ht="12" customHeight="1" x14ac:dyDescent="0.2">
      <c r="A274" s="48"/>
      <c r="B274" s="25"/>
      <c r="C274" s="42" t="s">
        <v>102</v>
      </c>
      <c r="D274" s="43" t="s">
        <v>13</v>
      </c>
      <c r="E274" s="41">
        <v>662118</v>
      </c>
      <c r="F274" s="41">
        <f>640</f>
        <v>640</v>
      </c>
      <c r="G274" s="41"/>
      <c r="H274" s="68">
        <f t="shared" si="61"/>
        <v>662758</v>
      </c>
    </row>
    <row r="275" spans="1:8" s="16" customFormat="1" ht="12" customHeight="1" x14ac:dyDescent="0.2">
      <c r="A275" s="48"/>
      <c r="B275" s="25"/>
      <c r="C275" s="55">
        <v>4240</v>
      </c>
      <c r="D275" s="40" t="s">
        <v>143</v>
      </c>
      <c r="E275" s="41">
        <v>110683</v>
      </c>
      <c r="F275" s="41">
        <f>500</f>
        <v>500</v>
      </c>
      <c r="G275" s="41"/>
      <c r="H275" s="68">
        <f t="shared" si="61"/>
        <v>111183</v>
      </c>
    </row>
    <row r="276" spans="1:8" s="16" customFormat="1" ht="12" customHeight="1" x14ac:dyDescent="0.2">
      <c r="A276" s="48"/>
      <c r="B276" s="25"/>
      <c r="C276" s="55">
        <v>4260</v>
      </c>
      <c r="D276" s="40" t="s">
        <v>98</v>
      </c>
      <c r="E276" s="41">
        <v>2539581</v>
      </c>
      <c r="F276" s="41"/>
      <c r="G276" s="41">
        <f>63000</f>
        <v>63000</v>
      </c>
      <c r="H276" s="68">
        <f t="shared" si="61"/>
        <v>2476581</v>
      </c>
    </row>
    <row r="277" spans="1:8" s="16" customFormat="1" ht="12" customHeight="1" x14ac:dyDescent="0.2">
      <c r="A277" s="48"/>
      <c r="B277" s="25"/>
      <c r="C277" s="55">
        <v>4280</v>
      </c>
      <c r="D277" s="40" t="s">
        <v>125</v>
      </c>
      <c r="E277" s="41">
        <v>38269</v>
      </c>
      <c r="F277" s="41"/>
      <c r="G277" s="41">
        <f>1123</f>
        <v>1123</v>
      </c>
      <c r="H277" s="68">
        <f t="shared" si="61"/>
        <v>37146</v>
      </c>
    </row>
    <row r="278" spans="1:8" s="16" customFormat="1" ht="12" customHeight="1" x14ac:dyDescent="0.2">
      <c r="A278" s="48"/>
      <c r="B278" s="25"/>
      <c r="C278" s="55">
        <v>4300</v>
      </c>
      <c r="D278" s="40" t="s">
        <v>14</v>
      </c>
      <c r="E278" s="51">
        <v>634786</v>
      </c>
      <c r="F278" s="51">
        <f>9300+6000</f>
        <v>15300</v>
      </c>
      <c r="G278" s="51"/>
      <c r="H278" s="68">
        <f t="shared" si="61"/>
        <v>650086</v>
      </c>
    </row>
    <row r="279" spans="1:8" s="16" customFormat="1" ht="23.25" customHeight="1" x14ac:dyDescent="0.2">
      <c r="A279" s="48"/>
      <c r="B279" s="25"/>
      <c r="C279" s="83">
        <v>4390</v>
      </c>
      <c r="D279" s="89" t="s">
        <v>93</v>
      </c>
      <c r="E279" s="51">
        <v>120</v>
      </c>
      <c r="F279" s="51">
        <f>1000</f>
        <v>1000</v>
      </c>
      <c r="G279" s="51"/>
      <c r="H279" s="68">
        <f t="shared" si="61"/>
        <v>1120</v>
      </c>
    </row>
    <row r="280" spans="1:8" s="16" customFormat="1" ht="12" customHeight="1" x14ac:dyDescent="0.2">
      <c r="A280" s="48"/>
      <c r="B280" s="25"/>
      <c r="C280" s="55">
        <v>4410</v>
      </c>
      <c r="D280" s="43" t="s">
        <v>145</v>
      </c>
      <c r="E280" s="51">
        <v>4234</v>
      </c>
      <c r="F280" s="51"/>
      <c r="G280" s="51">
        <f>1057</f>
        <v>1057</v>
      </c>
      <c r="H280" s="68">
        <f t="shared" si="61"/>
        <v>3177</v>
      </c>
    </row>
    <row r="281" spans="1:8" s="16" customFormat="1" ht="21.75" customHeight="1" x14ac:dyDescent="0.2">
      <c r="A281" s="48"/>
      <c r="B281" s="25"/>
      <c r="C281" s="83">
        <v>4700</v>
      </c>
      <c r="D281" s="89" t="s">
        <v>119</v>
      </c>
      <c r="E281" s="51">
        <v>43256</v>
      </c>
      <c r="F281" s="51">
        <f>4125</f>
        <v>4125</v>
      </c>
      <c r="G281" s="51"/>
      <c r="H281" s="68">
        <f t="shared" si="61"/>
        <v>47381</v>
      </c>
    </row>
    <row r="282" spans="1:8" s="16" customFormat="1" ht="12.75" customHeight="1" x14ac:dyDescent="0.2">
      <c r="A282" s="48"/>
      <c r="B282" s="25"/>
      <c r="C282" s="55">
        <v>4710</v>
      </c>
      <c r="D282" s="40" t="s">
        <v>111</v>
      </c>
      <c r="E282" s="51">
        <v>87862</v>
      </c>
      <c r="F282" s="51"/>
      <c r="G282" s="51">
        <f>6385+6090</f>
        <v>12475</v>
      </c>
      <c r="H282" s="68">
        <f t="shared" si="61"/>
        <v>75387</v>
      </c>
    </row>
    <row r="283" spans="1:8" s="16" customFormat="1" ht="12" customHeight="1" x14ac:dyDescent="0.2">
      <c r="A283" s="48"/>
      <c r="B283" s="25"/>
      <c r="C283" s="35">
        <v>4790</v>
      </c>
      <c r="D283" s="119" t="s">
        <v>147</v>
      </c>
      <c r="E283" s="51">
        <v>14834526.35</v>
      </c>
      <c r="F283" s="51">
        <f>30000+107900</f>
        <v>137900</v>
      </c>
      <c r="G283" s="51"/>
      <c r="H283" s="68">
        <f t="shared" si="61"/>
        <v>14972426.35</v>
      </c>
    </row>
    <row r="284" spans="1:8" s="16" customFormat="1" ht="21" customHeight="1" x14ac:dyDescent="0.2">
      <c r="A284" s="48"/>
      <c r="B284" s="25"/>
      <c r="C284" s="26"/>
      <c r="D284" s="479" t="s">
        <v>148</v>
      </c>
      <c r="E284" s="489">
        <v>396030.01</v>
      </c>
      <c r="F284" s="478">
        <f>SUM(F285:F289)</f>
        <v>51916</v>
      </c>
      <c r="G284" s="478">
        <f>SUM(G285:G289)</f>
        <v>2621</v>
      </c>
      <c r="H284" s="53">
        <f>SUM(E284+F284-G284)</f>
        <v>445325.01</v>
      </c>
    </row>
    <row r="285" spans="1:8" s="16" customFormat="1" ht="23.25" customHeight="1" x14ac:dyDescent="0.2">
      <c r="A285" s="48"/>
      <c r="B285" s="25"/>
      <c r="C285" s="61" t="s">
        <v>149</v>
      </c>
      <c r="D285" s="104" t="s">
        <v>150</v>
      </c>
      <c r="E285" s="124">
        <v>336495.01</v>
      </c>
      <c r="F285" s="41">
        <f>45514</f>
        <v>45514</v>
      </c>
      <c r="G285" s="41"/>
      <c r="H285" s="68">
        <f t="shared" ref="H285:H289" si="62">SUM(E285+F285-G285)</f>
        <v>382009.01</v>
      </c>
    </row>
    <row r="286" spans="1:8" s="16" customFormat="1" ht="12" customHeight="1" x14ac:dyDescent="0.2">
      <c r="A286" s="48"/>
      <c r="B286" s="25"/>
      <c r="C286" s="61" t="s">
        <v>151</v>
      </c>
      <c r="D286" s="25" t="s">
        <v>152</v>
      </c>
      <c r="E286" s="124">
        <v>6396</v>
      </c>
      <c r="F286" s="41">
        <f>2152</f>
        <v>2152</v>
      </c>
      <c r="G286" s="41"/>
      <c r="H286" s="68">
        <f t="shared" si="62"/>
        <v>8548</v>
      </c>
    </row>
    <row r="287" spans="1:8" s="16" customFormat="1" ht="21.75" customHeight="1" x14ac:dyDescent="0.2">
      <c r="A287" s="48"/>
      <c r="B287" s="25"/>
      <c r="C287" s="83">
        <v>4750</v>
      </c>
      <c r="D287" s="89" t="s">
        <v>153</v>
      </c>
      <c r="E287" s="124">
        <v>2096</v>
      </c>
      <c r="F287" s="41"/>
      <c r="G287" s="41">
        <f>2096</f>
        <v>2096</v>
      </c>
      <c r="H287" s="68">
        <f t="shared" si="62"/>
        <v>0</v>
      </c>
    </row>
    <row r="288" spans="1:8" s="16" customFormat="1" ht="22.5" customHeight="1" x14ac:dyDescent="0.2">
      <c r="A288" s="48"/>
      <c r="B288" s="25"/>
      <c r="C288" s="83">
        <v>4850</v>
      </c>
      <c r="D288" s="89" t="s">
        <v>154</v>
      </c>
      <c r="E288" s="124">
        <v>525</v>
      </c>
      <c r="F288" s="41"/>
      <c r="G288" s="41">
        <f>525</f>
        <v>525</v>
      </c>
      <c r="H288" s="68">
        <f t="shared" si="62"/>
        <v>0</v>
      </c>
    </row>
    <row r="289" spans="1:8" s="16" customFormat="1" ht="23.25" customHeight="1" x14ac:dyDescent="0.2">
      <c r="A289" s="48"/>
      <c r="B289" s="25"/>
      <c r="C289" s="83">
        <v>4860</v>
      </c>
      <c r="D289" s="89" t="s">
        <v>155</v>
      </c>
      <c r="E289" s="124">
        <v>50518</v>
      </c>
      <c r="F289" s="41">
        <f>4250</f>
        <v>4250</v>
      </c>
      <c r="G289" s="41"/>
      <c r="H289" s="68">
        <f t="shared" si="62"/>
        <v>54768</v>
      </c>
    </row>
    <row r="290" spans="1:8" s="16" customFormat="1" ht="21.75" customHeight="1" x14ac:dyDescent="0.2">
      <c r="A290" s="48"/>
      <c r="B290" s="25"/>
      <c r="C290" s="26"/>
      <c r="D290" s="479" t="s">
        <v>156</v>
      </c>
      <c r="E290" s="478">
        <v>54771.85</v>
      </c>
      <c r="F290" s="478">
        <f>SUM(F291)</f>
        <v>5524</v>
      </c>
      <c r="G290" s="478">
        <f>SUM(G291)</f>
        <v>0</v>
      </c>
      <c r="H290" s="53">
        <f>SUM(E290+F290-G290)</f>
        <v>60295.85</v>
      </c>
    </row>
    <row r="291" spans="1:8" s="16" customFormat="1" ht="36" customHeight="1" x14ac:dyDescent="0.2">
      <c r="A291" s="48"/>
      <c r="B291" s="25"/>
      <c r="C291" s="61" t="s">
        <v>157</v>
      </c>
      <c r="D291" s="104" t="s">
        <v>158</v>
      </c>
      <c r="E291" s="51">
        <v>54771.85</v>
      </c>
      <c r="F291" s="41">
        <v>5524</v>
      </c>
      <c r="G291" s="41"/>
      <c r="H291" s="68">
        <f t="shared" ref="H291" si="63">SUM(E291+F291-G291)</f>
        <v>60295.85</v>
      </c>
    </row>
    <row r="292" spans="1:8" s="16" customFormat="1" ht="12" customHeight="1" x14ac:dyDescent="0.2">
      <c r="A292" s="48"/>
      <c r="B292" s="25">
        <v>80105</v>
      </c>
      <c r="C292" s="26"/>
      <c r="D292" s="50" t="s">
        <v>163</v>
      </c>
      <c r="E292" s="37">
        <v>946073.52</v>
      </c>
      <c r="F292" s="37">
        <f>SUM(F293,F298)</f>
        <v>109148</v>
      </c>
      <c r="G292" s="37">
        <f>SUM(G293,G298)</f>
        <v>7000</v>
      </c>
      <c r="H292" s="38">
        <f>SUM(E292+F292-G292)</f>
        <v>1048221.52</v>
      </c>
    </row>
    <row r="293" spans="1:8" s="16" customFormat="1" ht="12" customHeight="1" x14ac:dyDescent="0.2">
      <c r="A293" s="48"/>
      <c r="B293" s="25"/>
      <c r="C293" s="26"/>
      <c r="D293" s="484" t="s">
        <v>139</v>
      </c>
      <c r="E293" s="478">
        <v>882018</v>
      </c>
      <c r="F293" s="478">
        <f>SUM(F294:F297)</f>
        <v>106500</v>
      </c>
      <c r="G293" s="478">
        <f>SUM(G294:G297)</f>
        <v>7000</v>
      </c>
      <c r="H293" s="478">
        <f t="shared" ref="H293:H297" si="64">SUM(E293+F293-G293)</f>
        <v>981518</v>
      </c>
    </row>
    <row r="294" spans="1:8" s="16" customFormat="1" ht="12" customHeight="1" x14ac:dyDescent="0.2">
      <c r="A294" s="48"/>
      <c r="B294" s="25"/>
      <c r="C294" s="83">
        <v>4010</v>
      </c>
      <c r="D294" s="40" t="s">
        <v>141</v>
      </c>
      <c r="E294" s="41">
        <v>145936</v>
      </c>
      <c r="F294" s="41">
        <f>3000</f>
        <v>3000</v>
      </c>
      <c r="G294" s="41"/>
      <c r="H294" s="52">
        <f t="shared" si="64"/>
        <v>148936</v>
      </c>
    </row>
    <row r="295" spans="1:8" s="16" customFormat="1" ht="12" customHeight="1" x14ac:dyDescent="0.2">
      <c r="A295" s="48"/>
      <c r="B295" s="25"/>
      <c r="C295" s="83">
        <v>4110</v>
      </c>
      <c r="D295" s="40" t="s">
        <v>117</v>
      </c>
      <c r="E295" s="118">
        <v>119853</v>
      </c>
      <c r="F295" s="41">
        <f>7000</f>
        <v>7000</v>
      </c>
      <c r="G295" s="41"/>
      <c r="H295" s="52">
        <f t="shared" si="64"/>
        <v>126853</v>
      </c>
    </row>
    <row r="296" spans="1:8" s="16" customFormat="1" ht="12" customHeight="1" x14ac:dyDescent="0.2">
      <c r="A296" s="48"/>
      <c r="B296" s="25"/>
      <c r="C296" s="83">
        <v>4260</v>
      </c>
      <c r="D296" s="40" t="s">
        <v>98</v>
      </c>
      <c r="E296" s="118">
        <v>29000</v>
      </c>
      <c r="F296" s="41"/>
      <c r="G296" s="41">
        <f>7000</f>
        <v>7000</v>
      </c>
      <c r="H296" s="52">
        <f t="shared" si="64"/>
        <v>22000</v>
      </c>
    </row>
    <row r="297" spans="1:8" s="16" customFormat="1" ht="12" customHeight="1" x14ac:dyDescent="0.2">
      <c r="A297" s="48"/>
      <c r="B297" s="25"/>
      <c r="C297" s="55">
        <v>4790</v>
      </c>
      <c r="D297" s="119" t="s">
        <v>147</v>
      </c>
      <c r="E297" s="41">
        <v>469276</v>
      </c>
      <c r="F297" s="41">
        <f>96500</f>
        <v>96500</v>
      </c>
      <c r="G297" s="41"/>
      <c r="H297" s="52">
        <f t="shared" si="64"/>
        <v>565776</v>
      </c>
    </row>
    <row r="298" spans="1:8" s="16" customFormat="1" ht="22.5" customHeight="1" x14ac:dyDescent="0.2">
      <c r="A298" s="48"/>
      <c r="B298" s="55"/>
      <c r="C298" s="26"/>
      <c r="D298" s="479" t="s">
        <v>148</v>
      </c>
      <c r="E298" s="478">
        <v>64055.519999999997</v>
      </c>
      <c r="F298" s="478">
        <f>SUM(F299:F300)</f>
        <v>2648</v>
      </c>
      <c r="G298" s="478">
        <f>SUM(G299:G300)</f>
        <v>0</v>
      </c>
      <c r="H298" s="53">
        <f>SUM(E298+F298-G298)</f>
        <v>66703.51999999999</v>
      </c>
    </row>
    <row r="299" spans="1:8" s="16" customFormat="1" ht="24" customHeight="1" x14ac:dyDescent="0.2">
      <c r="A299" s="48"/>
      <c r="B299" s="55"/>
      <c r="C299" s="61" t="s">
        <v>149</v>
      </c>
      <c r="D299" s="104" t="s">
        <v>150</v>
      </c>
      <c r="E299" s="41">
        <v>61342.52</v>
      </c>
      <c r="F299" s="41">
        <f>2148</f>
        <v>2148</v>
      </c>
      <c r="G299" s="41"/>
      <c r="H299" s="68">
        <f t="shared" ref="H299:H300" si="65">SUM(E299+F299-G299)</f>
        <v>63490.52</v>
      </c>
    </row>
    <row r="300" spans="1:8" s="16" customFormat="1" ht="12" customHeight="1" x14ac:dyDescent="0.2">
      <c r="A300" s="48"/>
      <c r="B300" s="55"/>
      <c r="C300" s="42" t="s">
        <v>151</v>
      </c>
      <c r="D300" s="25" t="s">
        <v>152</v>
      </c>
      <c r="E300" s="41">
        <v>1413</v>
      </c>
      <c r="F300" s="41">
        <f>500</f>
        <v>500</v>
      </c>
      <c r="G300" s="41"/>
      <c r="H300" s="68">
        <f t="shared" si="65"/>
        <v>1913</v>
      </c>
    </row>
    <row r="301" spans="1:8" s="16" customFormat="1" ht="12" customHeight="1" x14ac:dyDescent="0.2">
      <c r="A301" s="48"/>
      <c r="B301" s="35">
        <v>80106</v>
      </c>
      <c r="C301" s="58"/>
      <c r="D301" s="73" t="s">
        <v>164</v>
      </c>
      <c r="E301" s="38">
        <v>107273.65</v>
      </c>
      <c r="F301" s="37">
        <f>SUM(F302)</f>
        <v>4500</v>
      </c>
      <c r="G301" s="37">
        <f>SUM(G302)</f>
        <v>0</v>
      </c>
      <c r="H301" s="38">
        <f>SUM(E301+F301-G301)</f>
        <v>111773.65</v>
      </c>
    </row>
    <row r="302" spans="1:8" s="16" customFormat="1" ht="12" customHeight="1" x14ac:dyDescent="0.2">
      <c r="A302" s="48"/>
      <c r="B302" s="25"/>
      <c r="C302" s="26"/>
      <c r="D302" s="477" t="s">
        <v>137</v>
      </c>
      <c r="E302" s="53">
        <v>107273.65</v>
      </c>
      <c r="F302" s="478">
        <f>SUM(F303:F303)</f>
        <v>4500</v>
      </c>
      <c r="G302" s="478">
        <f>SUM(G303:G303)</f>
        <v>0</v>
      </c>
      <c r="H302" s="478">
        <f t="shared" ref="H302:H303" si="66">SUM(E302+F302-G302)</f>
        <v>111773.65</v>
      </c>
    </row>
    <row r="303" spans="1:8" s="16" customFormat="1" ht="24" customHeight="1" x14ac:dyDescent="0.2">
      <c r="A303" s="48"/>
      <c r="B303" s="25"/>
      <c r="C303" s="83">
        <v>2540</v>
      </c>
      <c r="D303" s="89" t="s">
        <v>162</v>
      </c>
      <c r="E303" s="52">
        <v>105927.7</v>
      </c>
      <c r="F303" s="52">
        <f>4500</f>
        <v>4500</v>
      </c>
      <c r="G303" s="52"/>
      <c r="H303" s="52">
        <f t="shared" si="66"/>
        <v>110427.7</v>
      </c>
    </row>
    <row r="304" spans="1:8" s="16" customFormat="1" ht="12" customHeight="1" x14ac:dyDescent="0.2">
      <c r="A304" s="48"/>
      <c r="B304" s="25">
        <v>80107</v>
      </c>
      <c r="C304" s="26"/>
      <c r="D304" s="73" t="s">
        <v>165</v>
      </c>
      <c r="E304" s="38">
        <v>6850995.1600000001</v>
      </c>
      <c r="F304" s="37">
        <f>SUM(F305)</f>
        <v>92150</v>
      </c>
      <c r="G304" s="37">
        <f>SUM(G305)</f>
        <v>58526</v>
      </c>
      <c r="H304" s="38">
        <f>SUM(E304+F304-G304)</f>
        <v>6884619.1600000001</v>
      </c>
    </row>
    <row r="305" spans="1:8" s="16" customFormat="1" ht="12" customHeight="1" x14ac:dyDescent="0.2">
      <c r="A305" s="48"/>
      <c r="B305" s="48"/>
      <c r="C305" s="26"/>
      <c r="D305" s="484" t="s">
        <v>139</v>
      </c>
      <c r="E305" s="478">
        <v>6850995.1600000001</v>
      </c>
      <c r="F305" s="478">
        <f>SUM(F306:F312)</f>
        <v>92150</v>
      </c>
      <c r="G305" s="478">
        <f>SUM(G306:G312)</f>
        <v>58526</v>
      </c>
      <c r="H305" s="478">
        <f t="shared" ref="H305:H312" si="67">SUM(E305+F305-G305)</f>
        <v>6884619.1600000001</v>
      </c>
    </row>
    <row r="306" spans="1:8" s="16" customFormat="1" ht="21.75" customHeight="1" x14ac:dyDescent="0.2">
      <c r="A306" s="48"/>
      <c r="B306" s="48"/>
      <c r="C306" s="83">
        <v>3040</v>
      </c>
      <c r="D306" s="89" t="s">
        <v>140</v>
      </c>
      <c r="E306" s="41">
        <v>79422.77</v>
      </c>
      <c r="F306" s="41"/>
      <c r="G306" s="41">
        <f>1100</f>
        <v>1100</v>
      </c>
      <c r="H306" s="52">
        <f t="shared" si="67"/>
        <v>78322.77</v>
      </c>
    </row>
    <row r="307" spans="1:8" s="16" customFormat="1" ht="12" customHeight="1" x14ac:dyDescent="0.2">
      <c r="A307" s="48"/>
      <c r="B307" s="48"/>
      <c r="C307" s="55">
        <v>4110</v>
      </c>
      <c r="D307" s="40" t="s">
        <v>117</v>
      </c>
      <c r="E307" s="41">
        <v>939053.1</v>
      </c>
      <c r="F307" s="41">
        <f>3000</f>
        <v>3000</v>
      </c>
      <c r="G307" s="41">
        <f>1126+32000</f>
        <v>33126</v>
      </c>
      <c r="H307" s="52">
        <f t="shared" si="67"/>
        <v>908927.1</v>
      </c>
    </row>
    <row r="308" spans="1:8" s="16" customFormat="1" ht="12" customHeight="1" x14ac:dyDescent="0.2">
      <c r="A308" s="78"/>
      <c r="B308" s="78"/>
      <c r="C308" s="101">
        <v>4120</v>
      </c>
      <c r="D308" s="50" t="s">
        <v>142</v>
      </c>
      <c r="E308" s="36">
        <v>114265.18</v>
      </c>
      <c r="F308" s="36"/>
      <c r="G308" s="36">
        <f>6000+12000</f>
        <v>18000</v>
      </c>
      <c r="H308" s="37">
        <f t="shared" si="67"/>
        <v>96265.18</v>
      </c>
    </row>
    <row r="309" spans="1:8" s="16" customFormat="1" ht="12" customHeight="1" x14ac:dyDescent="0.2">
      <c r="A309" s="48"/>
      <c r="B309" s="48"/>
      <c r="C309" s="55">
        <v>4210</v>
      </c>
      <c r="D309" s="43" t="s">
        <v>13</v>
      </c>
      <c r="E309" s="41">
        <v>20235</v>
      </c>
      <c r="F309" s="41">
        <f>1500</f>
        <v>1500</v>
      </c>
      <c r="G309" s="41"/>
      <c r="H309" s="52">
        <f t="shared" si="67"/>
        <v>21735</v>
      </c>
    </row>
    <row r="310" spans="1:8" s="16" customFormat="1" ht="12.75" customHeight="1" x14ac:dyDescent="0.2">
      <c r="A310" s="48"/>
      <c r="B310" s="48"/>
      <c r="C310" s="55">
        <v>4300</v>
      </c>
      <c r="D310" s="40" t="s">
        <v>14</v>
      </c>
      <c r="E310" s="41">
        <v>3628</v>
      </c>
      <c r="F310" s="41"/>
      <c r="G310" s="41">
        <f>300</f>
        <v>300</v>
      </c>
      <c r="H310" s="52">
        <f t="shared" si="67"/>
        <v>3328</v>
      </c>
    </row>
    <row r="311" spans="1:8" s="16" customFormat="1" ht="12" customHeight="1" x14ac:dyDescent="0.2">
      <c r="A311" s="48"/>
      <c r="B311" s="48"/>
      <c r="C311" s="35">
        <v>4710</v>
      </c>
      <c r="D311" s="43" t="s">
        <v>111</v>
      </c>
      <c r="E311" s="41">
        <v>34756</v>
      </c>
      <c r="F311" s="41"/>
      <c r="G311" s="41">
        <f>6000</f>
        <v>6000</v>
      </c>
      <c r="H311" s="52">
        <f t="shared" si="67"/>
        <v>28756</v>
      </c>
    </row>
    <row r="312" spans="1:8" s="16" customFormat="1" ht="12" customHeight="1" x14ac:dyDescent="0.2">
      <c r="A312" s="48"/>
      <c r="B312" s="48"/>
      <c r="C312" s="35">
        <v>4790</v>
      </c>
      <c r="D312" s="119" t="s">
        <v>147</v>
      </c>
      <c r="E312" s="41">
        <v>5023866.1100000003</v>
      </c>
      <c r="F312" s="41">
        <f>31000+9650+47000</f>
        <v>87650</v>
      </c>
      <c r="G312" s="41"/>
      <c r="H312" s="52">
        <f t="shared" si="67"/>
        <v>5111516.1100000003</v>
      </c>
    </row>
    <row r="313" spans="1:8" s="16" customFormat="1" ht="12" customHeight="1" x14ac:dyDescent="0.2">
      <c r="A313" s="48"/>
      <c r="B313" s="25">
        <v>80113</v>
      </c>
      <c r="C313" s="26"/>
      <c r="D313" s="73" t="s">
        <v>166</v>
      </c>
      <c r="E313" s="38">
        <v>925077</v>
      </c>
      <c r="F313" s="37">
        <f>SUM(F314)</f>
        <v>24900</v>
      </c>
      <c r="G313" s="37">
        <f>SUM(G314)</f>
        <v>22400</v>
      </c>
      <c r="H313" s="38">
        <f>SUM(E313+F313-G313)</f>
        <v>927577</v>
      </c>
    </row>
    <row r="314" spans="1:8" s="16" customFormat="1" ht="12" customHeight="1" x14ac:dyDescent="0.2">
      <c r="A314" s="48"/>
      <c r="B314" s="48"/>
      <c r="C314" s="26"/>
      <c r="D314" s="484" t="s">
        <v>139</v>
      </c>
      <c r="E314" s="478">
        <v>755077</v>
      </c>
      <c r="F314" s="478">
        <f>SUM(F315:F325)</f>
        <v>24900</v>
      </c>
      <c r="G314" s="478">
        <f>SUM(G315:G325)</f>
        <v>22400</v>
      </c>
      <c r="H314" s="478">
        <f t="shared" ref="H314:H325" si="68">SUM(E314+F314-G314)</f>
        <v>757577</v>
      </c>
    </row>
    <row r="315" spans="1:8" s="16" customFormat="1" ht="12" customHeight="1" x14ac:dyDescent="0.2">
      <c r="A315" s="48"/>
      <c r="B315" s="48"/>
      <c r="C315" s="55">
        <v>4010</v>
      </c>
      <c r="D315" s="40" t="s">
        <v>141</v>
      </c>
      <c r="E315" s="41">
        <v>370422</v>
      </c>
      <c r="F315" s="41">
        <f>14000</f>
        <v>14000</v>
      </c>
      <c r="G315" s="41"/>
      <c r="H315" s="52">
        <f t="shared" si="68"/>
        <v>384422</v>
      </c>
    </row>
    <row r="316" spans="1:8" s="16" customFormat="1" ht="12" customHeight="1" x14ac:dyDescent="0.2">
      <c r="A316" s="48"/>
      <c r="B316" s="47"/>
      <c r="C316" s="55">
        <v>4110</v>
      </c>
      <c r="D316" s="40" t="s">
        <v>117</v>
      </c>
      <c r="E316" s="41">
        <v>88851</v>
      </c>
      <c r="F316" s="41"/>
      <c r="G316" s="41">
        <f>4000</f>
        <v>4000</v>
      </c>
      <c r="H316" s="52">
        <f t="shared" si="68"/>
        <v>84851</v>
      </c>
    </row>
    <row r="317" spans="1:8" s="16" customFormat="1" ht="12" customHeight="1" x14ac:dyDescent="0.2">
      <c r="A317" s="48"/>
      <c r="B317" s="47"/>
      <c r="C317" s="55">
        <v>4120</v>
      </c>
      <c r="D317" s="40" t="s">
        <v>142</v>
      </c>
      <c r="E317" s="41">
        <v>12229</v>
      </c>
      <c r="F317" s="41"/>
      <c r="G317" s="41">
        <f>1000</f>
        <v>1000</v>
      </c>
      <c r="H317" s="52">
        <f t="shared" si="68"/>
        <v>11229</v>
      </c>
    </row>
    <row r="318" spans="1:8" s="16" customFormat="1" ht="12" customHeight="1" x14ac:dyDescent="0.2">
      <c r="A318" s="48"/>
      <c r="B318" s="47"/>
      <c r="C318" s="83">
        <v>4210</v>
      </c>
      <c r="D318" s="43" t="s">
        <v>13</v>
      </c>
      <c r="E318" s="118">
        <v>114510</v>
      </c>
      <c r="F318" s="41">
        <f>10900</f>
        <v>10900</v>
      </c>
      <c r="G318" s="41"/>
      <c r="H318" s="52">
        <f t="shared" si="68"/>
        <v>125410</v>
      </c>
    </row>
    <row r="319" spans="1:8" s="16" customFormat="1" ht="12" customHeight="1" x14ac:dyDescent="0.2">
      <c r="A319" s="48"/>
      <c r="B319" s="47"/>
      <c r="C319" s="83">
        <v>4260</v>
      </c>
      <c r="D319" s="40" t="s">
        <v>98</v>
      </c>
      <c r="E319" s="118">
        <v>9034</v>
      </c>
      <c r="F319" s="41"/>
      <c r="G319" s="41">
        <f>6500</f>
        <v>6500</v>
      </c>
      <c r="H319" s="52">
        <f t="shared" si="68"/>
        <v>2534</v>
      </c>
    </row>
    <row r="320" spans="1:8" s="16" customFormat="1" ht="12" customHeight="1" x14ac:dyDescent="0.2">
      <c r="A320" s="48"/>
      <c r="B320" s="47"/>
      <c r="C320" s="83">
        <v>4270</v>
      </c>
      <c r="D320" s="40" t="s">
        <v>95</v>
      </c>
      <c r="E320" s="118">
        <v>32100</v>
      </c>
      <c r="F320" s="41"/>
      <c r="G320" s="41">
        <f>700</f>
        <v>700</v>
      </c>
      <c r="H320" s="52">
        <f t="shared" si="68"/>
        <v>31400</v>
      </c>
    </row>
    <row r="321" spans="1:8" s="16" customFormat="1" ht="12.75" customHeight="1" x14ac:dyDescent="0.2">
      <c r="A321" s="48"/>
      <c r="B321" s="47"/>
      <c r="C321" s="83">
        <v>4280</v>
      </c>
      <c r="D321" s="40" t="s">
        <v>125</v>
      </c>
      <c r="E321" s="118">
        <v>2810</v>
      </c>
      <c r="F321" s="41"/>
      <c r="G321" s="41">
        <f>500</f>
        <v>500</v>
      </c>
      <c r="H321" s="52">
        <f t="shared" si="68"/>
        <v>2310</v>
      </c>
    </row>
    <row r="322" spans="1:8" s="16" customFormat="1" ht="12" customHeight="1" x14ac:dyDescent="0.2">
      <c r="A322" s="48"/>
      <c r="B322" s="47"/>
      <c r="C322" s="83">
        <v>4300</v>
      </c>
      <c r="D322" s="40" t="s">
        <v>14</v>
      </c>
      <c r="E322" s="118">
        <v>35758</v>
      </c>
      <c r="F322" s="41"/>
      <c r="G322" s="41">
        <f>7500</f>
        <v>7500</v>
      </c>
      <c r="H322" s="52">
        <f t="shared" si="68"/>
        <v>28258</v>
      </c>
    </row>
    <row r="323" spans="1:8" s="16" customFormat="1" ht="12" customHeight="1" x14ac:dyDescent="0.2">
      <c r="A323" s="48"/>
      <c r="B323" s="47"/>
      <c r="C323" s="83">
        <v>4430</v>
      </c>
      <c r="D323" s="40" t="s">
        <v>110</v>
      </c>
      <c r="E323" s="118">
        <v>1416</v>
      </c>
      <c r="F323" s="41"/>
      <c r="G323" s="41">
        <f>1200</f>
        <v>1200</v>
      </c>
      <c r="H323" s="52">
        <f t="shared" si="68"/>
        <v>216</v>
      </c>
    </row>
    <row r="324" spans="1:8" s="16" customFormat="1" ht="21.75" customHeight="1" x14ac:dyDescent="0.2">
      <c r="A324" s="48"/>
      <c r="B324" s="47"/>
      <c r="C324" s="83">
        <v>4500</v>
      </c>
      <c r="D324" s="89" t="s">
        <v>167</v>
      </c>
      <c r="E324" s="118">
        <v>2500</v>
      </c>
      <c r="F324" s="41"/>
      <c r="G324" s="41">
        <f>400</f>
        <v>400</v>
      </c>
      <c r="H324" s="52">
        <f t="shared" si="68"/>
        <v>2100</v>
      </c>
    </row>
    <row r="325" spans="1:8" s="16" customFormat="1" ht="12" customHeight="1" x14ac:dyDescent="0.2">
      <c r="A325" s="48"/>
      <c r="B325" s="47"/>
      <c r="C325" s="83">
        <v>4710</v>
      </c>
      <c r="D325" s="43" t="s">
        <v>111</v>
      </c>
      <c r="E325" s="118">
        <v>2109</v>
      </c>
      <c r="F325" s="41"/>
      <c r="G325" s="41">
        <f>600</f>
        <v>600</v>
      </c>
      <c r="H325" s="52">
        <f t="shared" si="68"/>
        <v>1509</v>
      </c>
    </row>
    <row r="326" spans="1:8" s="16" customFormat="1" ht="12.75" customHeight="1" x14ac:dyDescent="0.2">
      <c r="A326" s="48"/>
      <c r="B326" s="25">
        <v>80115</v>
      </c>
      <c r="C326" s="26"/>
      <c r="D326" s="50" t="s">
        <v>168</v>
      </c>
      <c r="E326" s="38">
        <v>66881157.749999993</v>
      </c>
      <c r="F326" s="37">
        <f>SUM(F327,F351,F357)</f>
        <v>153250</v>
      </c>
      <c r="G326" s="37">
        <f>SUM(G327,G351,G357)</f>
        <v>266257</v>
      </c>
      <c r="H326" s="38">
        <f>SUM(E326+F326-G326)</f>
        <v>66768150.749999993</v>
      </c>
    </row>
    <row r="327" spans="1:8" s="16" customFormat="1" ht="12" customHeight="1" x14ac:dyDescent="0.2">
      <c r="A327" s="48"/>
      <c r="B327" s="25"/>
      <c r="C327" s="26"/>
      <c r="D327" s="484" t="s">
        <v>139</v>
      </c>
      <c r="E327" s="478">
        <v>47814870.799999997</v>
      </c>
      <c r="F327" s="478">
        <f>SUM(F328:F350)</f>
        <v>124003</v>
      </c>
      <c r="G327" s="478">
        <f>SUM(G328:G350)</f>
        <v>255773</v>
      </c>
      <c r="H327" s="53">
        <f>SUM(E327+F327-G327)</f>
        <v>47683100.799999997</v>
      </c>
    </row>
    <row r="328" spans="1:8" s="16" customFormat="1" ht="12" customHeight="1" x14ac:dyDescent="0.2">
      <c r="A328" s="48"/>
      <c r="B328" s="25"/>
      <c r="C328" s="55">
        <v>3020</v>
      </c>
      <c r="D328" s="40" t="s">
        <v>115</v>
      </c>
      <c r="E328" s="41">
        <v>112554</v>
      </c>
      <c r="F328" s="41"/>
      <c r="G328" s="41">
        <f>16854</f>
        <v>16854</v>
      </c>
      <c r="H328" s="68">
        <f t="shared" ref="H328:H350" si="69">SUM(E328+F328-G328)</f>
        <v>95700</v>
      </c>
    </row>
    <row r="329" spans="1:8" s="16" customFormat="1" ht="12" customHeight="1" x14ac:dyDescent="0.2">
      <c r="A329" s="48"/>
      <c r="B329" s="25"/>
      <c r="C329" s="83">
        <v>4010</v>
      </c>
      <c r="D329" s="40" t="s">
        <v>141</v>
      </c>
      <c r="E329" s="41">
        <v>6270607</v>
      </c>
      <c r="F329" s="41">
        <f>60400</f>
        <v>60400</v>
      </c>
      <c r="G329" s="41"/>
      <c r="H329" s="68">
        <f t="shared" si="69"/>
        <v>6331007</v>
      </c>
    </row>
    <row r="330" spans="1:8" s="16" customFormat="1" ht="12" customHeight="1" x14ac:dyDescent="0.2">
      <c r="A330" s="48"/>
      <c r="B330" s="25"/>
      <c r="C330" s="55">
        <v>4040</v>
      </c>
      <c r="D330" s="40" t="s">
        <v>116</v>
      </c>
      <c r="E330" s="41">
        <v>415823</v>
      </c>
      <c r="F330" s="41"/>
      <c r="G330" s="41">
        <f>1200</f>
        <v>1200</v>
      </c>
      <c r="H330" s="68">
        <f t="shared" si="69"/>
        <v>414623</v>
      </c>
    </row>
    <row r="331" spans="1:8" s="16" customFormat="1" ht="12" customHeight="1" x14ac:dyDescent="0.2">
      <c r="A331" s="48"/>
      <c r="B331" s="25"/>
      <c r="C331" s="55">
        <v>4110</v>
      </c>
      <c r="D331" s="40" t="s">
        <v>117</v>
      </c>
      <c r="E331" s="41">
        <v>5817125.1900000004</v>
      </c>
      <c r="F331" s="41"/>
      <c r="G331" s="41">
        <f>5000</f>
        <v>5000</v>
      </c>
      <c r="H331" s="68">
        <f t="shared" si="69"/>
        <v>5812125.1900000004</v>
      </c>
    </row>
    <row r="332" spans="1:8" s="16" customFormat="1" ht="12" customHeight="1" x14ac:dyDescent="0.2">
      <c r="A332" s="48"/>
      <c r="B332" s="25"/>
      <c r="C332" s="55">
        <v>4120</v>
      </c>
      <c r="D332" s="40" t="s">
        <v>142</v>
      </c>
      <c r="E332" s="41">
        <v>740747.87</v>
      </c>
      <c r="F332" s="41"/>
      <c r="G332" s="41">
        <f>20000+33600</f>
        <v>53600</v>
      </c>
      <c r="H332" s="68">
        <f t="shared" si="69"/>
        <v>687147.87</v>
      </c>
    </row>
    <row r="333" spans="1:8" s="16" customFormat="1" ht="12" customHeight="1" x14ac:dyDescent="0.2">
      <c r="A333" s="48"/>
      <c r="B333" s="25"/>
      <c r="C333" s="55">
        <v>4130</v>
      </c>
      <c r="D333" s="40" t="s">
        <v>169</v>
      </c>
      <c r="E333" s="41">
        <v>3290</v>
      </c>
      <c r="F333" s="41"/>
      <c r="G333" s="41">
        <f>150</f>
        <v>150</v>
      </c>
      <c r="H333" s="68">
        <f t="shared" si="69"/>
        <v>3140</v>
      </c>
    </row>
    <row r="334" spans="1:8" s="16" customFormat="1" ht="22.5" customHeight="1" x14ac:dyDescent="0.2">
      <c r="A334" s="48"/>
      <c r="B334" s="25"/>
      <c r="C334" s="83">
        <v>4140</v>
      </c>
      <c r="D334" s="104" t="s">
        <v>118</v>
      </c>
      <c r="E334" s="41">
        <v>14500</v>
      </c>
      <c r="F334" s="41"/>
      <c r="G334" s="41">
        <f>5000</f>
        <v>5000</v>
      </c>
      <c r="H334" s="68">
        <f t="shared" si="69"/>
        <v>9500</v>
      </c>
    </row>
    <row r="335" spans="1:8" s="16" customFormat="1" ht="12" customHeight="1" x14ac:dyDescent="0.2">
      <c r="A335" s="48"/>
      <c r="B335" s="25"/>
      <c r="C335" s="83">
        <v>4210</v>
      </c>
      <c r="D335" s="43" t="s">
        <v>13</v>
      </c>
      <c r="E335" s="41">
        <v>280523</v>
      </c>
      <c r="F335" s="41">
        <f>15000+25680</f>
        <v>40680</v>
      </c>
      <c r="G335" s="41"/>
      <c r="H335" s="52">
        <f t="shared" si="69"/>
        <v>321203</v>
      </c>
    </row>
    <row r="336" spans="1:8" s="16" customFormat="1" ht="12" customHeight="1" x14ac:dyDescent="0.2">
      <c r="A336" s="48"/>
      <c r="B336" s="25"/>
      <c r="C336" s="55">
        <v>4240</v>
      </c>
      <c r="D336" s="40" t="s">
        <v>143</v>
      </c>
      <c r="E336" s="41">
        <v>238555</v>
      </c>
      <c r="F336" s="41"/>
      <c r="G336" s="41">
        <f>15000+17912</f>
        <v>32912</v>
      </c>
      <c r="H336" s="68">
        <f t="shared" si="69"/>
        <v>205643</v>
      </c>
    </row>
    <row r="337" spans="1:8" s="16" customFormat="1" ht="12" customHeight="1" x14ac:dyDescent="0.2">
      <c r="A337" s="48"/>
      <c r="B337" s="25"/>
      <c r="C337" s="55">
        <v>4260</v>
      </c>
      <c r="D337" s="40" t="s">
        <v>98</v>
      </c>
      <c r="E337" s="41">
        <v>2974741</v>
      </c>
      <c r="F337" s="41">
        <f>23</f>
        <v>23</v>
      </c>
      <c r="G337" s="41"/>
      <c r="H337" s="68">
        <f t="shared" si="69"/>
        <v>2974764</v>
      </c>
    </row>
    <row r="338" spans="1:8" s="16" customFormat="1" ht="12" customHeight="1" x14ac:dyDescent="0.2">
      <c r="A338" s="48"/>
      <c r="B338" s="25"/>
      <c r="C338" s="55">
        <v>4270</v>
      </c>
      <c r="D338" s="40" t="s">
        <v>95</v>
      </c>
      <c r="E338" s="41">
        <v>178093</v>
      </c>
      <c r="F338" s="41"/>
      <c r="G338" s="41">
        <f>6897</f>
        <v>6897</v>
      </c>
      <c r="H338" s="68">
        <f t="shared" si="69"/>
        <v>171196</v>
      </c>
    </row>
    <row r="339" spans="1:8" s="16" customFormat="1" ht="12" customHeight="1" x14ac:dyDescent="0.2">
      <c r="A339" s="48"/>
      <c r="B339" s="25"/>
      <c r="C339" s="55">
        <v>4280</v>
      </c>
      <c r="D339" s="40" t="s">
        <v>125</v>
      </c>
      <c r="E339" s="41">
        <v>35197</v>
      </c>
      <c r="F339" s="41">
        <f>5000</f>
        <v>5000</v>
      </c>
      <c r="G339" s="41"/>
      <c r="H339" s="68">
        <f t="shared" si="69"/>
        <v>40197</v>
      </c>
    </row>
    <row r="340" spans="1:8" s="16" customFormat="1" ht="12" customHeight="1" x14ac:dyDescent="0.2">
      <c r="A340" s="48"/>
      <c r="B340" s="25"/>
      <c r="C340" s="55">
        <v>4300</v>
      </c>
      <c r="D340" s="40" t="s">
        <v>14</v>
      </c>
      <c r="E340" s="51">
        <v>355806</v>
      </c>
      <c r="F340" s="51">
        <f>15800</f>
        <v>15800</v>
      </c>
      <c r="G340" s="51"/>
      <c r="H340" s="68">
        <f t="shared" si="69"/>
        <v>371606</v>
      </c>
    </row>
    <row r="341" spans="1:8" s="16" customFormat="1" ht="12" customHeight="1" x14ac:dyDescent="0.2">
      <c r="A341" s="48"/>
      <c r="B341" s="25"/>
      <c r="C341" s="55">
        <v>4360</v>
      </c>
      <c r="D341" s="40" t="s">
        <v>109</v>
      </c>
      <c r="E341" s="51">
        <v>26198</v>
      </c>
      <c r="F341" s="51"/>
      <c r="G341" s="51">
        <f>700</f>
        <v>700</v>
      </c>
      <c r="H341" s="68">
        <f t="shared" si="69"/>
        <v>25498</v>
      </c>
    </row>
    <row r="342" spans="1:8" s="16" customFormat="1" ht="22.5" customHeight="1" x14ac:dyDescent="0.2">
      <c r="A342" s="48"/>
      <c r="B342" s="25"/>
      <c r="C342" s="83">
        <v>4390</v>
      </c>
      <c r="D342" s="89" t="s">
        <v>93</v>
      </c>
      <c r="E342" s="51">
        <v>4210</v>
      </c>
      <c r="F342" s="51"/>
      <c r="G342" s="51">
        <f>4210</f>
        <v>4210</v>
      </c>
      <c r="H342" s="68">
        <f t="shared" si="69"/>
        <v>0</v>
      </c>
    </row>
    <row r="343" spans="1:8" s="16" customFormat="1" ht="12" customHeight="1" x14ac:dyDescent="0.2">
      <c r="A343" s="48"/>
      <c r="B343" s="25"/>
      <c r="C343" s="55">
        <v>4410</v>
      </c>
      <c r="D343" s="43" t="s">
        <v>145</v>
      </c>
      <c r="E343" s="51">
        <v>19029</v>
      </c>
      <c r="F343" s="51">
        <f>1300</f>
        <v>1300</v>
      </c>
      <c r="G343" s="51"/>
      <c r="H343" s="68">
        <f t="shared" si="69"/>
        <v>20329</v>
      </c>
    </row>
    <row r="344" spans="1:8" s="16" customFormat="1" ht="12" customHeight="1" x14ac:dyDescent="0.2">
      <c r="A344" s="48"/>
      <c r="B344" s="25"/>
      <c r="C344" s="55">
        <v>4420</v>
      </c>
      <c r="D344" s="43" t="s">
        <v>170</v>
      </c>
      <c r="E344" s="51">
        <v>987</v>
      </c>
      <c r="F344" s="51">
        <f>600</f>
        <v>600</v>
      </c>
      <c r="G344" s="51"/>
      <c r="H344" s="68">
        <f t="shared" si="69"/>
        <v>1587</v>
      </c>
    </row>
    <row r="345" spans="1:8" s="16" customFormat="1" ht="12" customHeight="1" x14ac:dyDescent="0.2">
      <c r="A345" s="48"/>
      <c r="B345" s="25"/>
      <c r="C345" s="55">
        <v>4430</v>
      </c>
      <c r="D345" s="40" t="s">
        <v>110</v>
      </c>
      <c r="E345" s="51">
        <v>23914</v>
      </c>
      <c r="F345" s="51"/>
      <c r="G345" s="51">
        <f>9450</f>
        <v>9450</v>
      </c>
      <c r="H345" s="68">
        <f t="shared" si="69"/>
        <v>14464</v>
      </c>
    </row>
    <row r="346" spans="1:8" s="16" customFormat="1" ht="12" customHeight="1" x14ac:dyDescent="0.2">
      <c r="A346" s="48"/>
      <c r="B346" s="25"/>
      <c r="C346" s="55">
        <v>4530</v>
      </c>
      <c r="D346" s="40" t="s">
        <v>146</v>
      </c>
      <c r="E346" s="51">
        <v>2143</v>
      </c>
      <c r="F346" s="51"/>
      <c r="G346" s="51">
        <f>500</f>
        <v>500</v>
      </c>
      <c r="H346" s="68">
        <f t="shared" si="69"/>
        <v>1643</v>
      </c>
    </row>
    <row r="347" spans="1:8" s="16" customFormat="1" ht="12" customHeight="1" x14ac:dyDescent="0.2">
      <c r="A347" s="48"/>
      <c r="B347" s="25"/>
      <c r="C347" s="55">
        <v>4580</v>
      </c>
      <c r="D347" s="40" t="s">
        <v>105</v>
      </c>
      <c r="E347" s="51">
        <v>990</v>
      </c>
      <c r="F347" s="51">
        <f>200</f>
        <v>200</v>
      </c>
      <c r="G347" s="51"/>
      <c r="H347" s="68">
        <f t="shared" si="69"/>
        <v>1190</v>
      </c>
    </row>
    <row r="348" spans="1:8" s="16" customFormat="1" ht="12" customHeight="1" x14ac:dyDescent="0.2">
      <c r="A348" s="48"/>
      <c r="B348" s="25"/>
      <c r="C348" s="55">
        <v>4610</v>
      </c>
      <c r="D348" s="95" t="s">
        <v>96</v>
      </c>
      <c r="E348" s="51">
        <v>490</v>
      </c>
      <c r="F348" s="51"/>
      <c r="G348" s="51">
        <f>300</f>
        <v>300</v>
      </c>
      <c r="H348" s="68">
        <f t="shared" si="69"/>
        <v>190</v>
      </c>
    </row>
    <row r="349" spans="1:8" s="16" customFormat="1" ht="12" customHeight="1" x14ac:dyDescent="0.2">
      <c r="A349" s="48"/>
      <c r="B349" s="25"/>
      <c r="C349" s="55">
        <v>4710</v>
      </c>
      <c r="D349" s="40" t="s">
        <v>111</v>
      </c>
      <c r="E349" s="51">
        <v>95871.75</v>
      </c>
      <c r="F349" s="51"/>
      <c r="G349" s="51">
        <f>1000</f>
        <v>1000</v>
      </c>
      <c r="H349" s="68">
        <f t="shared" si="69"/>
        <v>94871.75</v>
      </c>
    </row>
    <row r="350" spans="1:8" s="16" customFormat="1" ht="12" customHeight="1" x14ac:dyDescent="0.2">
      <c r="A350" s="48"/>
      <c r="B350" s="25"/>
      <c r="C350" s="35">
        <v>4790</v>
      </c>
      <c r="D350" s="119" t="s">
        <v>147</v>
      </c>
      <c r="E350" s="51">
        <v>26583764</v>
      </c>
      <c r="F350" s="51"/>
      <c r="G350" s="51">
        <f>118000</f>
        <v>118000</v>
      </c>
      <c r="H350" s="68">
        <f t="shared" si="69"/>
        <v>26465764</v>
      </c>
    </row>
    <row r="351" spans="1:8" s="16" customFormat="1" ht="21.75" customHeight="1" x14ac:dyDescent="0.2">
      <c r="A351" s="48"/>
      <c r="B351" s="25"/>
      <c r="C351" s="26"/>
      <c r="D351" s="479" t="s">
        <v>148</v>
      </c>
      <c r="E351" s="478">
        <v>115616.40999999999</v>
      </c>
      <c r="F351" s="478">
        <f>SUM(F352:F356)</f>
        <v>28320</v>
      </c>
      <c r="G351" s="478">
        <f>SUM(G352:G356)</f>
        <v>10484</v>
      </c>
      <c r="H351" s="53">
        <f>SUM(E351+F351-G351)</f>
        <v>133452.40999999997</v>
      </c>
    </row>
    <row r="352" spans="1:8" s="16" customFormat="1" ht="21.75" customHeight="1" x14ac:dyDescent="0.2">
      <c r="A352" s="48"/>
      <c r="B352" s="25"/>
      <c r="C352" s="61" t="s">
        <v>149</v>
      </c>
      <c r="D352" s="104" t="s">
        <v>150</v>
      </c>
      <c r="E352" s="41">
        <v>66123.41</v>
      </c>
      <c r="F352" s="41">
        <f>23240</f>
        <v>23240</v>
      </c>
      <c r="G352" s="41"/>
      <c r="H352" s="68">
        <f t="shared" ref="H352:H364" si="70">SUM(E352+F352-G352)</f>
        <v>89363.41</v>
      </c>
    </row>
    <row r="353" spans="1:8" s="16" customFormat="1" ht="12.75" customHeight="1" x14ac:dyDescent="0.2">
      <c r="A353" s="48"/>
      <c r="B353" s="25"/>
      <c r="C353" s="120" t="s">
        <v>151</v>
      </c>
      <c r="D353" s="121" t="s">
        <v>152</v>
      </c>
      <c r="E353" s="41">
        <v>350</v>
      </c>
      <c r="F353" s="41">
        <f>410</f>
        <v>410</v>
      </c>
      <c r="G353" s="41"/>
      <c r="H353" s="68">
        <f t="shared" si="70"/>
        <v>760</v>
      </c>
    </row>
    <row r="354" spans="1:8" s="16" customFormat="1" ht="22.5" customHeight="1" x14ac:dyDescent="0.2">
      <c r="A354" s="48"/>
      <c r="B354" s="25"/>
      <c r="C354" s="83">
        <v>4750</v>
      </c>
      <c r="D354" s="89" t="s">
        <v>153</v>
      </c>
      <c r="E354" s="41">
        <v>35485.71</v>
      </c>
      <c r="F354" s="41"/>
      <c r="G354" s="41">
        <f>8474</f>
        <v>8474</v>
      </c>
      <c r="H354" s="68">
        <f t="shared" si="70"/>
        <v>27011.71</v>
      </c>
    </row>
    <row r="355" spans="1:8" s="16" customFormat="1" ht="23.25" customHeight="1" x14ac:dyDescent="0.2">
      <c r="A355" s="48"/>
      <c r="B355" s="25"/>
      <c r="C355" s="83">
        <v>4850</v>
      </c>
      <c r="D355" s="89" t="s">
        <v>154</v>
      </c>
      <c r="E355" s="41">
        <v>7767.29</v>
      </c>
      <c r="F355" s="41"/>
      <c r="G355" s="41">
        <f>2010</f>
        <v>2010</v>
      </c>
      <c r="H355" s="68">
        <f t="shared" si="70"/>
        <v>5757.29</v>
      </c>
    </row>
    <row r="356" spans="1:8" s="16" customFormat="1" ht="22.5" customHeight="1" x14ac:dyDescent="0.2">
      <c r="A356" s="48"/>
      <c r="B356" s="25"/>
      <c r="C356" s="83">
        <v>4860</v>
      </c>
      <c r="D356" s="117" t="s">
        <v>155</v>
      </c>
      <c r="E356" s="41">
        <v>5890</v>
      </c>
      <c r="F356" s="41">
        <f>4670</f>
        <v>4670</v>
      </c>
      <c r="G356" s="41"/>
      <c r="H356" s="68">
        <f t="shared" si="70"/>
        <v>10560</v>
      </c>
    </row>
    <row r="357" spans="1:8" s="16" customFormat="1" ht="24" customHeight="1" x14ac:dyDescent="0.2">
      <c r="A357" s="48"/>
      <c r="B357" s="25"/>
      <c r="C357" s="26"/>
      <c r="D357" s="479" t="s">
        <v>156</v>
      </c>
      <c r="E357" s="478">
        <v>899</v>
      </c>
      <c r="F357" s="478">
        <f>SUM(F358)</f>
        <v>927</v>
      </c>
      <c r="G357" s="478">
        <f>SUM(G358)</f>
        <v>0</v>
      </c>
      <c r="H357" s="53">
        <f>SUM(E357+F357-G357)</f>
        <v>1826</v>
      </c>
    </row>
    <row r="358" spans="1:8" s="16" customFormat="1" ht="34.5" customHeight="1" x14ac:dyDescent="0.2">
      <c r="A358" s="78"/>
      <c r="B358" s="79"/>
      <c r="C358" s="125" t="s">
        <v>157</v>
      </c>
      <c r="D358" s="126" t="s">
        <v>158</v>
      </c>
      <c r="E358" s="82">
        <v>899</v>
      </c>
      <c r="F358" s="36">
        <v>927</v>
      </c>
      <c r="G358" s="36"/>
      <c r="H358" s="38">
        <f t="shared" ref="H358" si="71">SUM(E358+F358-G358)</f>
        <v>1826</v>
      </c>
    </row>
    <row r="359" spans="1:8" s="16" customFormat="1" ht="12" customHeight="1" x14ac:dyDescent="0.2">
      <c r="A359" s="48"/>
      <c r="B359" s="25">
        <v>80116</v>
      </c>
      <c r="C359" s="26"/>
      <c r="D359" s="50" t="s">
        <v>171</v>
      </c>
      <c r="E359" s="38">
        <v>7737313.4500000002</v>
      </c>
      <c r="F359" s="37">
        <f>SUM(F360,F362)</f>
        <v>0</v>
      </c>
      <c r="G359" s="37">
        <f>SUM(G360,G362)</f>
        <v>204000</v>
      </c>
      <c r="H359" s="38">
        <f t="shared" si="70"/>
        <v>7533313.4500000002</v>
      </c>
    </row>
    <row r="360" spans="1:8" s="16" customFormat="1" ht="12" customHeight="1" x14ac:dyDescent="0.2">
      <c r="A360" s="48"/>
      <c r="B360" s="25"/>
      <c r="C360" s="26"/>
      <c r="D360" s="477" t="s">
        <v>137</v>
      </c>
      <c r="E360" s="478">
        <v>6666388.4500000002</v>
      </c>
      <c r="F360" s="478">
        <f>SUM(F361:F361)</f>
        <v>0</v>
      </c>
      <c r="G360" s="478">
        <f>SUM(G361:G361)</f>
        <v>200000</v>
      </c>
      <c r="H360" s="478">
        <f t="shared" si="70"/>
        <v>6466388.4500000002</v>
      </c>
    </row>
    <row r="361" spans="1:8" s="16" customFormat="1" ht="21.75" customHeight="1" x14ac:dyDescent="0.2">
      <c r="A361" s="48"/>
      <c r="B361" s="25"/>
      <c r="C361" s="83">
        <v>2540</v>
      </c>
      <c r="D361" s="89" t="s">
        <v>162</v>
      </c>
      <c r="E361" s="41">
        <v>6651583</v>
      </c>
      <c r="F361" s="41"/>
      <c r="G361" s="41">
        <f>200000</f>
        <v>200000</v>
      </c>
      <c r="H361" s="68">
        <f t="shared" si="70"/>
        <v>6451583</v>
      </c>
    </row>
    <row r="362" spans="1:8" s="16" customFormat="1" ht="13.5" customHeight="1" x14ac:dyDescent="0.2">
      <c r="A362" s="48"/>
      <c r="B362" s="25"/>
      <c r="C362" s="83"/>
      <c r="D362" s="484" t="s">
        <v>139</v>
      </c>
      <c r="E362" s="478">
        <v>1070925</v>
      </c>
      <c r="F362" s="478">
        <f>SUM(F363:F364)</f>
        <v>0</v>
      </c>
      <c r="G362" s="478">
        <f>SUM(G363:G364)</f>
        <v>4000</v>
      </c>
      <c r="H362" s="478">
        <f t="shared" si="70"/>
        <v>1066925</v>
      </c>
    </row>
    <row r="363" spans="1:8" s="16" customFormat="1" ht="12" customHeight="1" x14ac:dyDescent="0.2">
      <c r="A363" s="48"/>
      <c r="B363" s="25"/>
      <c r="C363" s="55">
        <v>4110</v>
      </c>
      <c r="D363" s="40" t="s">
        <v>117</v>
      </c>
      <c r="E363" s="41">
        <v>135519</v>
      </c>
      <c r="F363" s="41"/>
      <c r="G363" s="41">
        <f>3000</f>
        <v>3000</v>
      </c>
      <c r="H363" s="52">
        <f t="shared" si="70"/>
        <v>132519</v>
      </c>
    </row>
    <row r="364" spans="1:8" s="16" customFormat="1" ht="11.25" customHeight="1" x14ac:dyDescent="0.2">
      <c r="A364" s="48"/>
      <c r="B364" s="25"/>
      <c r="C364" s="55">
        <v>4120</v>
      </c>
      <c r="D364" s="40" t="s">
        <v>142</v>
      </c>
      <c r="E364" s="41">
        <v>13835</v>
      </c>
      <c r="F364" s="41"/>
      <c r="G364" s="41">
        <f>1000</f>
        <v>1000</v>
      </c>
      <c r="H364" s="52">
        <f t="shared" si="70"/>
        <v>12835</v>
      </c>
    </row>
    <row r="365" spans="1:8" s="16" customFormat="1" ht="13.5" customHeight="1" x14ac:dyDescent="0.2">
      <c r="A365" s="48"/>
      <c r="B365" s="25">
        <v>80117</v>
      </c>
      <c r="C365" s="26"/>
      <c r="D365" s="50" t="s">
        <v>172</v>
      </c>
      <c r="E365" s="36">
        <v>9886173.6799999997</v>
      </c>
      <c r="F365" s="37">
        <f>SUM(F366,F377,F383)</f>
        <v>38080</v>
      </c>
      <c r="G365" s="37">
        <f>SUM(G366,G377,G383)</f>
        <v>17748</v>
      </c>
      <c r="H365" s="38">
        <f>SUM(E365+F365-G365)</f>
        <v>9906505.6799999997</v>
      </c>
    </row>
    <row r="366" spans="1:8" s="16" customFormat="1" ht="13.5" customHeight="1" x14ac:dyDescent="0.2">
      <c r="A366" s="48"/>
      <c r="B366" s="25"/>
      <c r="C366" s="26"/>
      <c r="D366" s="484" t="s">
        <v>139</v>
      </c>
      <c r="E366" s="478">
        <v>7413508.46</v>
      </c>
      <c r="F366" s="478">
        <f>SUM(F367:F376)</f>
        <v>23300</v>
      </c>
      <c r="G366" s="478">
        <f>SUM(G367:G376)</f>
        <v>14014</v>
      </c>
      <c r="H366" s="478">
        <f t="shared" ref="H366:H376" si="72">SUM(E366+F366-G366)</f>
        <v>7422794.46</v>
      </c>
    </row>
    <row r="367" spans="1:8" s="16" customFormat="1" ht="12" customHeight="1" x14ac:dyDescent="0.2">
      <c r="A367" s="48"/>
      <c r="B367" s="25"/>
      <c r="C367" s="55">
        <v>3020</v>
      </c>
      <c r="D367" s="40" t="s">
        <v>115</v>
      </c>
      <c r="E367" s="41">
        <v>14294</v>
      </c>
      <c r="F367" s="41"/>
      <c r="G367" s="41">
        <f>1000</f>
        <v>1000</v>
      </c>
      <c r="H367" s="68">
        <f t="shared" si="72"/>
        <v>13294</v>
      </c>
    </row>
    <row r="368" spans="1:8" s="16" customFormat="1" ht="12" customHeight="1" x14ac:dyDescent="0.2">
      <c r="A368" s="48"/>
      <c r="B368" s="25"/>
      <c r="C368" s="55">
        <v>4040</v>
      </c>
      <c r="D368" s="40" t="s">
        <v>116</v>
      </c>
      <c r="E368" s="41">
        <v>38112</v>
      </c>
      <c r="F368" s="41"/>
      <c r="G368" s="41">
        <f>1200</f>
        <v>1200</v>
      </c>
      <c r="H368" s="68">
        <f t="shared" si="72"/>
        <v>36912</v>
      </c>
    </row>
    <row r="369" spans="1:8" s="16" customFormat="1" ht="12" customHeight="1" x14ac:dyDescent="0.2">
      <c r="A369" s="48"/>
      <c r="B369" s="25"/>
      <c r="C369" s="55">
        <v>4110</v>
      </c>
      <c r="D369" s="40" t="s">
        <v>117</v>
      </c>
      <c r="E369" s="41">
        <v>864872.06</v>
      </c>
      <c r="F369" s="41">
        <f>2400</f>
        <v>2400</v>
      </c>
      <c r="G369" s="41"/>
      <c r="H369" s="68">
        <f t="shared" si="72"/>
        <v>867272.06</v>
      </c>
    </row>
    <row r="370" spans="1:8" s="16" customFormat="1" ht="12" customHeight="1" x14ac:dyDescent="0.2">
      <c r="A370" s="48"/>
      <c r="B370" s="25"/>
      <c r="C370" s="55">
        <v>4120</v>
      </c>
      <c r="D370" s="40" t="s">
        <v>142</v>
      </c>
      <c r="E370" s="41">
        <v>105301.38</v>
      </c>
      <c r="F370" s="41"/>
      <c r="G370" s="41">
        <f>5400</f>
        <v>5400</v>
      </c>
      <c r="H370" s="68">
        <f t="shared" si="72"/>
        <v>99901.38</v>
      </c>
    </row>
    <row r="371" spans="1:8" s="16" customFormat="1" ht="12" customHeight="1" x14ac:dyDescent="0.2">
      <c r="A371" s="48"/>
      <c r="B371" s="25"/>
      <c r="C371" s="55">
        <v>4210</v>
      </c>
      <c r="D371" s="40" t="s">
        <v>13</v>
      </c>
      <c r="E371" s="41">
        <v>42273</v>
      </c>
      <c r="F371" s="41">
        <f>1000</f>
        <v>1000</v>
      </c>
      <c r="G371" s="41"/>
      <c r="H371" s="68">
        <f t="shared" si="72"/>
        <v>43273</v>
      </c>
    </row>
    <row r="372" spans="1:8" s="16" customFormat="1" ht="12" customHeight="1" x14ac:dyDescent="0.2">
      <c r="A372" s="48"/>
      <c r="B372" s="25"/>
      <c r="C372" s="55">
        <v>4240</v>
      </c>
      <c r="D372" s="40" t="s">
        <v>143</v>
      </c>
      <c r="E372" s="41">
        <v>139309</v>
      </c>
      <c r="F372" s="41"/>
      <c r="G372" s="41">
        <f>88</f>
        <v>88</v>
      </c>
      <c r="H372" s="68">
        <f t="shared" si="72"/>
        <v>139221</v>
      </c>
    </row>
    <row r="373" spans="1:8" s="16" customFormat="1" ht="12" customHeight="1" x14ac:dyDescent="0.2">
      <c r="A373" s="48"/>
      <c r="B373" s="25"/>
      <c r="C373" s="55">
        <v>4260</v>
      </c>
      <c r="D373" s="40" t="s">
        <v>98</v>
      </c>
      <c r="E373" s="41">
        <v>715252</v>
      </c>
      <c r="F373" s="41"/>
      <c r="G373" s="41">
        <f>23</f>
        <v>23</v>
      </c>
      <c r="H373" s="68">
        <f t="shared" si="72"/>
        <v>715229</v>
      </c>
    </row>
    <row r="374" spans="1:8" s="16" customFormat="1" ht="12" customHeight="1" x14ac:dyDescent="0.2">
      <c r="A374" s="48"/>
      <c r="B374" s="25"/>
      <c r="C374" s="55">
        <v>4270</v>
      </c>
      <c r="D374" s="40" t="s">
        <v>95</v>
      </c>
      <c r="E374" s="52">
        <v>22422</v>
      </c>
      <c r="F374" s="52"/>
      <c r="G374" s="52">
        <f>3003</f>
        <v>3003</v>
      </c>
      <c r="H374" s="52">
        <f t="shared" si="72"/>
        <v>19419</v>
      </c>
    </row>
    <row r="375" spans="1:8" s="16" customFormat="1" ht="12" customHeight="1" x14ac:dyDescent="0.2">
      <c r="A375" s="48"/>
      <c r="B375" s="25"/>
      <c r="C375" s="55">
        <v>4710</v>
      </c>
      <c r="D375" s="43" t="s">
        <v>111</v>
      </c>
      <c r="E375" s="52">
        <v>26820.63</v>
      </c>
      <c r="F375" s="52"/>
      <c r="G375" s="52">
        <f>3300</f>
        <v>3300</v>
      </c>
      <c r="H375" s="52">
        <f t="shared" si="72"/>
        <v>23520.63</v>
      </c>
    </row>
    <row r="376" spans="1:8" s="16" customFormat="1" ht="12" customHeight="1" x14ac:dyDescent="0.2">
      <c r="A376" s="48"/>
      <c r="B376" s="25"/>
      <c r="C376" s="55">
        <v>4790</v>
      </c>
      <c r="D376" s="119" t="s">
        <v>147</v>
      </c>
      <c r="E376" s="52">
        <v>4125367</v>
      </c>
      <c r="F376" s="52">
        <f>19900</f>
        <v>19900</v>
      </c>
      <c r="G376" s="52"/>
      <c r="H376" s="52">
        <f t="shared" si="72"/>
        <v>4145267</v>
      </c>
    </row>
    <row r="377" spans="1:8" s="16" customFormat="1" ht="24" customHeight="1" x14ac:dyDescent="0.2">
      <c r="A377" s="48"/>
      <c r="B377" s="25"/>
      <c r="C377" s="26"/>
      <c r="D377" s="479" t="s">
        <v>148</v>
      </c>
      <c r="E377" s="478">
        <v>39969</v>
      </c>
      <c r="F377" s="478">
        <f>SUM(F378:F382)</f>
        <v>12302</v>
      </c>
      <c r="G377" s="478">
        <f>SUM(G378:G382)</f>
        <v>3734</v>
      </c>
      <c r="H377" s="53">
        <f>SUM(E377+F377-G377)</f>
        <v>48537</v>
      </c>
    </row>
    <row r="378" spans="1:8" s="16" customFormat="1" ht="23.25" customHeight="1" x14ac:dyDescent="0.2">
      <c r="A378" s="48"/>
      <c r="B378" s="25"/>
      <c r="C378" s="61" t="s">
        <v>149</v>
      </c>
      <c r="D378" s="104" t="s">
        <v>150</v>
      </c>
      <c r="E378" s="41">
        <v>16380</v>
      </c>
      <c r="F378" s="41">
        <f>7302</f>
        <v>7302</v>
      </c>
      <c r="G378" s="41"/>
      <c r="H378" s="68">
        <f t="shared" ref="H378:H382" si="73">SUM(E378+F378-G378)</f>
        <v>23682</v>
      </c>
    </row>
    <row r="379" spans="1:8" s="16" customFormat="1" ht="12.75" customHeight="1" x14ac:dyDescent="0.2">
      <c r="A379" s="48"/>
      <c r="B379" s="25"/>
      <c r="C379" s="61" t="s">
        <v>151</v>
      </c>
      <c r="D379" s="25" t="s">
        <v>152</v>
      </c>
      <c r="E379" s="41">
        <v>200</v>
      </c>
      <c r="F379" s="41">
        <f>330</f>
        <v>330</v>
      </c>
      <c r="G379" s="41"/>
      <c r="H379" s="68">
        <f t="shared" si="73"/>
        <v>530</v>
      </c>
    </row>
    <row r="380" spans="1:8" s="16" customFormat="1" ht="23.25" customHeight="1" x14ac:dyDescent="0.2">
      <c r="A380" s="48"/>
      <c r="B380" s="25"/>
      <c r="C380" s="83">
        <v>4750</v>
      </c>
      <c r="D380" s="89" t="s">
        <v>153</v>
      </c>
      <c r="E380" s="41">
        <v>15444</v>
      </c>
      <c r="F380" s="41"/>
      <c r="G380" s="41">
        <f>3400</f>
        <v>3400</v>
      </c>
      <c r="H380" s="68">
        <f t="shared" si="73"/>
        <v>12044</v>
      </c>
    </row>
    <row r="381" spans="1:8" s="16" customFormat="1" ht="24" customHeight="1" x14ac:dyDescent="0.2">
      <c r="A381" s="48"/>
      <c r="B381" s="25"/>
      <c r="C381" s="83">
        <v>4850</v>
      </c>
      <c r="D381" s="89" t="s">
        <v>154</v>
      </c>
      <c r="E381" s="41">
        <v>3045</v>
      </c>
      <c r="F381" s="41"/>
      <c r="G381" s="41">
        <f>334</f>
        <v>334</v>
      </c>
      <c r="H381" s="68">
        <f t="shared" si="73"/>
        <v>2711</v>
      </c>
    </row>
    <row r="382" spans="1:8" s="16" customFormat="1" ht="24" customHeight="1" x14ac:dyDescent="0.2">
      <c r="A382" s="48"/>
      <c r="B382" s="25"/>
      <c r="C382" s="83">
        <v>4860</v>
      </c>
      <c r="D382" s="89" t="s">
        <v>155</v>
      </c>
      <c r="E382" s="41">
        <v>4900</v>
      </c>
      <c r="F382" s="41">
        <f>4670</f>
        <v>4670</v>
      </c>
      <c r="G382" s="41"/>
      <c r="H382" s="68">
        <f t="shared" si="73"/>
        <v>9570</v>
      </c>
    </row>
    <row r="383" spans="1:8" s="16" customFormat="1" ht="22.5" customHeight="1" x14ac:dyDescent="0.2">
      <c r="A383" s="48"/>
      <c r="B383" s="48"/>
      <c r="C383" s="26"/>
      <c r="D383" s="479" t="s">
        <v>156</v>
      </c>
      <c r="E383" s="478">
        <v>9804.67</v>
      </c>
      <c r="F383" s="478">
        <f>SUM(F384)</f>
        <v>2478</v>
      </c>
      <c r="G383" s="478">
        <f>SUM(G384)</f>
        <v>0</v>
      </c>
      <c r="H383" s="53">
        <f>SUM(E383+F383-G383)</f>
        <v>12282.67</v>
      </c>
    </row>
    <row r="384" spans="1:8" s="16" customFormat="1" ht="36" customHeight="1" x14ac:dyDescent="0.2">
      <c r="A384" s="48"/>
      <c r="B384" s="48"/>
      <c r="C384" s="61" t="s">
        <v>157</v>
      </c>
      <c r="D384" s="104" t="s">
        <v>158</v>
      </c>
      <c r="E384" s="51">
        <v>9804.67</v>
      </c>
      <c r="F384" s="41">
        <v>2478</v>
      </c>
      <c r="G384" s="41"/>
      <c r="H384" s="68">
        <f t="shared" ref="H384" si="74">SUM(E384+F384-G384)</f>
        <v>12282.67</v>
      </c>
    </row>
    <row r="385" spans="1:8" s="16" customFormat="1" ht="12" customHeight="1" x14ac:dyDescent="0.2">
      <c r="A385" s="48"/>
      <c r="B385" s="35">
        <v>80120</v>
      </c>
      <c r="C385" s="58"/>
      <c r="D385" s="73" t="s">
        <v>38</v>
      </c>
      <c r="E385" s="36">
        <v>38115845.380000003</v>
      </c>
      <c r="F385" s="37">
        <f>SUM(F386,F388,F404,F406,F412)</f>
        <v>151117</v>
      </c>
      <c r="G385" s="37">
        <f>SUM(G386,G388,G404,G406,G412)</f>
        <v>153939</v>
      </c>
      <c r="H385" s="38">
        <f>SUM(E385+F385-G385)</f>
        <v>38113023.380000003</v>
      </c>
    </row>
    <row r="386" spans="1:8" s="16" customFormat="1" ht="12" customHeight="1" x14ac:dyDescent="0.2">
      <c r="A386" s="48"/>
      <c r="B386" s="35"/>
      <c r="C386" s="26"/>
      <c r="D386" s="477" t="s">
        <v>137</v>
      </c>
      <c r="E386" s="478">
        <v>6755230.1000000006</v>
      </c>
      <c r="F386" s="478">
        <f>SUM(F387:F387)</f>
        <v>0</v>
      </c>
      <c r="G386" s="478">
        <f>SUM(G387:G387)</f>
        <v>26500</v>
      </c>
      <c r="H386" s="478">
        <f t="shared" ref="H386:H387" si="75">SUM(E386+F386-G386)</f>
        <v>6728730.1000000006</v>
      </c>
    </row>
    <row r="387" spans="1:8" s="16" customFormat="1" ht="23.25" customHeight="1" x14ac:dyDescent="0.2">
      <c r="A387" s="48"/>
      <c r="B387" s="35"/>
      <c r="C387" s="83">
        <v>2540</v>
      </c>
      <c r="D387" s="89" t="s">
        <v>162</v>
      </c>
      <c r="E387" s="52">
        <v>3213811</v>
      </c>
      <c r="F387" s="52"/>
      <c r="G387" s="52">
        <f>26500</f>
        <v>26500</v>
      </c>
      <c r="H387" s="52">
        <f t="shared" si="75"/>
        <v>3187311</v>
      </c>
    </row>
    <row r="388" spans="1:8" s="16" customFormat="1" ht="11.45" customHeight="1" x14ac:dyDescent="0.2">
      <c r="A388" s="48"/>
      <c r="B388" s="48"/>
      <c r="C388" s="26"/>
      <c r="D388" s="484" t="s">
        <v>139</v>
      </c>
      <c r="E388" s="478">
        <v>30891085.130000003</v>
      </c>
      <c r="F388" s="478">
        <f>SUM(F389:F403)</f>
        <v>92723</v>
      </c>
      <c r="G388" s="478">
        <f>SUM(G389:G403)</f>
        <v>127439</v>
      </c>
      <c r="H388" s="478">
        <f>SUM(E388+F388-G388)</f>
        <v>30856369.130000003</v>
      </c>
    </row>
    <row r="389" spans="1:8" s="16" customFormat="1" ht="11.45" customHeight="1" x14ac:dyDescent="0.2">
      <c r="A389" s="48"/>
      <c r="B389" s="48"/>
      <c r="C389" s="55">
        <v>3020</v>
      </c>
      <c r="D389" s="40" t="s">
        <v>115</v>
      </c>
      <c r="E389" s="41">
        <v>34114</v>
      </c>
      <c r="F389" s="41"/>
      <c r="G389" s="41">
        <f>1800</f>
        <v>1800</v>
      </c>
      <c r="H389" s="52">
        <f t="shared" ref="H389:H405" si="76">SUM(E389+F389-G389)</f>
        <v>32314</v>
      </c>
    </row>
    <row r="390" spans="1:8" s="16" customFormat="1" ht="21.75" customHeight="1" x14ac:dyDescent="0.2">
      <c r="A390" s="48"/>
      <c r="B390" s="48"/>
      <c r="C390" s="83">
        <v>3040</v>
      </c>
      <c r="D390" s="89" t="s">
        <v>140</v>
      </c>
      <c r="E390" s="41">
        <v>237651.33</v>
      </c>
      <c r="F390" s="41">
        <f>1</f>
        <v>1</v>
      </c>
      <c r="G390" s="41"/>
      <c r="H390" s="52">
        <f t="shared" si="76"/>
        <v>237652.33</v>
      </c>
    </row>
    <row r="391" spans="1:8" s="16" customFormat="1" ht="12" customHeight="1" x14ac:dyDescent="0.2">
      <c r="A391" s="48"/>
      <c r="B391" s="48"/>
      <c r="C391" s="55">
        <v>4010</v>
      </c>
      <c r="D391" s="40" t="s">
        <v>141</v>
      </c>
      <c r="E391" s="41">
        <v>3456861</v>
      </c>
      <c r="F391" s="41"/>
      <c r="G391" s="41">
        <f>5000</f>
        <v>5000</v>
      </c>
      <c r="H391" s="68">
        <f t="shared" si="76"/>
        <v>3451861</v>
      </c>
    </row>
    <row r="392" spans="1:8" s="16" customFormat="1" ht="12" customHeight="1" x14ac:dyDescent="0.2">
      <c r="A392" s="48"/>
      <c r="B392" s="48"/>
      <c r="C392" s="55">
        <v>4110</v>
      </c>
      <c r="D392" s="40" t="s">
        <v>117</v>
      </c>
      <c r="E392" s="41">
        <v>3696050.89</v>
      </c>
      <c r="F392" s="41">
        <v>25400</v>
      </c>
      <c r="G392" s="41">
        <f>60000</f>
        <v>60000</v>
      </c>
      <c r="H392" s="68">
        <f>SUM(E392+F392-G392)</f>
        <v>3661450.89</v>
      </c>
    </row>
    <row r="393" spans="1:8" s="16" customFormat="1" ht="12" customHeight="1" x14ac:dyDescent="0.2">
      <c r="A393" s="48"/>
      <c r="B393" s="48"/>
      <c r="C393" s="55">
        <v>4120</v>
      </c>
      <c r="D393" s="40" t="s">
        <v>142</v>
      </c>
      <c r="E393" s="41">
        <v>463688.28</v>
      </c>
      <c r="F393" s="41"/>
      <c r="G393" s="41">
        <f>48400</f>
        <v>48400</v>
      </c>
      <c r="H393" s="68">
        <f>SUM(E393+F393-G393)</f>
        <v>415288.28</v>
      </c>
    </row>
    <row r="394" spans="1:8" s="16" customFormat="1" ht="12" customHeight="1" x14ac:dyDescent="0.2">
      <c r="A394" s="48"/>
      <c r="B394" s="48"/>
      <c r="C394" s="127">
        <v>4210</v>
      </c>
      <c r="D394" s="128" t="s">
        <v>13</v>
      </c>
      <c r="E394" s="41">
        <v>179467</v>
      </c>
      <c r="F394" s="41">
        <f>7800</f>
        <v>7800</v>
      </c>
      <c r="G394" s="41"/>
      <c r="H394" s="52">
        <f t="shared" si="76"/>
        <v>187267</v>
      </c>
    </row>
    <row r="395" spans="1:8" s="16" customFormat="1" ht="12" customHeight="1" x14ac:dyDescent="0.2">
      <c r="A395" s="48"/>
      <c r="B395" s="48"/>
      <c r="C395" s="55">
        <v>4260</v>
      </c>
      <c r="D395" s="40" t="s">
        <v>98</v>
      </c>
      <c r="E395" s="41">
        <v>2646572</v>
      </c>
      <c r="F395" s="41">
        <f>30000</f>
        <v>30000</v>
      </c>
      <c r="G395" s="41"/>
      <c r="H395" s="68">
        <f t="shared" si="76"/>
        <v>2676572</v>
      </c>
    </row>
    <row r="396" spans="1:8" s="16" customFormat="1" ht="12" customHeight="1" x14ac:dyDescent="0.2">
      <c r="A396" s="48"/>
      <c r="B396" s="48"/>
      <c r="C396" s="55">
        <v>4300</v>
      </c>
      <c r="D396" s="40" t="s">
        <v>14</v>
      </c>
      <c r="E396" s="41">
        <v>251910</v>
      </c>
      <c r="F396" s="41">
        <f>4000</f>
        <v>4000</v>
      </c>
      <c r="G396" s="41"/>
      <c r="H396" s="52">
        <f t="shared" si="76"/>
        <v>255910</v>
      </c>
    </row>
    <row r="397" spans="1:8" s="16" customFormat="1" ht="12" customHeight="1" x14ac:dyDescent="0.2">
      <c r="A397" s="48"/>
      <c r="B397" s="48"/>
      <c r="C397" s="55">
        <v>4360</v>
      </c>
      <c r="D397" s="40" t="s">
        <v>109</v>
      </c>
      <c r="E397" s="41">
        <v>17470</v>
      </c>
      <c r="F397" s="41">
        <f>500</f>
        <v>500</v>
      </c>
      <c r="G397" s="41"/>
      <c r="H397" s="52">
        <f t="shared" si="76"/>
        <v>17970</v>
      </c>
    </row>
    <row r="398" spans="1:8" s="16" customFormat="1" ht="12" customHeight="1" x14ac:dyDescent="0.2">
      <c r="A398" s="48"/>
      <c r="B398" s="48"/>
      <c r="C398" s="55">
        <v>4410</v>
      </c>
      <c r="D398" s="43" t="s">
        <v>145</v>
      </c>
      <c r="E398" s="41">
        <v>8098</v>
      </c>
      <c r="F398" s="41">
        <f>500</f>
        <v>500</v>
      </c>
      <c r="G398" s="41"/>
      <c r="H398" s="52">
        <f t="shared" si="76"/>
        <v>8598</v>
      </c>
    </row>
    <row r="399" spans="1:8" s="16" customFormat="1" ht="12" customHeight="1" x14ac:dyDescent="0.2">
      <c r="A399" s="48"/>
      <c r="B399" s="48"/>
      <c r="C399" s="55">
        <v>4530</v>
      </c>
      <c r="D399" s="40" t="s">
        <v>146</v>
      </c>
      <c r="E399" s="41">
        <v>550</v>
      </c>
      <c r="F399" s="41">
        <f>24</f>
        <v>24</v>
      </c>
      <c r="G399" s="41"/>
      <c r="H399" s="52">
        <f t="shared" si="76"/>
        <v>574</v>
      </c>
    </row>
    <row r="400" spans="1:8" s="16" customFormat="1" ht="12" customHeight="1" x14ac:dyDescent="0.2">
      <c r="A400" s="48"/>
      <c r="B400" s="48"/>
      <c r="C400" s="55">
        <v>4580</v>
      </c>
      <c r="D400" s="40" t="s">
        <v>105</v>
      </c>
      <c r="E400" s="41">
        <v>175</v>
      </c>
      <c r="F400" s="41">
        <f>15</f>
        <v>15</v>
      </c>
      <c r="G400" s="41"/>
      <c r="H400" s="52">
        <f t="shared" si="76"/>
        <v>190</v>
      </c>
    </row>
    <row r="401" spans="1:8" s="16" customFormat="1" ht="12" customHeight="1" x14ac:dyDescent="0.2">
      <c r="A401" s="48"/>
      <c r="B401" s="48"/>
      <c r="C401" s="55">
        <v>4710</v>
      </c>
      <c r="D401" s="43" t="s">
        <v>111</v>
      </c>
      <c r="E401" s="41">
        <v>82386.05</v>
      </c>
      <c r="F401" s="41"/>
      <c r="G401" s="41">
        <f>11809</f>
        <v>11809</v>
      </c>
      <c r="H401" s="52">
        <f t="shared" si="76"/>
        <v>70577.05</v>
      </c>
    </row>
    <row r="402" spans="1:8" s="16" customFormat="1" ht="12" customHeight="1" x14ac:dyDescent="0.2">
      <c r="A402" s="48"/>
      <c r="B402" s="48"/>
      <c r="C402" s="35">
        <v>4790</v>
      </c>
      <c r="D402" s="119" t="s">
        <v>147</v>
      </c>
      <c r="E402" s="41">
        <v>17331976</v>
      </c>
      <c r="F402" s="41">
        <f>24483</f>
        <v>24483</v>
      </c>
      <c r="G402" s="41"/>
      <c r="H402" s="52">
        <f t="shared" si="76"/>
        <v>17356459</v>
      </c>
    </row>
    <row r="403" spans="1:8" s="16" customFormat="1" ht="12" customHeight="1" x14ac:dyDescent="0.2">
      <c r="A403" s="48"/>
      <c r="B403" s="48"/>
      <c r="C403" s="35">
        <v>4800</v>
      </c>
      <c r="D403" s="119" t="s">
        <v>173</v>
      </c>
      <c r="E403" s="41">
        <v>1167050</v>
      </c>
      <c r="F403" s="41"/>
      <c r="G403" s="41">
        <f>430</f>
        <v>430</v>
      </c>
      <c r="H403" s="52">
        <f t="shared" si="76"/>
        <v>1166620</v>
      </c>
    </row>
    <row r="404" spans="1:8" s="16" customFormat="1" ht="24" customHeight="1" x14ac:dyDescent="0.2">
      <c r="A404" s="48"/>
      <c r="B404" s="48"/>
      <c r="C404" s="26"/>
      <c r="D404" s="490" t="s">
        <v>174</v>
      </c>
      <c r="E404" s="478">
        <v>20000</v>
      </c>
      <c r="F404" s="478">
        <f>SUM(F405)</f>
        <v>37120</v>
      </c>
      <c r="G404" s="478">
        <f>SUM(G405:G406)</f>
        <v>0</v>
      </c>
      <c r="H404" s="478">
        <f t="shared" si="76"/>
        <v>57120</v>
      </c>
    </row>
    <row r="405" spans="1:8" s="16" customFormat="1" ht="12" customHeight="1" x14ac:dyDescent="0.2">
      <c r="A405" s="78"/>
      <c r="B405" s="78"/>
      <c r="C405" s="129" t="s">
        <v>102</v>
      </c>
      <c r="D405" s="65" t="s">
        <v>13</v>
      </c>
      <c r="E405" s="36">
        <v>20000</v>
      </c>
      <c r="F405" s="36">
        <v>37120</v>
      </c>
      <c r="G405" s="36"/>
      <c r="H405" s="37">
        <f t="shared" si="76"/>
        <v>57120</v>
      </c>
    </row>
    <row r="406" spans="1:8" s="16" customFormat="1" ht="25.5" customHeight="1" x14ac:dyDescent="0.2">
      <c r="A406" s="48"/>
      <c r="B406" s="25"/>
      <c r="C406" s="26"/>
      <c r="D406" s="479" t="s">
        <v>148</v>
      </c>
      <c r="E406" s="478">
        <v>156412.75</v>
      </c>
      <c r="F406" s="478">
        <f>SUM(F407:F411)</f>
        <v>16938</v>
      </c>
      <c r="G406" s="478">
        <f>SUM(G407:G411)</f>
        <v>0</v>
      </c>
      <c r="H406" s="53">
        <f>SUM(E406+F406-G406)</f>
        <v>173350.75</v>
      </c>
    </row>
    <row r="407" spans="1:8" s="16" customFormat="1" ht="22.5" customHeight="1" x14ac:dyDescent="0.2">
      <c r="A407" s="48"/>
      <c r="B407" s="25"/>
      <c r="C407" s="61" t="s">
        <v>149</v>
      </c>
      <c r="D407" s="104" t="s">
        <v>150</v>
      </c>
      <c r="E407" s="41">
        <v>71156.75</v>
      </c>
      <c r="F407" s="41">
        <f>11708</f>
        <v>11708</v>
      </c>
      <c r="G407" s="41"/>
      <c r="H407" s="68">
        <f t="shared" ref="H407:H411" si="77">SUM(E407+F407-G407)</f>
        <v>82864.75</v>
      </c>
    </row>
    <row r="408" spans="1:8" s="16" customFormat="1" ht="11.45" customHeight="1" x14ac:dyDescent="0.2">
      <c r="A408" s="48"/>
      <c r="B408" s="25"/>
      <c r="C408" s="61" t="s">
        <v>151</v>
      </c>
      <c r="D408" s="25" t="s">
        <v>152</v>
      </c>
      <c r="E408" s="41">
        <v>580</v>
      </c>
      <c r="F408" s="41">
        <f>306</f>
        <v>306</v>
      </c>
      <c r="G408" s="41"/>
      <c r="H408" s="68">
        <f t="shared" si="77"/>
        <v>886</v>
      </c>
    </row>
    <row r="409" spans="1:8" s="16" customFormat="1" ht="23.25" customHeight="1" x14ac:dyDescent="0.2">
      <c r="A409" s="48"/>
      <c r="B409" s="25"/>
      <c r="C409" s="83">
        <v>4750</v>
      </c>
      <c r="D409" s="89" t="s">
        <v>153</v>
      </c>
      <c r="E409" s="41">
        <v>57635</v>
      </c>
      <c r="F409" s="41">
        <f>3202</f>
        <v>3202</v>
      </c>
      <c r="G409" s="41"/>
      <c r="H409" s="68">
        <f t="shared" si="77"/>
        <v>60837</v>
      </c>
    </row>
    <row r="410" spans="1:8" s="16" customFormat="1" ht="24" customHeight="1" x14ac:dyDescent="0.2">
      <c r="A410" s="48"/>
      <c r="B410" s="25"/>
      <c r="C410" s="83">
        <v>4850</v>
      </c>
      <c r="D410" s="89" t="s">
        <v>154</v>
      </c>
      <c r="E410" s="41">
        <v>12541</v>
      </c>
      <c r="F410" s="41">
        <f>476</f>
        <v>476</v>
      </c>
      <c r="G410" s="41"/>
      <c r="H410" s="68">
        <f t="shared" si="77"/>
        <v>13017</v>
      </c>
    </row>
    <row r="411" spans="1:8" s="16" customFormat="1" ht="22.5" customHeight="1" x14ac:dyDescent="0.2">
      <c r="A411" s="48"/>
      <c r="B411" s="25"/>
      <c r="C411" s="83">
        <v>4860</v>
      </c>
      <c r="D411" s="89" t="s">
        <v>155</v>
      </c>
      <c r="E411" s="41">
        <v>14500</v>
      </c>
      <c r="F411" s="41">
        <f>1246</f>
        <v>1246</v>
      </c>
      <c r="G411" s="41"/>
      <c r="H411" s="68">
        <f t="shared" si="77"/>
        <v>15746</v>
      </c>
    </row>
    <row r="412" spans="1:8" s="16" customFormat="1" ht="22.5" customHeight="1" x14ac:dyDescent="0.2">
      <c r="A412" s="48"/>
      <c r="B412" s="25"/>
      <c r="C412" s="26"/>
      <c r="D412" s="479" t="s">
        <v>156</v>
      </c>
      <c r="E412" s="478">
        <v>93117.4</v>
      </c>
      <c r="F412" s="478">
        <f>SUM(F413)</f>
        <v>4336</v>
      </c>
      <c r="G412" s="478">
        <f>SUM(G413)</f>
        <v>0</v>
      </c>
      <c r="H412" s="53">
        <f>SUM(E412+F412-G412)</f>
        <v>97453.4</v>
      </c>
    </row>
    <row r="413" spans="1:8" s="16" customFormat="1" ht="35.25" customHeight="1" x14ac:dyDescent="0.2">
      <c r="A413" s="48"/>
      <c r="B413" s="25"/>
      <c r="C413" s="61" t="s">
        <v>157</v>
      </c>
      <c r="D413" s="104" t="s">
        <v>158</v>
      </c>
      <c r="E413" s="51">
        <v>93117.4</v>
      </c>
      <c r="F413" s="41">
        <v>4336</v>
      </c>
      <c r="G413" s="41"/>
      <c r="H413" s="68">
        <f t="shared" ref="H413" si="78">SUM(E413+F413-G413)</f>
        <v>97453.4</v>
      </c>
    </row>
    <row r="414" spans="1:8" s="16" customFormat="1" ht="11.45" customHeight="1" x14ac:dyDescent="0.2">
      <c r="A414" s="48"/>
      <c r="B414" s="55">
        <v>80132</v>
      </c>
      <c r="C414" s="26"/>
      <c r="D414" s="50" t="s">
        <v>175</v>
      </c>
      <c r="E414" s="37">
        <v>9296595.7799999993</v>
      </c>
      <c r="F414" s="37">
        <f>SUM(F415,F422)</f>
        <v>66508</v>
      </c>
      <c r="G414" s="37">
        <f>SUM(G415,G422)</f>
        <v>154470</v>
      </c>
      <c r="H414" s="38">
        <f>SUM(E414+F414-G414)</f>
        <v>9208633.7799999993</v>
      </c>
    </row>
    <row r="415" spans="1:8" s="16" customFormat="1" ht="12.75" customHeight="1" x14ac:dyDescent="0.2">
      <c r="A415" s="48"/>
      <c r="B415" s="55"/>
      <c r="C415" s="26"/>
      <c r="D415" s="484" t="s">
        <v>139</v>
      </c>
      <c r="E415" s="478">
        <v>6458372</v>
      </c>
      <c r="F415" s="478">
        <f>SUM(F416:F421)</f>
        <v>62470</v>
      </c>
      <c r="G415" s="478">
        <f>SUM(G416:G421)</f>
        <v>154470</v>
      </c>
      <c r="H415" s="478">
        <f t="shared" ref="H415:H421" si="79">SUM(E415+F415-G415)</f>
        <v>6366372</v>
      </c>
    </row>
    <row r="416" spans="1:8" s="16" customFormat="1" ht="12.75" customHeight="1" x14ac:dyDescent="0.2">
      <c r="A416" s="48"/>
      <c r="B416" s="55"/>
      <c r="C416" s="83">
        <v>3020</v>
      </c>
      <c r="D416" s="40" t="s">
        <v>115</v>
      </c>
      <c r="E416" s="41">
        <v>4300</v>
      </c>
      <c r="F416" s="41">
        <f>6000</f>
        <v>6000</v>
      </c>
      <c r="G416" s="41"/>
      <c r="H416" s="68">
        <f t="shared" si="79"/>
        <v>10300</v>
      </c>
    </row>
    <row r="417" spans="1:8" s="16" customFormat="1" ht="12.75" customHeight="1" x14ac:dyDescent="0.2">
      <c r="A417" s="48"/>
      <c r="B417" s="55"/>
      <c r="C417" s="55">
        <v>4110</v>
      </c>
      <c r="D417" s="40" t="s">
        <v>117</v>
      </c>
      <c r="E417" s="41">
        <v>824901</v>
      </c>
      <c r="F417" s="41"/>
      <c r="G417" s="41">
        <f>68000</f>
        <v>68000</v>
      </c>
      <c r="H417" s="52">
        <f t="shared" si="79"/>
        <v>756901</v>
      </c>
    </row>
    <row r="418" spans="1:8" s="16" customFormat="1" ht="12.75" customHeight="1" x14ac:dyDescent="0.2">
      <c r="A418" s="48"/>
      <c r="B418" s="55"/>
      <c r="C418" s="55">
        <v>4120</v>
      </c>
      <c r="D418" s="40" t="s">
        <v>142</v>
      </c>
      <c r="E418" s="41">
        <v>111229</v>
      </c>
      <c r="F418" s="41"/>
      <c r="G418" s="41">
        <f>10000+22000</f>
        <v>32000</v>
      </c>
      <c r="H418" s="52">
        <f t="shared" si="79"/>
        <v>79229</v>
      </c>
    </row>
    <row r="419" spans="1:8" s="16" customFormat="1" ht="12.75" customHeight="1" x14ac:dyDescent="0.2">
      <c r="A419" s="48"/>
      <c r="B419" s="55"/>
      <c r="C419" s="55">
        <v>4210</v>
      </c>
      <c r="D419" s="43" t="s">
        <v>13</v>
      </c>
      <c r="E419" s="41">
        <v>32000</v>
      </c>
      <c r="F419" s="41">
        <f>54470</f>
        <v>54470</v>
      </c>
      <c r="G419" s="41"/>
      <c r="H419" s="52">
        <f t="shared" si="79"/>
        <v>86470</v>
      </c>
    </row>
    <row r="420" spans="1:8" s="16" customFormat="1" ht="12.75" customHeight="1" x14ac:dyDescent="0.2">
      <c r="A420" s="48"/>
      <c r="B420" s="55"/>
      <c r="C420" s="35">
        <v>4240</v>
      </c>
      <c r="D420" s="40" t="s">
        <v>143</v>
      </c>
      <c r="E420" s="41">
        <v>89970</v>
      </c>
      <c r="F420" s="41"/>
      <c r="G420" s="41">
        <f>54470</f>
        <v>54470</v>
      </c>
      <c r="H420" s="68">
        <f t="shared" si="79"/>
        <v>35500</v>
      </c>
    </row>
    <row r="421" spans="1:8" s="16" customFormat="1" ht="12.75" customHeight="1" x14ac:dyDescent="0.2">
      <c r="A421" s="48"/>
      <c r="B421" s="55"/>
      <c r="C421" s="35">
        <v>4280</v>
      </c>
      <c r="D421" s="40" t="s">
        <v>125</v>
      </c>
      <c r="E421" s="41">
        <v>6500</v>
      </c>
      <c r="F421" s="41">
        <f>2000</f>
        <v>2000</v>
      </c>
      <c r="G421" s="41"/>
      <c r="H421" s="52">
        <f t="shared" si="79"/>
        <v>8500</v>
      </c>
    </row>
    <row r="422" spans="1:8" s="16" customFormat="1" ht="21" customHeight="1" x14ac:dyDescent="0.2">
      <c r="A422" s="48"/>
      <c r="B422" s="55"/>
      <c r="C422" s="26"/>
      <c r="D422" s="479" t="s">
        <v>148</v>
      </c>
      <c r="E422" s="478">
        <v>58223.78</v>
      </c>
      <c r="F422" s="478">
        <f>SUM(F423:F426)</f>
        <v>4038</v>
      </c>
      <c r="G422" s="478">
        <f>SUM(G423:G426)</f>
        <v>0</v>
      </c>
      <c r="H422" s="53">
        <f>SUM(E422+F422-G422)</f>
        <v>62261.78</v>
      </c>
    </row>
    <row r="423" spans="1:8" s="16" customFormat="1" ht="22.5" x14ac:dyDescent="0.2">
      <c r="A423" s="48"/>
      <c r="B423" s="55"/>
      <c r="C423" s="61" t="s">
        <v>149</v>
      </c>
      <c r="D423" s="104" t="s">
        <v>150</v>
      </c>
      <c r="E423" s="41">
        <v>25591.78</v>
      </c>
      <c r="F423" s="41">
        <f>728</f>
        <v>728</v>
      </c>
      <c r="G423" s="41"/>
      <c r="H423" s="68">
        <f t="shared" ref="H423:H426" si="80">SUM(E423+F423-G423)</f>
        <v>26319.78</v>
      </c>
    </row>
    <row r="424" spans="1:8" s="16" customFormat="1" ht="11.25" x14ac:dyDescent="0.2">
      <c r="A424" s="48"/>
      <c r="B424" s="55"/>
      <c r="C424" s="61" t="s">
        <v>151</v>
      </c>
      <c r="D424" s="25" t="s">
        <v>152</v>
      </c>
      <c r="E424" s="41">
        <v>100</v>
      </c>
      <c r="F424" s="41">
        <f>110</f>
        <v>110</v>
      </c>
      <c r="G424" s="41"/>
      <c r="H424" s="68">
        <f t="shared" si="80"/>
        <v>210</v>
      </c>
    </row>
    <row r="425" spans="1:8" s="16" customFormat="1" ht="22.5" x14ac:dyDescent="0.2">
      <c r="A425" s="48"/>
      <c r="B425" s="55"/>
      <c r="C425" s="83">
        <v>4750</v>
      </c>
      <c r="D425" s="89" t="s">
        <v>153</v>
      </c>
      <c r="E425" s="41">
        <v>23737</v>
      </c>
      <c r="F425" s="41">
        <f>600</f>
        <v>600</v>
      </c>
      <c r="G425" s="41"/>
      <c r="H425" s="68">
        <f t="shared" si="80"/>
        <v>24337</v>
      </c>
    </row>
    <row r="426" spans="1:8" s="16" customFormat="1" ht="22.5" x14ac:dyDescent="0.2">
      <c r="A426" s="48"/>
      <c r="B426" s="55"/>
      <c r="C426" s="83">
        <v>4860</v>
      </c>
      <c r="D426" s="89" t="s">
        <v>155</v>
      </c>
      <c r="E426" s="41">
        <v>3500</v>
      </c>
      <c r="F426" s="41">
        <f>2600</f>
        <v>2600</v>
      </c>
      <c r="G426" s="41"/>
      <c r="H426" s="68">
        <f t="shared" si="80"/>
        <v>6100</v>
      </c>
    </row>
    <row r="427" spans="1:8" s="16" customFormat="1" ht="12" customHeight="1" x14ac:dyDescent="0.2">
      <c r="A427" s="48"/>
      <c r="B427" s="25">
        <v>80134</v>
      </c>
      <c r="C427" s="26"/>
      <c r="D427" s="86" t="s">
        <v>176</v>
      </c>
      <c r="E427" s="36">
        <v>11094462.969999999</v>
      </c>
      <c r="F427" s="37">
        <f>SUM(F428,F432)</f>
        <v>384566</v>
      </c>
      <c r="G427" s="37">
        <f>SUM(G428,G432)</f>
        <v>55000</v>
      </c>
      <c r="H427" s="38">
        <f>SUM(E427+F427-G427)</f>
        <v>11424028.969999999</v>
      </c>
    </row>
    <row r="428" spans="1:8" s="16" customFormat="1" ht="12" customHeight="1" x14ac:dyDescent="0.2">
      <c r="A428" s="48"/>
      <c r="B428" s="25"/>
      <c r="C428" s="26"/>
      <c r="D428" s="484" t="s">
        <v>139</v>
      </c>
      <c r="E428" s="478">
        <v>11081241.969999999</v>
      </c>
      <c r="F428" s="478">
        <f>SUM(F429:F431)</f>
        <v>383500</v>
      </c>
      <c r="G428" s="478">
        <f>SUM(G429:G431)</f>
        <v>55000</v>
      </c>
      <c r="H428" s="478">
        <f t="shared" ref="H428:H431" si="81">SUM(E428+F428-G428)</f>
        <v>11409741.969999999</v>
      </c>
    </row>
    <row r="429" spans="1:8" s="16" customFormat="1" ht="11.25" x14ac:dyDescent="0.2">
      <c r="A429" s="48"/>
      <c r="B429" s="25"/>
      <c r="C429" s="55">
        <v>4110</v>
      </c>
      <c r="D429" s="40" t="s">
        <v>117</v>
      </c>
      <c r="E429" s="41">
        <v>1545097</v>
      </c>
      <c r="F429" s="41"/>
      <c r="G429" s="41">
        <f>45000</f>
        <v>45000</v>
      </c>
      <c r="H429" s="52">
        <f t="shared" si="81"/>
        <v>1500097</v>
      </c>
    </row>
    <row r="430" spans="1:8" s="16" customFormat="1" ht="11.25" x14ac:dyDescent="0.2">
      <c r="A430" s="48"/>
      <c r="B430" s="25"/>
      <c r="C430" s="55">
        <v>4120</v>
      </c>
      <c r="D430" s="40" t="s">
        <v>142</v>
      </c>
      <c r="E430" s="41">
        <v>193219</v>
      </c>
      <c r="F430" s="41"/>
      <c r="G430" s="41">
        <v>10000</v>
      </c>
      <c r="H430" s="52">
        <f t="shared" si="81"/>
        <v>183219</v>
      </c>
    </row>
    <row r="431" spans="1:8" s="16" customFormat="1" ht="11.25" x14ac:dyDescent="0.2">
      <c r="A431" s="48"/>
      <c r="B431" s="25"/>
      <c r="C431" s="35">
        <v>4790</v>
      </c>
      <c r="D431" s="119" t="s">
        <v>147</v>
      </c>
      <c r="E431" s="41">
        <v>7251390</v>
      </c>
      <c r="F431" s="41">
        <f>383500</f>
        <v>383500</v>
      </c>
      <c r="G431" s="41"/>
      <c r="H431" s="68">
        <f t="shared" si="81"/>
        <v>7634890</v>
      </c>
    </row>
    <row r="432" spans="1:8" s="16" customFormat="1" ht="22.5" x14ac:dyDescent="0.2">
      <c r="A432" s="48"/>
      <c r="B432" s="25"/>
      <c r="C432" s="26"/>
      <c r="D432" s="479" t="s">
        <v>148</v>
      </c>
      <c r="E432" s="478">
        <v>661</v>
      </c>
      <c r="F432" s="478">
        <f>SUM(F433:F433)</f>
        <v>1066</v>
      </c>
      <c r="G432" s="478">
        <f>SUM(G433:G433)</f>
        <v>0</v>
      </c>
      <c r="H432" s="53">
        <f>SUM(E432+F432-G432)</f>
        <v>1727</v>
      </c>
    </row>
    <row r="433" spans="1:8" s="16" customFormat="1" ht="22.5" x14ac:dyDescent="0.2">
      <c r="A433" s="48"/>
      <c r="B433" s="25"/>
      <c r="C433" s="61" t="s">
        <v>149</v>
      </c>
      <c r="D433" s="104" t="s">
        <v>150</v>
      </c>
      <c r="E433" s="41">
        <v>661</v>
      </c>
      <c r="F433" s="41">
        <f>1066</f>
        <v>1066</v>
      </c>
      <c r="G433" s="41"/>
      <c r="H433" s="68">
        <f t="shared" ref="H433" si="82">SUM(E433+F433-G433)</f>
        <v>1727</v>
      </c>
    </row>
    <row r="434" spans="1:8" s="16" customFormat="1" ht="11.25" x14ac:dyDescent="0.2">
      <c r="A434" s="48"/>
      <c r="B434" s="25">
        <v>80140</v>
      </c>
      <c r="C434" s="42"/>
      <c r="D434" s="130" t="s">
        <v>177</v>
      </c>
      <c r="E434" s="63"/>
      <c r="F434" s="76"/>
      <c r="G434" s="76"/>
      <c r="H434" s="63"/>
    </row>
    <row r="435" spans="1:8" s="16" customFormat="1" ht="11.25" x14ac:dyDescent="0.2">
      <c r="A435" s="48"/>
      <c r="B435" s="25"/>
      <c r="C435" s="26"/>
      <c r="D435" s="50" t="s">
        <v>178</v>
      </c>
      <c r="E435" s="38">
        <v>4076487</v>
      </c>
      <c r="F435" s="37">
        <f>SUM(F436)</f>
        <v>16000</v>
      </c>
      <c r="G435" s="37">
        <f>SUM(G436)</f>
        <v>15000</v>
      </c>
      <c r="H435" s="38">
        <f t="shared" ref="H435" si="83">SUM(E435+F435-G435)</f>
        <v>4077487</v>
      </c>
    </row>
    <row r="436" spans="1:8" s="16" customFormat="1" ht="11.25" x14ac:dyDescent="0.2">
      <c r="A436" s="48"/>
      <c r="B436" s="25"/>
      <c r="C436" s="26"/>
      <c r="D436" s="484" t="s">
        <v>139</v>
      </c>
      <c r="E436" s="478">
        <v>4061487</v>
      </c>
      <c r="F436" s="478">
        <f>SUM(F437:F440)</f>
        <v>16000</v>
      </c>
      <c r="G436" s="478">
        <f>SUM(G437:G440)</f>
        <v>15000</v>
      </c>
      <c r="H436" s="53">
        <f>SUM(E436+F436-G436)</f>
        <v>4062487</v>
      </c>
    </row>
    <row r="437" spans="1:8" s="16" customFormat="1" ht="11.25" x14ac:dyDescent="0.2">
      <c r="A437" s="48"/>
      <c r="B437" s="25"/>
      <c r="C437" s="55">
        <v>4110</v>
      </c>
      <c r="D437" s="40" t="s">
        <v>117</v>
      </c>
      <c r="E437" s="41">
        <v>414300</v>
      </c>
      <c r="F437" s="41"/>
      <c r="G437" s="41">
        <f>15000</f>
        <v>15000</v>
      </c>
      <c r="H437" s="52">
        <f t="shared" ref="H437:H440" si="84">SUM(E437+F437-G437)</f>
        <v>399300</v>
      </c>
    </row>
    <row r="438" spans="1:8" s="16" customFormat="1" ht="11.25" x14ac:dyDescent="0.2">
      <c r="A438" s="48"/>
      <c r="B438" s="25"/>
      <c r="C438" s="55">
        <v>4120</v>
      </c>
      <c r="D438" s="40" t="s">
        <v>142</v>
      </c>
      <c r="E438" s="41">
        <v>33773</v>
      </c>
      <c r="F438" s="41">
        <f>1000</f>
        <v>1000</v>
      </c>
      <c r="G438" s="41"/>
      <c r="H438" s="52">
        <f t="shared" si="84"/>
        <v>34773</v>
      </c>
    </row>
    <row r="439" spans="1:8" s="16" customFormat="1" ht="22.5" x14ac:dyDescent="0.2">
      <c r="A439" s="48"/>
      <c r="B439" s="25"/>
      <c r="C439" s="83">
        <v>4140</v>
      </c>
      <c r="D439" s="104" t="s">
        <v>118</v>
      </c>
      <c r="E439" s="41">
        <v>110000</v>
      </c>
      <c r="F439" s="41">
        <f>5000</f>
        <v>5000</v>
      </c>
      <c r="G439" s="41"/>
      <c r="H439" s="68">
        <f t="shared" si="84"/>
        <v>115000</v>
      </c>
    </row>
    <row r="440" spans="1:8" s="16" customFormat="1" ht="11.25" x14ac:dyDescent="0.2">
      <c r="A440" s="48"/>
      <c r="B440" s="25"/>
      <c r="C440" s="55">
        <v>4790</v>
      </c>
      <c r="D440" s="40" t="s">
        <v>179</v>
      </c>
      <c r="E440" s="41">
        <v>1794485</v>
      </c>
      <c r="F440" s="41">
        <f>10000</f>
        <v>10000</v>
      </c>
      <c r="G440" s="41"/>
      <c r="H440" s="68">
        <f t="shared" si="84"/>
        <v>1804485</v>
      </c>
    </row>
    <row r="441" spans="1:8" s="16" customFormat="1" ht="11.25" x14ac:dyDescent="0.2">
      <c r="A441" s="48"/>
      <c r="B441" s="64">
        <v>80146</v>
      </c>
      <c r="C441" s="42"/>
      <c r="D441" s="50" t="s">
        <v>41</v>
      </c>
      <c r="E441" s="38">
        <v>1511972</v>
      </c>
      <c r="F441" s="37">
        <f>SUM(F442,F449)</f>
        <v>40761.68</v>
      </c>
      <c r="G441" s="37">
        <f>SUM(G442,G449)</f>
        <v>37261.68</v>
      </c>
      <c r="H441" s="38">
        <f>SUM(E441+F441-G441)</f>
        <v>1515472</v>
      </c>
    </row>
    <row r="442" spans="1:8" s="16" customFormat="1" ht="11.25" x14ac:dyDescent="0.2">
      <c r="A442" s="48"/>
      <c r="B442" s="25"/>
      <c r="C442" s="26"/>
      <c r="D442" s="484" t="s">
        <v>139</v>
      </c>
      <c r="E442" s="53">
        <v>1398561.73</v>
      </c>
      <c r="F442" s="146">
        <f>SUM(F443:F448)</f>
        <v>40045</v>
      </c>
      <c r="G442" s="146">
        <f>SUM(G443:G448)</f>
        <v>36545</v>
      </c>
      <c r="H442" s="478">
        <f t="shared" ref="H442:H453" si="85">SUM(E442+F442-G442)</f>
        <v>1402061.73</v>
      </c>
    </row>
    <row r="443" spans="1:8" s="16" customFormat="1" ht="11.25" x14ac:dyDescent="0.2">
      <c r="A443" s="48"/>
      <c r="B443" s="25"/>
      <c r="C443" s="55">
        <v>4110</v>
      </c>
      <c r="D443" s="40" t="s">
        <v>117</v>
      </c>
      <c r="E443" s="68">
        <v>53925</v>
      </c>
      <c r="F443" s="51">
        <f>294</f>
        <v>294</v>
      </c>
      <c r="G443" s="51"/>
      <c r="H443" s="52">
        <f t="shared" si="85"/>
        <v>54219</v>
      </c>
    </row>
    <row r="444" spans="1:8" s="16" customFormat="1" ht="11.25" x14ac:dyDescent="0.2">
      <c r="A444" s="48"/>
      <c r="B444" s="25"/>
      <c r="C444" s="55">
        <v>4300</v>
      </c>
      <c r="D444" s="40" t="s">
        <v>14</v>
      </c>
      <c r="E444" s="68">
        <v>250408.67</v>
      </c>
      <c r="F444" s="51">
        <f>23070+13475</f>
        <v>36545</v>
      </c>
      <c r="G444" s="51"/>
      <c r="H444" s="52">
        <f t="shared" si="85"/>
        <v>286953.67000000004</v>
      </c>
    </row>
    <row r="445" spans="1:8" s="16" customFormat="1" ht="11.25" x14ac:dyDescent="0.2">
      <c r="A445" s="48"/>
      <c r="B445" s="25"/>
      <c r="C445" s="55">
        <v>4410</v>
      </c>
      <c r="D445" s="43" t="s">
        <v>145</v>
      </c>
      <c r="E445" s="68">
        <v>64850</v>
      </c>
      <c r="F445" s="51"/>
      <c r="G445" s="51">
        <f>1000+7325</f>
        <v>8325</v>
      </c>
      <c r="H445" s="52">
        <f t="shared" si="85"/>
        <v>56525</v>
      </c>
    </row>
    <row r="446" spans="1:8" s="16" customFormat="1" ht="11.25" x14ac:dyDescent="0.2">
      <c r="A446" s="48"/>
      <c r="B446" s="25"/>
      <c r="C446" s="55">
        <v>4440</v>
      </c>
      <c r="D446" s="40" t="s">
        <v>180</v>
      </c>
      <c r="E446" s="68">
        <v>16970</v>
      </c>
      <c r="F446" s="51">
        <f>1206</f>
        <v>1206</v>
      </c>
      <c r="G446" s="51"/>
      <c r="H446" s="52">
        <f t="shared" si="85"/>
        <v>18176</v>
      </c>
    </row>
    <row r="447" spans="1:8" s="16" customFormat="1" ht="22.5" x14ac:dyDescent="0.2">
      <c r="A447" s="48"/>
      <c r="B447" s="25"/>
      <c r="C447" s="83">
        <v>4700</v>
      </c>
      <c r="D447" s="104" t="s">
        <v>119</v>
      </c>
      <c r="E447" s="68">
        <v>690296.06</v>
      </c>
      <c r="F447" s="51"/>
      <c r="G447" s="51">
        <f>22070+6150</f>
        <v>28220</v>
      </c>
      <c r="H447" s="52">
        <f t="shared" si="85"/>
        <v>662076.06000000006</v>
      </c>
    </row>
    <row r="448" spans="1:8" s="16" customFormat="1" ht="11.25" x14ac:dyDescent="0.2">
      <c r="A448" s="48"/>
      <c r="B448" s="25"/>
      <c r="C448" s="83">
        <v>4790</v>
      </c>
      <c r="D448" s="119" t="s">
        <v>147</v>
      </c>
      <c r="E448" s="68">
        <v>295130</v>
      </c>
      <c r="F448" s="51">
        <f>2000</f>
        <v>2000</v>
      </c>
      <c r="G448" s="51"/>
      <c r="H448" s="52">
        <f t="shared" si="85"/>
        <v>297130</v>
      </c>
    </row>
    <row r="449" spans="1:8" s="16" customFormat="1" ht="11.25" x14ac:dyDescent="0.2">
      <c r="A449" s="48"/>
      <c r="B449" s="25"/>
      <c r="C449" s="96"/>
      <c r="D449" s="484" t="s">
        <v>181</v>
      </c>
      <c r="E449" s="478">
        <v>6200</v>
      </c>
      <c r="F449" s="478">
        <f>SUM(F450:F453)</f>
        <v>716.68</v>
      </c>
      <c r="G449" s="478">
        <f>SUM(G450:G453)</f>
        <v>716.68</v>
      </c>
      <c r="H449" s="478">
        <f t="shared" si="85"/>
        <v>6200</v>
      </c>
    </row>
    <row r="450" spans="1:8" s="16" customFormat="1" ht="11.25" x14ac:dyDescent="0.2">
      <c r="A450" s="48"/>
      <c r="B450" s="25"/>
      <c r="C450" s="55">
        <v>4110</v>
      </c>
      <c r="D450" s="40" t="s">
        <v>117</v>
      </c>
      <c r="E450" s="68">
        <v>120</v>
      </c>
      <c r="F450" s="51">
        <v>692.68</v>
      </c>
      <c r="G450" s="51"/>
      <c r="H450" s="52">
        <f t="shared" si="85"/>
        <v>812.68</v>
      </c>
    </row>
    <row r="451" spans="1:8" s="16" customFormat="1" ht="11.25" x14ac:dyDescent="0.2">
      <c r="A451" s="48"/>
      <c r="B451" s="25"/>
      <c r="C451" s="55">
        <v>4120</v>
      </c>
      <c r="D451" s="40" t="s">
        <v>142</v>
      </c>
      <c r="E451" s="68">
        <v>880</v>
      </c>
      <c r="F451" s="51"/>
      <c r="G451" s="51">
        <v>703.29</v>
      </c>
      <c r="H451" s="52">
        <f t="shared" si="85"/>
        <v>176.71000000000004</v>
      </c>
    </row>
    <row r="452" spans="1:8" s="16" customFormat="1" ht="11.25" x14ac:dyDescent="0.2">
      <c r="A452" s="78"/>
      <c r="B452" s="79"/>
      <c r="C452" s="101">
        <v>4170</v>
      </c>
      <c r="D452" s="50" t="s">
        <v>124</v>
      </c>
      <c r="E452" s="38">
        <v>5200</v>
      </c>
      <c r="F452" s="82"/>
      <c r="G452" s="82">
        <v>13.39</v>
      </c>
      <c r="H452" s="37">
        <f t="shared" si="85"/>
        <v>5186.6099999999997</v>
      </c>
    </row>
    <row r="453" spans="1:8" s="16" customFormat="1" ht="11.25" x14ac:dyDescent="0.2">
      <c r="A453" s="48"/>
      <c r="B453" s="25"/>
      <c r="C453" s="55">
        <v>4710</v>
      </c>
      <c r="D453" s="43" t="s">
        <v>111</v>
      </c>
      <c r="E453" s="118">
        <v>0</v>
      </c>
      <c r="F453" s="52">
        <v>24</v>
      </c>
      <c r="G453" s="68"/>
      <c r="H453" s="52">
        <f t="shared" si="85"/>
        <v>24</v>
      </c>
    </row>
    <row r="454" spans="1:8" s="16" customFormat="1" ht="11.25" x14ac:dyDescent="0.2">
      <c r="A454" s="48" t="s">
        <v>182</v>
      </c>
      <c r="B454" s="25">
        <v>80148</v>
      </c>
      <c r="C454" s="26"/>
      <c r="D454" s="97" t="s">
        <v>183</v>
      </c>
      <c r="E454" s="37">
        <v>4374694</v>
      </c>
      <c r="F454" s="37">
        <f>SUM(F455)</f>
        <v>37320</v>
      </c>
      <c r="G454" s="37">
        <f>SUM(G455)</f>
        <v>54000</v>
      </c>
      <c r="H454" s="38">
        <f>SUM(E454+F454-G454)</f>
        <v>4358014</v>
      </c>
    </row>
    <row r="455" spans="1:8" s="16" customFormat="1" ht="11.25" x14ac:dyDescent="0.2">
      <c r="A455" s="48"/>
      <c r="B455" s="25"/>
      <c r="C455" s="26"/>
      <c r="D455" s="484" t="s">
        <v>139</v>
      </c>
      <c r="E455" s="478">
        <v>4362194</v>
      </c>
      <c r="F455" s="478">
        <f>SUM(F456:F459)</f>
        <v>37320</v>
      </c>
      <c r="G455" s="478">
        <f>SUM(G456:G459)</f>
        <v>54000</v>
      </c>
      <c r="H455" s="478">
        <f t="shared" ref="H455:H459" si="86">SUM(E455+F455-G455)</f>
        <v>4345514</v>
      </c>
    </row>
    <row r="456" spans="1:8" s="16" customFormat="1" ht="11.25" x14ac:dyDescent="0.2">
      <c r="A456" s="48"/>
      <c r="B456" s="25"/>
      <c r="C456" s="42" t="s">
        <v>184</v>
      </c>
      <c r="D456" s="40" t="s">
        <v>141</v>
      </c>
      <c r="E456" s="68">
        <v>3067135</v>
      </c>
      <c r="F456" s="52">
        <f>29620+5000</f>
        <v>34620</v>
      </c>
      <c r="G456" s="52"/>
      <c r="H456" s="52">
        <f t="shared" si="86"/>
        <v>3101755</v>
      </c>
    </row>
    <row r="457" spans="1:8" s="16" customFormat="1" ht="11.25" x14ac:dyDescent="0.2">
      <c r="A457" s="48"/>
      <c r="B457" s="25"/>
      <c r="C457" s="83">
        <v>4110</v>
      </c>
      <c r="D457" s="40" t="s">
        <v>117</v>
      </c>
      <c r="E457" s="41">
        <v>604674</v>
      </c>
      <c r="F457" s="41">
        <f>2700</f>
        <v>2700</v>
      </c>
      <c r="G457" s="41">
        <f>45000</f>
        <v>45000</v>
      </c>
      <c r="H457" s="68">
        <f t="shared" si="86"/>
        <v>562374</v>
      </c>
    </row>
    <row r="458" spans="1:8" s="16" customFormat="1" ht="11.25" x14ac:dyDescent="0.2">
      <c r="A458" s="48"/>
      <c r="B458" s="25"/>
      <c r="C458" s="55">
        <v>4120</v>
      </c>
      <c r="D458" s="40" t="s">
        <v>142</v>
      </c>
      <c r="E458" s="68">
        <v>79677</v>
      </c>
      <c r="F458" s="52"/>
      <c r="G458" s="52">
        <f>500+8000</f>
        <v>8500</v>
      </c>
      <c r="H458" s="52">
        <f t="shared" si="86"/>
        <v>71177</v>
      </c>
    </row>
    <row r="459" spans="1:8" s="16" customFormat="1" ht="11.25" x14ac:dyDescent="0.2">
      <c r="A459" s="48"/>
      <c r="B459" s="25"/>
      <c r="C459" s="55">
        <v>4710</v>
      </c>
      <c r="D459" s="43" t="s">
        <v>111</v>
      </c>
      <c r="E459" s="68">
        <v>15351</v>
      </c>
      <c r="F459" s="52"/>
      <c r="G459" s="52">
        <f>500</f>
        <v>500</v>
      </c>
      <c r="H459" s="52">
        <f t="shared" si="86"/>
        <v>14851</v>
      </c>
    </row>
    <row r="460" spans="1:8" s="16" customFormat="1" ht="11.25" x14ac:dyDescent="0.2">
      <c r="A460" s="48"/>
      <c r="B460" s="25">
        <v>80149</v>
      </c>
      <c r="C460" s="42"/>
      <c r="D460" s="43" t="s">
        <v>185</v>
      </c>
      <c r="E460" s="52"/>
      <c r="F460" s="52"/>
      <c r="G460" s="52"/>
      <c r="H460" s="52"/>
    </row>
    <row r="461" spans="1:8" s="16" customFormat="1" ht="11.25" x14ac:dyDescent="0.2">
      <c r="A461" s="48"/>
      <c r="B461" s="25"/>
      <c r="C461" s="42"/>
      <c r="D461" s="43" t="s">
        <v>186</v>
      </c>
      <c r="E461" s="52"/>
      <c r="F461" s="52"/>
      <c r="G461" s="52"/>
      <c r="H461" s="52"/>
    </row>
    <row r="462" spans="1:8" s="16" customFormat="1" ht="11.25" x14ac:dyDescent="0.2">
      <c r="A462" s="48"/>
      <c r="B462" s="25"/>
      <c r="C462" s="42"/>
      <c r="D462" s="43" t="s">
        <v>187</v>
      </c>
      <c r="E462" s="52"/>
      <c r="F462" s="52"/>
      <c r="G462" s="52"/>
      <c r="H462" s="52"/>
    </row>
    <row r="463" spans="1:8" s="16" customFormat="1" ht="11.25" x14ac:dyDescent="0.2">
      <c r="A463" s="48"/>
      <c r="B463" s="25"/>
      <c r="C463" s="26"/>
      <c r="D463" s="50" t="s">
        <v>188</v>
      </c>
      <c r="E463" s="38">
        <v>6057790.7800000003</v>
      </c>
      <c r="F463" s="37">
        <f>SUM(F464,F467)</f>
        <v>48600</v>
      </c>
      <c r="G463" s="37">
        <f>SUM(G464,G467)</f>
        <v>75400</v>
      </c>
      <c r="H463" s="38">
        <f>SUM(E463+F463-G463)</f>
        <v>6030990.7800000003</v>
      </c>
    </row>
    <row r="464" spans="1:8" s="16" customFormat="1" ht="11.25" x14ac:dyDescent="0.2">
      <c r="A464" s="48"/>
      <c r="B464" s="25"/>
      <c r="C464" s="26"/>
      <c r="D464" s="477" t="s">
        <v>137</v>
      </c>
      <c r="E464" s="478">
        <v>3161152.7800000003</v>
      </c>
      <c r="F464" s="478">
        <f>SUM(F465:F466)</f>
        <v>0</v>
      </c>
      <c r="G464" s="478">
        <f>SUM(G465:G466)</f>
        <v>75000</v>
      </c>
      <c r="H464" s="478">
        <f t="shared" ref="H464:H470" si="87">SUM(E464+F464-G464)</f>
        <v>3086152.7800000003</v>
      </c>
    </row>
    <row r="465" spans="1:8" s="16" customFormat="1" ht="22.5" x14ac:dyDescent="0.2">
      <c r="A465" s="48"/>
      <c r="B465" s="25"/>
      <c r="C465" s="83">
        <v>2540</v>
      </c>
      <c r="D465" s="89" t="s">
        <v>162</v>
      </c>
      <c r="E465" s="52">
        <v>3112418.68</v>
      </c>
      <c r="F465" s="52"/>
      <c r="G465" s="52">
        <f>50493</f>
        <v>50493</v>
      </c>
      <c r="H465" s="52">
        <f t="shared" si="87"/>
        <v>3061925.68</v>
      </c>
    </row>
    <row r="466" spans="1:8" s="16" customFormat="1" ht="32.25" customHeight="1" x14ac:dyDescent="0.2">
      <c r="A466" s="48"/>
      <c r="B466" s="25"/>
      <c r="C466" s="83">
        <v>2590</v>
      </c>
      <c r="D466" s="89" t="s">
        <v>138</v>
      </c>
      <c r="E466" s="41">
        <v>24507</v>
      </c>
      <c r="F466" s="41"/>
      <c r="G466" s="41">
        <f>24507</f>
        <v>24507</v>
      </c>
      <c r="H466" s="51">
        <f t="shared" si="87"/>
        <v>0</v>
      </c>
    </row>
    <row r="467" spans="1:8" s="16" customFormat="1" ht="11.25" x14ac:dyDescent="0.2">
      <c r="A467" s="48"/>
      <c r="B467" s="48"/>
      <c r="C467" s="26"/>
      <c r="D467" s="484" t="s">
        <v>139</v>
      </c>
      <c r="E467" s="478">
        <v>2896638</v>
      </c>
      <c r="F467" s="478">
        <f>SUM(F468:F470)</f>
        <v>48600</v>
      </c>
      <c r="G467" s="478">
        <f>SUM(G468:G470)</f>
        <v>400</v>
      </c>
      <c r="H467" s="478">
        <f t="shared" si="87"/>
        <v>2944838</v>
      </c>
    </row>
    <row r="468" spans="1:8" s="16" customFormat="1" ht="11.25" x14ac:dyDescent="0.2">
      <c r="A468" s="48"/>
      <c r="B468" s="48"/>
      <c r="C468" s="55">
        <v>4110</v>
      </c>
      <c r="D468" s="40" t="s">
        <v>117</v>
      </c>
      <c r="E468" s="68">
        <v>431195</v>
      </c>
      <c r="F468" s="52">
        <f>1500+2100</f>
        <v>3600</v>
      </c>
      <c r="G468" s="52"/>
      <c r="H468" s="52">
        <f t="shared" si="87"/>
        <v>434795</v>
      </c>
    </row>
    <row r="469" spans="1:8" s="16" customFormat="1" ht="11.25" x14ac:dyDescent="0.2">
      <c r="A469" s="48"/>
      <c r="B469" s="48"/>
      <c r="C469" s="55">
        <v>4120</v>
      </c>
      <c r="D469" s="40" t="s">
        <v>142</v>
      </c>
      <c r="E469" s="68">
        <v>57025</v>
      </c>
      <c r="F469" s="52"/>
      <c r="G469" s="52">
        <f>400</f>
        <v>400</v>
      </c>
      <c r="H469" s="52">
        <f t="shared" si="87"/>
        <v>56625</v>
      </c>
    </row>
    <row r="470" spans="1:8" s="16" customFormat="1" ht="11.25" x14ac:dyDescent="0.2">
      <c r="A470" s="48"/>
      <c r="B470" s="48"/>
      <c r="C470" s="35">
        <v>4790</v>
      </c>
      <c r="D470" s="119" t="s">
        <v>147</v>
      </c>
      <c r="E470" s="68">
        <v>2056284</v>
      </c>
      <c r="F470" s="52">
        <f>30000+15000</f>
        <v>45000</v>
      </c>
      <c r="G470" s="52"/>
      <c r="H470" s="52">
        <f t="shared" si="87"/>
        <v>2101284</v>
      </c>
    </row>
    <row r="471" spans="1:8" s="16" customFormat="1" ht="11.25" x14ac:dyDescent="0.2">
      <c r="A471" s="48"/>
      <c r="B471" s="25">
        <v>80150</v>
      </c>
      <c r="C471" s="42"/>
      <c r="D471" s="43" t="s">
        <v>185</v>
      </c>
      <c r="E471" s="52"/>
      <c r="F471" s="52"/>
      <c r="G471" s="52"/>
      <c r="H471" s="52"/>
    </row>
    <row r="472" spans="1:8" s="16" customFormat="1" ht="11.25" x14ac:dyDescent="0.2">
      <c r="A472" s="48"/>
      <c r="B472" s="25"/>
      <c r="C472" s="42"/>
      <c r="D472" s="43" t="s">
        <v>189</v>
      </c>
      <c r="E472" s="52"/>
      <c r="F472" s="52"/>
      <c r="G472" s="52"/>
      <c r="H472" s="52"/>
    </row>
    <row r="473" spans="1:8" s="16" customFormat="1" ht="11.25" x14ac:dyDescent="0.2">
      <c r="A473" s="48"/>
      <c r="B473" s="25"/>
      <c r="C473" s="26"/>
      <c r="D473" s="50" t="s">
        <v>190</v>
      </c>
      <c r="E473" s="38">
        <v>11240842.859999999</v>
      </c>
      <c r="F473" s="37">
        <f>SUM(F474)</f>
        <v>126340</v>
      </c>
      <c r="G473" s="37">
        <f>SUM(G474)</f>
        <v>97200</v>
      </c>
      <c r="H473" s="38">
        <f>SUM(E473+F473-G473)</f>
        <v>11269982.859999999</v>
      </c>
    </row>
    <row r="474" spans="1:8" s="16" customFormat="1" ht="11.25" x14ac:dyDescent="0.2">
      <c r="A474" s="48"/>
      <c r="B474" s="25"/>
      <c r="C474" s="26"/>
      <c r="D474" s="484" t="s">
        <v>139</v>
      </c>
      <c r="E474" s="478">
        <v>10661319.859999999</v>
      </c>
      <c r="F474" s="478">
        <f>SUM(F475:F479)</f>
        <v>126340</v>
      </c>
      <c r="G474" s="478">
        <f>SUM(G475:G479)</f>
        <v>97200</v>
      </c>
      <c r="H474" s="478">
        <f t="shared" ref="H474:H479" si="88">SUM(E474+F474-G474)</f>
        <v>10690459.859999999</v>
      </c>
    </row>
    <row r="475" spans="1:8" s="16" customFormat="1" ht="12" customHeight="1" x14ac:dyDescent="0.2">
      <c r="A475" s="48"/>
      <c r="B475" s="25"/>
      <c r="C475" s="83">
        <v>3020</v>
      </c>
      <c r="D475" s="40" t="s">
        <v>115</v>
      </c>
      <c r="E475" s="41">
        <v>76227</v>
      </c>
      <c r="F475" s="41">
        <f>1300</f>
        <v>1300</v>
      </c>
      <c r="G475" s="41">
        <f>20000</f>
        <v>20000</v>
      </c>
      <c r="H475" s="52">
        <f t="shared" si="88"/>
        <v>57527</v>
      </c>
    </row>
    <row r="476" spans="1:8" s="16" customFormat="1" ht="12" customHeight="1" x14ac:dyDescent="0.2">
      <c r="A476" s="48"/>
      <c r="B476" s="25"/>
      <c r="C476" s="55">
        <v>4110</v>
      </c>
      <c r="D476" s="40" t="s">
        <v>117</v>
      </c>
      <c r="E476" s="68">
        <v>1480103.94</v>
      </c>
      <c r="F476" s="52">
        <f>4000+3500+5500</f>
        <v>13000</v>
      </c>
      <c r="G476" s="52">
        <f>60000</f>
        <v>60000</v>
      </c>
      <c r="H476" s="52">
        <f t="shared" si="88"/>
        <v>1433103.94</v>
      </c>
    </row>
    <row r="477" spans="1:8" s="16" customFormat="1" ht="12" customHeight="1" x14ac:dyDescent="0.2">
      <c r="A477" s="48"/>
      <c r="B477" s="25"/>
      <c r="C477" s="55">
        <v>4120</v>
      </c>
      <c r="D477" s="40" t="s">
        <v>142</v>
      </c>
      <c r="E477" s="68">
        <v>191242.8</v>
      </c>
      <c r="F477" s="52">
        <f>1000+350</f>
        <v>1350</v>
      </c>
      <c r="G477" s="52">
        <f>17000</f>
        <v>17000</v>
      </c>
      <c r="H477" s="52">
        <f t="shared" si="88"/>
        <v>175592.8</v>
      </c>
    </row>
    <row r="478" spans="1:8" s="16" customFormat="1" ht="12" customHeight="1" x14ac:dyDescent="0.2">
      <c r="A478" s="48"/>
      <c r="B478" s="25"/>
      <c r="C478" s="55">
        <v>4710</v>
      </c>
      <c r="D478" s="43" t="s">
        <v>111</v>
      </c>
      <c r="E478" s="41">
        <v>36739.879999999997</v>
      </c>
      <c r="F478" s="41">
        <f>90</f>
        <v>90</v>
      </c>
      <c r="G478" s="41">
        <f>200</f>
        <v>200</v>
      </c>
      <c r="H478" s="52">
        <f t="shared" si="88"/>
        <v>36629.879999999997</v>
      </c>
    </row>
    <row r="479" spans="1:8" s="16" customFormat="1" ht="12" customHeight="1" x14ac:dyDescent="0.2">
      <c r="A479" s="48"/>
      <c r="B479" s="25"/>
      <c r="C479" s="35">
        <v>4790</v>
      </c>
      <c r="D479" s="119" t="s">
        <v>147</v>
      </c>
      <c r="E479" s="41">
        <v>7726533</v>
      </c>
      <c r="F479" s="41">
        <f>32000+10000+68600</f>
        <v>110600</v>
      </c>
      <c r="G479" s="41"/>
      <c r="H479" s="52">
        <f t="shared" si="88"/>
        <v>7837133</v>
      </c>
    </row>
    <row r="480" spans="1:8" s="16" customFormat="1" ht="12" customHeight="1" x14ac:dyDescent="0.2">
      <c r="A480" s="48"/>
      <c r="B480" s="55">
        <v>80151</v>
      </c>
      <c r="C480" s="26"/>
      <c r="D480" s="50" t="s">
        <v>191</v>
      </c>
      <c r="E480" s="36">
        <v>705865</v>
      </c>
      <c r="F480" s="37">
        <f>SUM(F481)</f>
        <v>0</v>
      </c>
      <c r="G480" s="37">
        <f>SUM(G481)</f>
        <v>56000</v>
      </c>
      <c r="H480" s="38">
        <f>SUM(E480+F480-G480)</f>
        <v>649865</v>
      </c>
    </row>
    <row r="481" spans="1:8" s="16" customFormat="1" ht="12" customHeight="1" x14ac:dyDescent="0.2">
      <c r="A481" s="48"/>
      <c r="B481" s="32"/>
      <c r="C481" s="26"/>
      <c r="D481" s="484" t="s">
        <v>139</v>
      </c>
      <c r="E481" s="478">
        <v>695455</v>
      </c>
      <c r="F481" s="478">
        <f>SUM(F482:F484)</f>
        <v>0</v>
      </c>
      <c r="G481" s="478">
        <f>SUM(G482:G484)</f>
        <v>56000</v>
      </c>
      <c r="H481" s="478">
        <f t="shared" ref="H481:H484" si="89">SUM(E481+F481-G481)</f>
        <v>639455</v>
      </c>
    </row>
    <row r="482" spans="1:8" s="16" customFormat="1" ht="12" customHeight="1" x14ac:dyDescent="0.2">
      <c r="A482" s="48"/>
      <c r="B482" s="32"/>
      <c r="C482" s="55">
        <v>4110</v>
      </c>
      <c r="D482" s="40" t="s">
        <v>117</v>
      </c>
      <c r="E482" s="68">
        <v>88427</v>
      </c>
      <c r="F482" s="52"/>
      <c r="G482" s="52">
        <f>30000</f>
        <v>30000</v>
      </c>
      <c r="H482" s="52">
        <f t="shared" si="89"/>
        <v>58427</v>
      </c>
    </row>
    <row r="483" spans="1:8" s="16" customFormat="1" ht="12" customHeight="1" x14ac:dyDescent="0.2">
      <c r="A483" s="48"/>
      <c r="B483" s="32"/>
      <c r="C483" s="55">
        <v>4120</v>
      </c>
      <c r="D483" s="40" t="s">
        <v>142</v>
      </c>
      <c r="E483" s="68">
        <v>7579</v>
      </c>
      <c r="F483" s="52"/>
      <c r="G483" s="52">
        <f>2000</f>
        <v>2000</v>
      </c>
      <c r="H483" s="52">
        <f t="shared" si="89"/>
        <v>5579</v>
      </c>
    </row>
    <row r="484" spans="1:8" s="16" customFormat="1" ht="12" customHeight="1" x14ac:dyDescent="0.2">
      <c r="A484" s="48"/>
      <c r="B484" s="55"/>
      <c r="C484" s="35">
        <v>4790</v>
      </c>
      <c r="D484" s="119" t="s">
        <v>147</v>
      </c>
      <c r="E484" s="68">
        <v>284946</v>
      </c>
      <c r="F484" s="52"/>
      <c r="G484" s="52">
        <f>24000</f>
        <v>24000</v>
      </c>
      <c r="H484" s="52">
        <f t="shared" si="89"/>
        <v>260946</v>
      </c>
    </row>
    <row r="485" spans="1:8" s="16" customFormat="1" ht="12" customHeight="1" x14ac:dyDescent="0.2">
      <c r="A485" s="48"/>
      <c r="B485" s="25">
        <v>80152</v>
      </c>
      <c r="C485" s="42"/>
      <c r="D485" s="43" t="s">
        <v>185</v>
      </c>
      <c r="E485" s="41"/>
      <c r="F485" s="41"/>
      <c r="G485" s="41"/>
      <c r="H485" s="52"/>
    </row>
    <row r="486" spans="1:8" s="16" customFormat="1" ht="12" customHeight="1" x14ac:dyDescent="0.2">
      <c r="A486" s="48"/>
      <c r="B486" s="25"/>
      <c r="C486" s="42"/>
      <c r="D486" s="43" t="s">
        <v>189</v>
      </c>
      <c r="E486" s="41"/>
      <c r="F486" s="41"/>
      <c r="G486" s="41"/>
      <c r="H486" s="52"/>
    </row>
    <row r="487" spans="1:8" s="16" customFormat="1" ht="12" customHeight="1" x14ac:dyDescent="0.2">
      <c r="A487" s="48"/>
      <c r="B487" s="25"/>
      <c r="C487" s="42"/>
      <c r="D487" s="43" t="s">
        <v>192</v>
      </c>
      <c r="E487" s="41"/>
      <c r="F487" s="41"/>
      <c r="G487" s="41"/>
      <c r="H487" s="52"/>
    </row>
    <row r="488" spans="1:8" s="16" customFormat="1" ht="12" customHeight="1" x14ac:dyDescent="0.2">
      <c r="A488" s="48"/>
      <c r="B488" s="25"/>
      <c r="C488" s="42"/>
      <c r="D488" s="64" t="s">
        <v>193</v>
      </c>
      <c r="E488" s="41"/>
      <c r="F488" s="41"/>
      <c r="G488" s="41"/>
      <c r="H488" s="52"/>
    </row>
    <row r="489" spans="1:8" s="16" customFormat="1" ht="12" customHeight="1" x14ac:dyDescent="0.2">
      <c r="A489" s="48"/>
      <c r="B489" s="25"/>
      <c r="C489" s="42"/>
      <c r="D489" s="64" t="s">
        <v>194</v>
      </c>
      <c r="E489" s="41"/>
      <c r="F489" s="41"/>
      <c r="G489" s="41"/>
      <c r="H489" s="52"/>
    </row>
    <row r="490" spans="1:8" s="16" customFormat="1" ht="12" customHeight="1" x14ac:dyDescent="0.2">
      <c r="A490" s="48"/>
      <c r="B490" s="25"/>
      <c r="C490" s="42"/>
      <c r="D490" s="43" t="s">
        <v>195</v>
      </c>
      <c r="E490" s="41"/>
      <c r="F490" s="41"/>
      <c r="G490" s="41"/>
      <c r="H490" s="52"/>
    </row>
    <row r="491" spans="1:8" s="16" customFormat="1" ht="12" customHeight="1" x14ac:dyDescent="0.2">
      <c r="A491" s="48"/>
      <c r="B491" s="25"/>
      <c r="C491" s="42"/>
      <c r="D491" s="64" t="s">
        <v>196</v>
      </c>
      <c r="E491" s="41"/>
      <c r="F491" s="41"/>
      <c r="G491" s="41"/>
      <c r="H491" s="52"/>
    </row>
    <row r="492" spans="1:8" s="16" customFormat="1" ht="12" customHeight="1" x14ac:dyDescent="0.2">
      <c r="A492" s="48"/>
      <c r="B492" s="25"/>
      <c r="C492" s="26"/>
      <c r="D492" s="73" t="s">
        <v>197</v>
      </c>
      <c r="E492" s="36">
        <v>4614135.3</v>
      </c>
      <c r="F492" s="37">
        <f>SUM(F493,F495)</f>
        <v>39000</v>
      </c>
      <c r="G492" s="37">
        <f>SUM(G493,G495)</f>
        <v>155800</v>
      </c>
      <c r="H492" s="38">
        <f>SUM(E492+F492-G492)</f>
        <v>4497335.3</v>
      </c>
    </row>
    <row r="493" spans="1:8" s="16" customFormat="1" ht="11.25" x14ac:dyDescent="0.2">
      <c r="A493" s="48"/>
      <c r="B493" s="25"/>
      <c r="C493" s="26"/>
      <c r="D493" s="477" t="s">
        <v>137</v>
      </c>
      <c r="E493" s="478">
        <v>1003948</v>
      </c>
      <c r="F493" s="478">
        <f>SUM(F494:F494)</f>
        <v>0</v>
      </c>
      <c r="G493" s="478">
        <f>SUM(G494:G494)</f>
        <v>50000</v>
      </c>
      <c r="H493" s="478">
        <f t="shared" ref="H493:H498" si="90">SUM(E493+F493-G493)</f>
        <v>953948</v>
      </c>
    </row>
    <row r="494" spans="1:8" s="16" customFormat="1" ht="33.75" customHeight="1" x14ac:dyDescent="0.2">
      <c r="A494" s="48"/>
      <c r="B494" s="25"/>
      <c r="C494" s="83">
        <v>2590</v>
      </c>
      <c r="D494" s="89" t="s">
        <v>138</v>
      </c>
      <c r="E494" s="41">
        <v>522609</v>
      </c>
      <c r="F494" s="41"/>
      <c r="G494" s="41">
        <f>50000</f>
        <v>50000</v>
      </c>
      <c r="H494" s="51">
        <f t="shared" si="90"/>
        <v>472609</v>
      </c>
    </row>
    <row r="495" spans="1:8" s="16" customFormat="1" ht="11.25" x14ac:dyDescent="0.2">
      <c r="A495" s="48"/>
      <c r="B495" s="32"/>
      <c r="C495" s="26"/>
      <c r="D495" s="484" t="s">
        <v>139</v>
      </c>
      <c r="E495" s="478">
        <v>3610187.3</v>
      </c>
      <c r="F495" s="478">
        <f>SUM(F496:F498)</f>
        <v>39000</v>
      </c>
      <c r="G495" s="478">
        <f>SUM(G496:G498)</f>
        <v>105800</v>
      </c>
      <c r="H495" s="478">
        <f t="shared" si="90"/>
        <v>3543387.3</v>
      </c>
    </row>
    <row r="496" spans="1:8" s="16" customFormat="1" ht="11.25" x14ac:dyDescent="0.2">
      <c r="A496" s="48"/>
      <c r="B496" s="55"/>
      <c r="C496" s="55">
        <v>4110</v>
      </c>
      <c r="D496" s="40" t="s">
        <v>117</v>
      </c>
      <c r="E496" s="68">
        <v>483880.08</v>
      </c>
      <c r="F496" s="52">
        <f>1000</f>
        <v>1000</v>
      </c>
      <c r="G496" s="52">
        <f>10000</f>
        <v>10000</v>
      </c>
      <c r="H496" s="52">
        <f t="shared" si="90"/>
        <v>474880.08</v>
      </c>
    </row>
    <row r="497" spans="1:8" s="16" customFormat="1" ht="11.25" x14ac:dyDescent="0.2">
      <c r="A497" s="48"/>
      <c r="B497" s="55"/>
      <c r="C497" s="55">
        <v>4120</v>
      </c>
      <c r="D497" s="40" t="s">
        <v>142</v>
      </c>
      <c r="E497" s="68">
        <v>64252.38</v>
      </c>
      <c r="F497" s="52"/>
      <c r="G497" s="52">
        <f>5800</f>
        <v>5800</v>
      </c>
      <c r="H497" s="52">
        <f t="shared" si="90"/>
        <v>58452.38</v>
      </c>
    </row>
    <row r="498" spans="1:8" s="16" customFormat="1" ht="11.25" x14ac:dyDescent="0.2">
      <c r="A498" s="48"/>
      <c r="B498" s="55"/>
      <c r="C498" s="35">
        <v>4790</v>
      </c>
      <c r="D498" s="119" t="s">
        <v>147</v>
      </c>
      <c r="E498" s="68">
        <v>2660648.4900000002</v>
      </c>
      <c r="F498" s="52">
        <f>38000</f>
        <v>38000</v>
      </c>
      <c r="G498" s="52">
        <f>90000</f>
        <v>90000</v>
      </c>
      <c r="H498" s="52">
        <f t="shared" si="90"/>
        <v>2608648.4900000002</v>
      </c>
    </row>
    <row r="499" spans="1:8" s="16" customFormat="1" ht="11.25" x14ac:dyDescent="0.2">
      <c r="A499" s="48"/>
      <c r="B499" s="25">
        <v>80153</v>
      </c>
      <c r="C499" s="31"/>
      <c r="D499" s="43" t="s">
        <v>42</v>
      </c>
      <c r="E499" s="63"/>
      <c r="F499" s="63"/>
      <c r="G499" s="63"/>
      <c r="H499" s="63"/>
    </row>
    <row r="500" spans="1:8" s="16" customFormat="1" ht="11.25" x14ac:dyDescent="0.2">
      <c r="A500" s="48"/>
      <c r="B500" s="48"/>
      <c r="C500" s="31"/>
      <c r="D500" s="43" t="s">
        <v>43</v>
      </c>
      <c r="E500" s="63"/>
      <c r="F500" s="63"/>
      <c r="G500" s="63"/>
      <c r="H500" s="63"/>
    </row>
    <row r="501" spans="1:8" s="16" customFormat="1" ht="11.25" x14ac:dyDescent="0.2">
      <c r="A501" s="48"/>
      <c r="B501" s="25"/>
      <c r="C501" s="26"/>
      <c r="D501" s="50" t="s">
        <v>44</v>
      </c>
      <c r="E501" s="38">
        <v>27148.54</v>
      </c>
      <c r="F501" s="38">
        <f>SUM(F502,F504)</f>
        <v>1319.5</v>
      </c>
      <c r="G501" s="38">
        <f>SUM(G502,G504)</f>
        <v>152.10999999999999</v>
      </c>
      <c r="H501" s="38">
        <f t="shared" ref="H501:H506" si="91">SUM(E501+F501-G501)</f>
        <v>28315.93</v>
      </c>
    </row>
    <row r="502" spans="1:8" s="16" customFormat="1" ht="49.5" customHeight="1" x14ac:dyDescent="0.2">
      <c r="A502" s="48"/>
      <c r="B502" s="47"/>
      <c r="C502" s="42"/>
      <c r="D502" s="481" t="s">
        <v>198</v>
      </c>
      <c r="E502" s="53">
        <v>26672.55</v>
      </c>
      <c r="F502" s="480">
        <f>SUM(F503:F503)</f>
        <v>1319.5</v>
      </c>
      <c r="G502" s="480">
        <f>SUM(G503:G503)</f>
        <v>0</v>
      </c>
      <c r="H502" s="53">
        <f t="shared" si="91"/>
        <v>27992.05</v>
      </c>
    </row>
    <row r="503" spans="1:8" s="16" customFormat="1" ht="22.5" x14ac:dyDescent="0.2">
      <c r="A503" s="78"/>
      <c r="B503" s="92"/>
      <c r="C503" s="125" t="s">
        <v>149</v>
      </c>
      <c r="D503" s="126" t="s">
        <v>150</v>
      </c>
      <c r="E503" s="38">
        <v>26672.55</v>
      </c>
      <c r="F503" s="38">
        <v>1319.5</v>
      </c>
      <c r="G503" s="37"/>
      <c r="H503" s="38">
        <f t="shared" si="91"/>
        <v>27992.05</v>
      </c>
    </row>
    <row r="504" spans="1:8" s="16" customFormat="1" ht="45" x14ac:dyDescent="0.2">
      <c r="A504" s="48"/>
      <c r="B504" s="47"/>
      <c r="C504" s="42"/>
      <c r="D504" s="481" t="s">
        <v>199</v>
      </c>
      <c r="E504" s="53">
        <v>475.99</v>
      </c>
      <c r="F504" s="480">
        <f>SUM(F505:F506)</f>
        <v>0</v>
      </c>
      <c r="G504" s="480">
        <f>SUM(G505:G506)</f>
        <v>152.10999999999999</v>
      </c>
      <c r="H504" s="53">
        <f t="shared" si="91"/>
        <v>323.88</v>
      </c>
    </row>
    <row r="505" spans="1:8" s="16" customFormat="1" ht="36" customHeight="1" x14ac:dyDescent="0.2">
      <c r="A505" s="48"/>
      <c r="B505" s="47"/>
      <c r="C505" s="61" t="s">
        <v>157</v>
      </c>
      <c r="D505" s="104" t="s">
        <v>158</v>
      </c>
      <c r="E505" s="68">
        <v>206.92</v>
      </c>
      <c r="F505" s="68"/>
      <c r="G505" s="52">
        <v>27.23</v>
      </c>
      <c r="H505" s="68">
        <f t="shared" si="91"/>
        <v>179.69</v>
      </c>
    </row>
    <row r="506" spans="1:8" s="16" customFormat="1" ht="22.5" x14ac:dyDescent="0.2">
      <c r="A506" s="48"/>
      <c r="B506" s="47"/>
      <c r="C506" s="61" t="s">
        <v>149</v>
      </c>
      <c r="D506" s="104" t="s">
        <v>150</v>
      </c>
      <c r="E506" s="68">
        <v>269.07</v>
      </c>
      <c r="F506" s="68"/>
      <c r="G506" s="52">
        <v>124.88</v>
      </c>
      <c r="H506" s="68">
        <f t="shared" si="91"/>
        <v>144.19</v>
      </c>
    </row>
    <row r="507" spans="1:8" s="16" customFormat="1" ht="11.25" x14ac:dyDescent="0.2">
      <c r="A507" s="48"/>
      <c r="B507" s="55">
        <v>80195</v>
      </c>
      <c r="C507" s="26"/>
      <c r="D507" s="50" t="s">
        <v>19</v>
      </c>
      <c r="E507" s="38">
        <v>21868271.400000002</v>
      </c>
      <c r="F507" s="37">
        <f>SUM(F509,F517)</f>
        <v>4543.6499999999996</v>
      </c>
      <c r="G507" s="37">
        <f>SUM(G509,G517)</f>
        <v>4543.6499999999996</v>
      </c>
      <c r="H507" s="38">
        <f>SUM(E507+F507-G507)</f>
        <v>21868271.400000002</v>
      </c>
    </row>
    <row r="508" spans="1:8" s="16" customFormat="1" ht="11.25" x14ac:dyDescent="0.2">
      <c r="A508" s="48"/>
      <c r="B508" s="55"/>
      <c r="C508" s="26"/>
      <c r="D508" s="131" t="s">
        <v>200</v>
      </c>
      <c r="E508" s="68"/>
      <c r="F508" s="52"/>
      <c r="G508" s="52"/>
      <c r="H508" s="68"/>
    </row>
    <row r="509" spans="1:8" s="16" customFormat="1" ht="11.25" x14ac:dyDescent="0.2">
      <c r="A509" s="48"/>
      <c r="B509" s="55"/>
      <c r="C509" s="26"/>
      <c r="D509" s="491" t="s">
        <v>201</v>
      </c>
      <c r="E509" s="53">
        <v>67220</v>
      </c>
      <c r="F509" s="480">
        <f>SUM(F510:F516)</f>
        <v>2043.65</v>
      </c>
      <c r="G509" s="480">
        <f>SUM(G510:G516)</f>
        <v>2043.65</v>
      </c>
      <c r="H509" s="478">
        <f t="shared" ref="H509:H540" si="92">SUM(E509+F509-G509)</f>
        <v>67220</v>
      </c>
    </row>
    <row r="510" spans="1:8" s="16" customFormat="1" ht="11.25" x14ac:dyDescent="0.2">
      <c r="A510" s="48"/>
      <c r="B510" s="55"/>
      <c r="C510" s="55">
        <v>4117</v>
      </c>
      <c r="D510" s="131" t="s">
        <v>202</v>
      </c>
      <c r="E510" s="41">
        <v>3797.52</v>
      </c>
      <c r="F510" s="51">
        <v>190.28</v>
      </c>
      <c r="G510" s="51"/>
      <c r="H510" s="52">
        <f t="shared" si="92"/>
        <v>3987.8</v>
      </c>
    </row>
    <row r="511" spans="1:8" s="16" customFormat="1" ht="11.25" x14ac:dyDescent="0.2">
      <c r="A511" s="48"/>
      <c r="B511" s="55"/>
      <c r="C511" s="55">
        <v>4127</v>
      </c>
      <c r="D511" s="132" t="s">
        <v>142</v>
      </c>
      <c r="E511" s="41">
        <v>531.11</v>
      </c>
      <c r="F511" s="51"/>
      <c r="G511" s="51">
        <v>32.840000000000003</v>
      </c>
      <c r="H511" s="52">
        <f t="shared" si="92"/>
        <v>498.27</v>
      </c>
    </row>
    <row r="512" spans="1:8" s="16" customFormat="1" ht="11.25" x14ac:dyDescent="0.2">
      <c r="A512" s="48"/>
      <c r="B512" s="55"/>
      <c r="C512" s="55">
        <v>4177</v>
      </c>
      <c r="D512" s="98" t="s">
        <v>203</v>
      </c>
      <c r="E512" s="41">
        <v>24566.34</v>
      </c>
      <c r="F512" s="51"/>
      <c r="G512" s="51">
        <v>870.1</v>
      </c>
      <c r="H512" s="52">
        <f t="shared" si="92"/>
        <v>23696.240000000002</v>
      </c>
    </row>
    <row r="513" spans="1:8" s="16" customFormat="1" ht="11.25" x14ac:dyDescent="0.2">
      <c r="A513" s="48"/>
      <c r="B513" s="55"/>
      <c r="C513" s="55">
        <v>4217</v>
      </c>
      <c r="D513" s="132" t="s">
        <v>13</v>
      </c>
      <c r="E513" s="41">
        <v>0.87</v>
      </c>
      <c r="F513" s="51">
        <v>713.37</v>
      </c>
      <c r="G513" s="51"/>
      <c r="H513" s="52">
        <f t="shared" si="92"/>
        <v>714.24</v>
      </c>
    </row>
    <row r="514" spans="1:8" s="16" customFormat="1" ht="11.25" x14ac:dyDescent="0.2">
      <c r="A514" s="48"/>
      <c r="B514" s="55"/>
      <c r="C514" s="55">
        <v>4247</v>
      </c>
      <c r="D514" s="132" t="s">
        <v>204</v>
      </c>
      <c r="E514" s="41">
        <v>29000</v>
      </c>
      <c r="F514" s="51">
        <v>1140</v>
      </c>
      <c r="G514" s="51"/>
      <c r="H514" s="52">
        <f t="shared" si="92"/>
        <v>30140</v>
      </c>
    </row>
    <row r="515" spans="1:8" s="16" customFormat="1" ht="11.25" x14ac:dyDescent="0.2">
      <c r="A515" s="48"/>
      <c r="B515" s="55"/>
      <c r="C515" s="55">
        <v>4307</v>
      </c>
      <c r="D515" s="132" t="s">
        <v>14</v>
      </c>
      <c r="E515" s="41">
        <v>4220</v>
      </c>
      <c r="F515" s="51"/>
      <c r="G515" s="51">
        <v>1140</v>
      </c>
      <c r="H515" s="52">
        <f t="shared" si="92"/>
        <v>3080</v>
      </c>
    </row>
    <row r="516" spans="1:8" s="16" customFormat="1" ht="11.25" x14ac:dyDescent="0.2">
      <c r="A516" s="48"/>
      <c r="B516" s="55"/>
      <c r="C516" s="35">
        <v>4717</v>
      </c>
      <c r="D516" s="132" t="s">
        <v>111</v>
      </c>
      <c r="E516" s="41">
        <v>102.24</v>
      </c>
      <c r="F516" s="51"/>
      <c r="G516" s="51">
        <v>0.71</v>
      </c>
      <c r="H516" s="52">
        <f t="shared" si="92"/>
        <v>101.53</v>
      </c>
    </row>
    <row r="517" spans="1:8" s="16" customFormat="1" ht="11.25" x14ac:dyDescent="0.2">
      <c r="A517" s="48"/>
      <c r="B517" s="55"/>
      <c r="C517" s="96"/>
      <c r="D517" s="484" t="s">
        <v>137</v>
      </c>
      <c r="E517" s="478">
        <v>1457762.21</v>
      </c>
      <c r="F517" s="478">
        <f>SUM(F518:F519)</f>
        <v>2500</v>
      </c>
      <c r="G517" s="478">
        <f>SUM(G518:G519)</f>
        <v>2500</v>
      </c>
      <c r="H517" s="478">
        <f t="shared" si="92"/>
        <v>1457762.21</v>
      </c>
    </row>
    <row r="518" spans="1:8" s="16" customFormat="1" ht="11.25" x14ac:dyDescent="0.2">
      <c r="A518" s="48"/>
      <c r="B518" s="55"/>
      <c r="C518" s="55">
        <v>4170</v>
      </c>
      <c r="D518" s="40" t="s">
        <v>124</v>
      </c>
      <c r="E518" s="118">
        <v>28500</v>
      </c>
      <c r="F518" s="52">
        <v>2500</v>
      </c>
      <c r="G518" s="68"/>
      <c r="H518" s="52">
        <f t="shared" si="92"/>
        <v>31000</v>
      </c>
    </row>
    <row r="519" spans="1:8" s="16" customFormat="1" ht="11.25" x14ac:dyDescent="0.2">
      <c r="A519" s="48"/>
      <c r="B519" s="55"/>
      <c r="C519" s="96">
        <v>4210</v>
      </c>
      <c r="D519" s="98" t="s">
        <v>205</v>
      </c>
      <c r="E519" s="118">
        <v>132150.14000000001</v>
      </c>
      <c r="F519" s="52"/>
      <c r="G519" s="68">
        <v>2500</v>
      </c>
      <c r="H519" s="52">
        <f t="shared" si="92"/>
        <v>129650.14000000001</v>
      </c>
    </row>
    <row r="520" spans="1:8" s="16" customFormat="1" ht="12" customHeight="1" thickBot="1" x14ac:dyDescent="0.25">
      <c r="A520" s="31" t="s">
        <v>206</v>
      </c>
      <c r="B520" s="48"/>
      <c r="C520" s="31"/>
      <c r="D520" s="33" t="s">
        <v>207</v>
      </c>
      <c r="E520" s="30">
        <v>7270174.7400000002</v>
      </c>
      <c r="F520" s="34">
        <f>SUM(F521,F537)</f>
        <v>46553</v>
      </c>
      <c r="G520" s="34">
        <f>SUM(G521,G537)</f>
        <v>46553</v>
      </c>
      <c r="H520" s="30">
        <f t="shared" si="92"/>
        <v>7270174.7400000002</v>
      </c>
    </row>
    <row r="521" spans="1:8" s="16" customFormat="1" ht="12" customHeight="1" thickTop="1" x14ac:dyDescent="0.2">
      <c r="A521" s="133"/>
      <c r="B521" s="64">
        <v>85154</v>
      </c>
      <c r="C521" s="58"/>
      <c r="D521" s="73" t="s">
        <v>208</v>
      </c>
      <c r="E521" s="36">
        <v>6516474.7400000002</v>
      </c>
      <c r="F521" s="37">
        <f>SUM(F522,F527)</f>
        <v>40253</v>
      </c>
      <c r="G521" s="37">
        <f>SUM(G522,G527)</f>
        <v>46553</v>
      </c>
      <c r="H521" s="38">
        <f t="shared" si="92"/>
        <v>6510174.7400000002</v>
      </c>
    </row>
    <row r="522" spans="1:8" s="16" customFormat="1" ht="12" customHeight="1" x14ac:dyDescent="0.2">
      <c r="A522" s="32"/>
      <c r="B522" s="48"/>
      <c r="C522" s="35"/>
      <c r="D522" s="486" t="s">
        <v>209</v>
      </c>
      <c r="E522" s="480">
        <v>2970290</v>
      </c>
      <c r="F522" s="480">
        <f>SUM(F523:F526)</f>
        <v>3348</v>
      </c>
      <c r="G522" s="480">
        <f>SUM(G523:G526)</f>
        <v>9648</v>
      </c>
      <c r="H522" s="478">
        <f t="shared" si="92"/>
        <v>2963990</v>
      </c>
    </row>
    <row r="523" spans="1:8" s="16" customFormat="1" ht="12" customHeight="1" x14ac:dyDescent="0.2">
      <c r="A523" s="32"/>
      <c r="B523" s="48"/>
      <c r="C523" s="55">
        <v>3020</v>
      </c>
      <c r="D523" s="40" t="s">
        <v>115</v>
      </c>
      <c r="E523" s="52">
        <v>3000</v>
      </c>
      <c r="F523" s="52"/>
      <c r="G523" s="52">
        <v>1426</v>
      </c>
      <c r="H523" s="52">
        <f t="shared" si="92"/>
        <v>1574</v>
      </c>
    </row>
    <row r="524" spans="1:8" s="16" customFormat="1" ht="12" customHeight="1" x14ac:dyDescent="0.2">
      <c r="A524" s="32"/>
      <c r="B524" s="48"/>
      <c r="C524" s="55">
        <v>4170</v>
      </c>
      <c r="D524" s="40" t="s">
        <v>124</v>
      </c>
      <c r="E524" s="52">
        <v>32340</v>
      </c>
      <c r="F524" s="52">
        <v>2680</v>
      </c>
      <c r="G524" s="52"/>
      <c r="H524" s="52">
        <f t="shared" si="92"/>
        <v>35020</v>
      </c>
    </row>
    <row r="525" spans="1:8" s="16" customFormat="1" ht="12" customHeight="1" x14ac:dyDescent="0.2">
      <c r="A525" s="32"/>
      <c r="B525" s="48"/>
      <c r="C525" s="55">
        <v>4410</v>
      </c>
      <c r="D525" s="43" t="s">
        <v>145</v>
      </c>
      <c r="E525" s="52">
        <v>4500</v>
      </c>
      <c r="F525" s="52">
        <v>668</v>
      </c>
      <c r="G525" s="52"/>
      <c r="H525" s="52">
        <f t="shared" si="92"/>
        <v>5168</v>
      </c>
    </row>
    <row r="526" spans="1:8" s="16" customFormat="1" ht="12" customHeight="1" x14ac:dyDescent="0.2">
      <c r="A526" s="32"/>
      <c r="B526" s="48"/>
      <c r="C526" s="55">
        <v>4610</v>
      </c>
      <c r="D526" s="95" t="s">
        <v>96</v>
      </c>
      <c r="E526" s="52">
        <v>9000</v>
      </c>
      <c r="F526" s="52"/>
      <c r="G526" s="52">
        <f>1922+6300</f>
        <v>8222</v>
      </c>
      <c r="H526" s="52">
        <f t="shared" si="92"/>
        <v>778</v>
      </c>
    </row>
    <row r="527" spans="1:8" s="16" customFormat="1" ht="12" customHeight="1" x14ac:dyDescent="0.2">
      <c r="A527" s="32"/>
      <c r="B527" s="48"/>
      <c r="C527" s="55"/>
      <c r="D527" s="484" t="s">
        <v>210</v>
      </c>
      <c r="E527" s="478">
        <v>2053692</v>
      </c>
      <c r="F527" s="478">
        <f>SUM(F528:F536)</f>
        <v>36905</v>
      </c>
      <c r="G527" s="478">
        <f>SUM(G528:G536)</f>
        <v>36905</v>
      </c>
      <c r="H527" s="53">
        <f>SUM(E527+F527-G527)</f>
        <v>2053692</v>
      </c>
    </row>
    <row r="528" spans="1:8" s="16" customFormat="1" ht="12" customHeight="1" x14ac:dyDescent="0.2">
      <c r="A528" s="32"/>
      <c r="B528" s="48"/>
      <c r="C528" s="55">
        <v>4010</v>
      </c>
      <c r="D528" s="40" t="s">
        <v>141</v>
      </c>
      <c r="E528" s="41">
        <v>877716</v>
      </c>
      <c r="F528" s="41">
        <v>10396</v>
      </c>
      <c r="G528" s="41"/>
      <c r="H528" s="41">
        <f t="shared" ref="H528:H537" si="93">SUM(E528+F528-G528)</f>
        <v>888112</v>
      </c>
    </row>
    <row r="529" spans="1:8" s="16" customFormat="1" ht="12" customHeight="1" x14ac:dyDescent="0.2">
      <c r="A529" s="32"/>
      <c r="B529" s="48"/>
      <c r="C529" s="55">
        <v>4110</v>
      </c>
      <c r="D529" s="40" t="s">
        <v>117</v>
      </c>
      <c r="E529" s="41">
        <v>165288</v>
      </c>
      <c r="F529" s="41"/>
      <c r="G529" s="41">
        <v>5000</v>
      </c>
      <c r="H529" s="41">
        <f t="shared" si="93"/>
        <v>160288</v>
      </c>
    </row>
    <row r="530" spans="1:8" s="16" customFormat="1" ht="12" customHeight="1" x14ac:dyDescent="0.2">
      <c r="A530" s="32"/>
      <c r="B530" s="48"/>
      <c r="C530" s="55">
        <v>4120</v>
      </c>
      <c r="D530" s="40" t="s">
        <v>142</v>
      </c>
      <c r="E530" s="41">
        <v>20466</v>
      </c>
      <c r="F530" s="41"/>
      <c r="G530" s="41">
        <v>2500</v>
      </c>
      <c r="H530" s="41">
        <f t="shared" si="93"/>
        <v>17966</v>
      </c>
    </row>
    <row r="531" spans="1:8" s="16" customFormat="1" ht="12" customHeight="1" x14ac:dyDescent="0.2">
      <c r="A531" s="32"/>
      <c r="B531" s="48"/>
      <c r="C531" s="55">
        <v>4170</v>
      </c>
      <c r="D531" s="40" t="s">
        <v>124</v>
      </c>
      <c r="E531" s="41">
        <v>38750</v>
      </c>
      <c r="F531" s="41">
        <v>2160</v>
      </c>
      <c r="G531" s="41">
        <v>6776</v>
      </c>
      <c r="H531" s="41">
        <f t="shared" si="93"/>
        <v>34134</v>
      </c>
    </row>
    <row r="532" spans="1:8" s="16" customFormat="1" ht="12" customHeight="1" x14ac:dyDescent="0.2">
      <c r="A532" s="32"/>
      <c r="B532" s="48"/>
      <c r="C532" s="42" t="s">
        <v>102</v>
      </c>
      <c r="D532" s="43" t="s">
        <v>13</v>
      </c>
      <c r="E532" s="41">
        <v>125040</v>
      </c>
      <c r="F532" s="41">
        <f>21720+2329</f>
        <v>24049</v>
      </c>
      <c r="G532" s="41">
        <v>300</v>
      </c>
      <c r="H532" s="41">
        <f t="shared" si="93"/>
        <v>148789</v>
      </c>
    </row>
    <row r="533" spans="1:8" s="16" customFormat="1" ht="12" customHeight="1" x14ac:dyDescent="0.2">
      <c r="A533" s="32"/>
      <c r="B533" s="48"/>
      <c r="C533" s="55">
        <v>4220</v>
      </c>
      <c r="D533" s="40" t="s">
        <v>211</v>
      </c>
      <c r="E533" s="41">
        <v>60554</v>
      </c>
      <c r="F533" s="41">
        <v>300</v>
      </c>
      <c r="G533" s="41"/>
      <c r="H533" s="41">
        <f t="shared" si="93"/>
        <v>60854</v>
      </c>
    </row>
    <row r="534" spans="1:8" s="16" customFormat="1" ht="12" customHeight="1" x14ac:dyDescent="0.2">
      <c r="A534" s="32"/>
      <c r="B534" s="48"/>
      <c r="C534" s="55">
        <v>4260</v>
      </c>
      <c r="D534" s="40" t="s">
        <v>98</v>
      </c>
      <c r="E534" s="41">
        <v>170200</v>
      </c>
      <c r="F534" s="41"/>
      <c r="G534" s="41">
        <v>20000</v>
      </c>
      <c r="H534" s="41">
        <f t="shared" si="93"/>
        <v>150200</v>
      </c>
    </row>
    <row r="535" spans="1:8" s="16" customFormat="1" ht="12" customHeight="1" x14ac:dyDescent="0.2">
      <c r="A535" s="32"/>
      <c r="B535" s="48"/>
      <c r="C535" s="55">
        <v>4300</v>
      </c>
      <c r="D535" s="40" t="s">
        <v>14</v>
      </c>
      <c r="E535" s="41">
        <v>370551</v>
      </c>
      <c r="F535" s="41"/>
      <c r="G535" s="41">
        <v>2260</v>
      </c>
      <c r="H535" s="41">
        <f t="shared" si="93"/>
        <v>368291</v>
      </c>
    </row>
    <row r="536" spans="1:8" s="16" customFormat="1" ht="12" customHeight="1" x14ac:dyDescent="0.2">
      <c r="A536" s="32"/>
      <c r="B536" s="48"/>
      <c r="C536" s="55">
        <v>4430</v>
      </c>
      <c r="D536" s="40" t="s">
        <v>110</v>
      </c>
      <c r="E536" s="41">
        <v>1210</v>
      </c>
      <c r="F536" s="41"/>
      <c r="G536" s="41">
        <v>69</v>
      </c>
      <c r="H536" s="41">
        <f t="shared" si="93"/>
        <v>1141</v>
      </c>
    </row>
    <row r="537" spans="1:8" s="16" customFormat="1" ht="12" customHeight="1" x14ac:dyDescent="0.2">
      <c r="A537" s="32"/>
      <c r="B537" s="25">
        <v>85195</v>
      </c>
      <c r="C537" s="26"/>
      <c r="D537" s="50" t="s">
        <v>19</v>
      </c>
      <c r="E537" s="36">
        <v>213000</v>
      </c>
      <c r="F537" s="37">
        <f>SUM(F538)</f>
        <v>6300</v>
      </c>
      <c r="G537" s="37">
        <f>SUM(G538)</f>
        <v>0</v>
      </c>
      <c r="H537" s="38">
        <f t="shared" si="93"/>
        <v>219300</v>
      </c>
    </row>
    <row r="538" spans="1:8" s="16" customFormat="1" ht="12" customHeight="1" x14ac:dyDescent="0.2">
      <c r="A538" s="32"/>
      <c r="B538" s="48"/>
      <c r="C538" s="26"/>
      <c r="D538" s="486" t="s">
        <v>209</v>
      </c>
      <c r="E538" s="478">
        <v>74100</v>
      </c>
      <c r="F538" s="480">
        <f>SUM(F539:F539)</f>
        <v>6300</v>
      </c>
      <c r="G538" s="480">
        <f>SUM(G539:G539)</f>
        <v>0</v>
      </c>
      <c r="H538" s="53">
        <f>SUM(E538+F538-G538)</f>
        <v>80400</v>
      </c>
    </row>
    <row r="539" spans="1:8" s="16" customFormat="1" ht="12" customHeight="1" x14ac:dyDescent="0.2">
      <c r="A539" s="32"/>
      <c r="B539" s="48"/>
      <c r="C539" s="55">
        <v>4300</v>
      </c>
      <c r="D539" s="40" t="s">
        <v>14</v>
      </c>
      <c r="E539" s="41">
        <v>74100</v>
      </c>
      <c r="F539" s="41">
        <v>6300</v>
      </c>
      <c r="G539" s="41"/>
      <c r="H539" s="68">
        <f t="shared" ref="H539" si="94">SUM(E539+F539-G539)</f>
        <v>80400</v>
      </c>
    </row>
    <row r="540" spans="1:8" s="16" customFormat="1" ht="12" customHeight="1" thickBot="1" x14ac:dyDescent="0.25">
      <c r="A540" s="31" t="s">
        <v>212</v>
      </c>
      <c r="B540" s="48"/>
      <c r="C540" s="31"/>
      <c r="D540" s="33" t="s">
        <v>46</v>
      </c>
      <c r="E540" s="30">
        <v>76052309.63000001</v>
      </c>
      <c r="F540" s="34">
        <f>SUM(F541,F563,F574,F577,F580,F586,F592,F598)</f>
        <v>276892</v>
      </c>
      <c r="G540" s="34">
        <f>SUM(G541,G563,G574,G577,G580,G586,G592,G598)</f>
        <v>1333289</v>
      </c>
      <c r="H540" s="30">
        <f t="shared" si="92"/>
        <v>74995912.63000001</v>
      </c>
    </row>
    <row r="541" spans="1:8" s="16" customFormat="1" ht="12" customHeight="1" thickTop="1" x14ac:dyDescent="0.2">
      <c r="A541" s="31"/>
      <c r="B541" s="25">
        <v>85202</v>
      </c>
      <c r="C541" s="26"/>
      <c r="D541" s="86" t="s">
        <v>47</v>
      </c>
      <c r="E541" s="38">
        <v>21008412.140000001</v>
      </c>
      <c r="F541" s="37">
        <f>SUM(F542,F553)</f>
        <v>236019</v>
      </c>
      <c r="G541" s="37">
        <f>SUM(G542,G553)</f>
        <v>37719</v>
      </c>
      <c r="H541" s="38">
        <f>SUM(E541+F541-G541)</f>
        <v>21206712.140000001</v>
      </c>
    </row>
    <row r="542" spans="1:8" s="16" customFormat="1" ht="12" customHeight="1" x14ac:dyDescent="0.2">
      <c r="A542" s="31"/>
      <c r="B542" s="25"/>
      <c r="C542" s="26"/>
      <c r="D542" s="484" t="s">
        <v>213</v>
      </c>
      <c r="E542" s="53">
        <v>5312386.1399999997</v>
      </c>
      <c r="F542" s="146">
        <f>SUM(F543:F552)</f>
        <v>209575</v>
      </c>
      <c r="G542" s="146">
        <f>SUM(G543:G552)</f>
        <v>11275</v>
      </c>
      <c r="H542" s="478">
        <f t="shared" ref="H542:H572" si="95">SUM(E542+F542-G542)</f>
        <v>5510686.1399999997</v>
      </c>
    </row>
    <row r="543" spans="1:8" s="16" customFormat="1" ht="12" customHeight="1" x14ac:dyDescent="0.2">
      <c r="A543" s="31"/>
      <c r="B543" s="25"/>
      <c r="C543" s="55">
        <v>3020</v>
      </c>
      <c r="D543" s="40" t="s">
        <v>115</v>
      </c>
      <c r="E543" s="51">
        <v>17000</v>
      </c>
      <c r="F543" s="41"/>
      <c r="G543" s="41">
        <v>2000</v>
      </c>
      <c r="H543" s="52">
        <f t="shared" si="95"/>
        <v>15000</v>
      </c>
    </row>
    <row r="544" spans="1:8" s="16" customFormat="1" ht="12" customHeight="1" x14ac:dyDescent="0.2">
      <c r="A544" s="31"/>
      <c r="B544" s="25"/>
      <c r="C544" s="55">
        <v>4010</v>
      </c>
      <c r="D544" s="40" t="s">
        <v>141</v>
      </c>
      <c r="E544" s="51">
        <v>2781994</v>
      </c>
      <c r="F544" s="41">
        <v>170000</v>
      </c>
      <c r="G544" s="41">
        <v>250</v>
      </c>
      <c r="H544" s="52">
        <f t="shared" si="95"/>
        <v>2951744</v>
      </c>
    </row>
    <row r="545" spans="1:8" s="16" customFormat="1" ht="12" customHeight="1" x14ac:dyDescent="0.2">
      <c r="A545" s="31"/>
      <c r="B545" s="25"/>
      <c r="C545" s="55">
        <v>4040</v>
      </c>
      <c r="D545" s="40" t="s">
        <v>116</v>
      </c>
      <c r="E545" s="51">
        <v>157345</v>
      </c>
      <c r="F545" s="41"/>
      <c r="G545" s="41">
        <v>7000</v>
      </c>
      <c r="H545" s="52">
        <f t="shared" si="95"/>
        <v>150345</v>
      </c>
    </row>
    <row r="546" spans="1:8" s="16" customFormat="1" ht="12" customHeight="1" x14ac:dyDescent="0.2">
      <c r="A546" s="31"/>
      <c r="B546" s="25"/>
      <c r="C546" s="55">
        <v>4110</v>
      </c>
      <c r="D546" s="40" t="s">
        <v>117</v>
      </c>
      <c r="E546" s="51">
        <v>528922</v>
      </c>
      <c r="F546" s="41">
        <v>25000</v>
      </c>
      <c r="G546" s="41"/>
      <c r="H546" s="52">
        <f t="shared" si="95"/>
        <v>553922</v>
      </c>
    </row>
    <row r="547" spans="1:8" s="16" customFormat="1" ht="12" customHeight="1" x14ac:dyDescent="0.2">
      <c r="A547" s="31"/>
      <c r="B547" s="25"/>
      <c r="C547" s="55">
        <v>4170</v>
      </c>
      <c r="D547" s="40" t="s">
        <v>124</v>
      </c>
      <c r="E547" s="51">
        <v>20000</v>
      </c>
      <c r="F547" s="41">
        <v>1200</v>
      </c>
      <c r="G547" s="41"/>
      <c r="H547" s="52">
        <f t="shared" si="95"/>
        <v>21200</v>
      </c>
    </row>
    <row r="548" spans="1:8" s="16" customFormat="1" ht="12" customHeight="1" x14ac:dyDescent="0.2">
      <c r="A548" s="31"/>
      <c r="B548" s="25"/>
      <c r="C548" s="42" t="s">
        <v>102</v>
      </c>
      <c r="D548" s="43" t="s">
        <v>13</v>
      </c>
      <c r="E548" s="51">
        <v>108591.5</v>
      </c>
      <c r="F548" s="41">
        <v>3300</v>
      </c>
      <c r="G548" s="41"/>
      <c r="H548" s="52">
        <f t="shared" si="95"/>
        <v>111891.5</v>
      </c>
    </row>
    <row r="549" spans="1:8" s="16" customFormat="1" ht="12" customHeight="1" x14ac:dyDescent="0.2">
      <c r="A549" s="31"/>
      <c r="B549" s="25"/>
      <c r="C549" s="55">
        <v>4220</v>
      </c>
      <c r="D549" s="40" t="s">
        <v>211</v>
      </c>
      <c r="E549" s="51">
        <v>303678</v>
      </c>
      <c r="F549" s="41"/>
      <c r="G549" s="41">
        <v>2025</v>
      </c>
      <c r="H549" s="52">
        <f t="shared" si="95"/>
        <v>301653</v>
      </c>
    </row>
    <row r="550" spans="1:8" s="16" customFormat="1" ht="12" customHeight="1" x14ac:dyDescent="0.2">
      <c r="A550" s="31"/>
      <c r="B550" s="25"/>
      <c r="C550" s="55">
        <v>4270</v>
      </c>
      <c r="D550" s="40" t="s">
        <v>95</v>
      </c>
      <c r="E550" s="51">
        <v>30151</v>
      </c>
      <c r="F550" s="41">
        <v>4800</v>
      </c>
      <c r="G550" s="41"/>
      <c r="H550" s="52">
        <f t="shared" si="95"/>
        <v>34951</v>
      </c>
    </row>
    <row r="551" spans="1:8" s="16" customFormat="1" ht="12" customHeight="1" x14ac:dyDescent="0.2">
      <c r="A551" s="31"/>
      <c r="B551" s="25"/>
      <c r="C551" s="55">
        <v>4300</v>
      </c>
      <c r="D551" s="40" t="s">
        <v>14</v>
      </c>
      <c r="E551" s="51">
        <v>207730.43</v>
      </c>
      <c r="F551" s="41">
        <v>5025</v>
      </c>
      <c r="G551" s="41"/>
      <c r="H551" s="52">
        <f t="shared" si="95"/>
        <v>212755.43</v>
      </c>
    </row>
    <row r="552" spans="1:8" s="16" customFormat="1" ht="12" customHeight="1" x14ac:dyDescent="0.2">
      <c r="A552" s="31"/>
      <c r="B552" s="25"/>
      <c r="C552" s="55">
        <v>4710</v>
      </c>
      <c r="D552" s="43" t="s">
        <v>111</v>
      </c>
      <c r="E552" s="51">
        <v>2500</v>
      </c>
      <c r="F552" s="41">
        <v>250</v>
      </c>
      <c r="G552" s="41"/>
      <c r="H552" s="52">
        <f t="shared" si="95"/>
        <v>2750</v>
      </c>
    </row>
    <row r="553" spans="1:8" s="16" customFormat="1" ht="12" customHeight="1" x14ac:dyDescent="0.2">
      <c r="A553" s="31"/>
      <c r="B553" s="25"/>
      <c r="C553" s="26"/>
      <c r="D553" s="484" t="s">
        <v>214</v>
      </c>
      <c r="E553" s="53">
        <v>4305525.9000000004</v>
      </c>
      <c r="F553" s="146">
        <f>SUM(F554:F562)</f>
        <v>26444</v>
      </c>
      <c r="G553" s="146">
        <f>SUM(G554:G562)</f>
        <v>26444</v>
      </c>
      <c r="H553" s="478">
        <f t="shared" si="95"/>
        <v>4305525.9000000004</v>
      </c>
    </row>
    <row r="554" spans="1:8" s="16" customFormat="1" ht="12" customHeight="1" x14ac:dyDescent="0.2">
      <c r="A554" s="31"/>
      <c r="B554" s="25"/>
      <c r="C554" s="55">
        <v>4010</v>
      </c>
      <c r="D554" s="40" t="s">
        <v>141</v>
      </c>
      <c r="E554" s="51">
        <v>2476489</v>
      </c>
      <c r="F554" s="51">
        <v>9572</v>
      </c>
      <c r="G554" s="51"/>
      <c r="H554" s="52">
        <f t="shared" si="95"/>
        <v>2486061</v>
      </c>
    </row>
    <row r="555" spans="1:8" s="16" customFormat="1" ht="12" customHeight="1" x14ac:dyDescent="0.2">
      <c r="A555" s="31"/>
      <c r="B555" s="25"/>
      <c r="C555" s="55">
        <v>4040</v>
      </c>
      <c r="D555" s="40" t="s">
        <v>116</v>
      </c>
      <c r="E555" s="124">
        <v>160100</v>
      </c>
      <c r="F555" s="51"/>
      <c r="G555" s="51">
        <v>9572</v>
      </c>
      <c r="H555" s="52">
        <f t="shared" si="95"/>
        <v>150528</v>
      </c>
    </row>
    <row r="556" spans="1:8" s="16" customFormat="1" ht="12" customHeight="1" x14ac:dyDescent="0.2">
      <c r="A556" s="31"/>
      <c r="B556" s="25"/>
      <c r="C556" s="42" t="s">
        <v>102</v>
      </c>
      <c r="D556" s="43" t="s">
        <v>13</v>
      </c>
      <c r="E556" s="124">
        <v>101000</v>
      </c>
      <c r="F556" s="51">
        <v>4250</v>
      </c>
      <c r="G556" s="134"/>
      <c r="H556" s="52">
        <f t="shared" si="95"/>
        <v>105250</v>
      </c>
    </row>
    <row r="557" spans="1:8" s="16" customFormat="1" ht="12" customHeight="1" x14ac:dyDescent="0.2">
      <c r="A557" s="31"/>
      <c r="B557" s="25"/>
      <c r="C557" s="71" t="s">
        <v>215</v>
      </c>
      <c r="D557" s="135" t="s">
        <v>216</v>
      </c>
      <c r="E557" s="124">
        <v>25800.9</v>
      </c>
      <c r="F557" s="51">
        <v>3000</v>
      </c>
      <c r="G557" s="134"/>
      <c r="H557" s="52">
        <f t="shared" si="95"/>
        <v>28800.9</v>
      </c>
    </row>
    <row r="558" spans="1:8" s="16" customFormat="1" ht="12" customHeight="1" x14ac:dyDescent="0.2">
      <c r="A558" s="136"/>
      <c r="B558" s="79"/>
      <c r="C558" s="101">
        <v>4260</v>
      </c>
      <c r="D558" s="50" t="s">
        <v>98</v>
      </c>
      <c r="E558" s="137">
        <v>324250</v>
      </c>
      <c r="F558" s="82"/>
      <c r="G558" s="82">
        <v>4250</v>
      </c>
      <c r="H558" s="37">
        <f t="shared" si="95"/>
        <v>320000</v>
      </c>
    </row>
    <row r="559" spans="1:8" s="16" customFormat="1" ht="12" customHeight="1" x14ac:dyDescent="0.2">
      <c r="A559" s="31"/>
      <c r="B559" s="25"/>
      <c r="C559" s="55">
        <v>4300</v>
      </c>
      <c r="D559" s="40" t="s">
        <v>14</v>
      </c>
      <c r="E559" s="124">
        <v>90000</v>
      </c>
      <c r="F559" s="41">
        <v>9622</v>
      </c>
      <c r="G559" s="41"/>
      <c r="H559" s="52">
        <f t="shared" si="95"/>
        <v>99622</v>
      </c>
    </row>
    <row r="560" spans="1:8" s="16" customFormat="1" ht="12" customHeight="1" x14ac:dyDescent="0.2">
      <c r="A560" s="31"/>
      <c r="B560" s="25"/>
      <c r="C560" s="55">
        <v>4430</v>
      </c>
      <c r="D560" s="40" t="s">
        <v>110</v>
      </c>
      <c r="E560" s="124">
        <v>11400</v>
      </c>
      <c r="F560" s="41"/>
      <c r="G560" s="41">
        <v>1622</v>
      </c>
      <c r="H560" s="52">
        <f t="shared" si="95"/>
        <v>9778</v>
      </c>
    </row>
    <row r="561" spans="1:8" s="16" customFormat="1" ht="22.5" customHeight="1" x14ac:dyDescent="0.2">
      <c r="A561" s="31"/>
      <c r="B561" s="25"/>
      <c r="C561" s="83">
        <v>4700</v>
      </c>
      <c r="D561" s="104" t="s">
        <v>119</v>
      </c>
      <c r="E561" s="124">
        <v>12000</v>
      </c>
      <c r="F561" s="41"/>
      <c r="G561" s="41">
        <v>3000</v>
      </c>
      <c r="H561" s="52">
        <f t="shared" si="95"/>
        <v>9000</v>
      </c>
    </row>
    <row r="562" spans="1:8" s="16" customFormat="1" ht="12" customHeight="1" x14ac:dyDescent="0.2">
      <c r="A562" s="31"/>
      <c r="B562" s="25"/>
      <c r="C562" s="55">
        <v>4710</v>
      </c>
      <c r="D562" s="43" t="s">
        <v>111</v>
      </c>
      <c r="E562" s="124">
        <v>17100</v>
      </c>
      <c r="F562" s="41"/>
      <c r="G562" s="41">
        <v>8000</v>
      </c>
      <c r="H562" s="52">
        <f t="shared" si="95"/>
        <v>9100</v>
      </c>
    </row>
    <row r="563" spans="1:8" s="16" customFormat="1" ht="12" customHeight="1" x14ac:dyDescent="0.2">
      <c r="A563" s="31"/>
      <c r="B563" s="64">
        <v>85203</v>
      </c>
      <c r="C563" s="138"/>
      <c r="D563" s="73" t="s">
        <v>71</v>
      </c>
      <c r="E563" s="36">
        <v>942894.05</v>
      </c>
      <c r="F563" s="37">
        <f>SUM(F564,F569)</f>
        <v>5600</v>
      </c>
      <c r="G563" s="37">
        <f>SUM(G564,G569)</f>
        <v>55600</v>
      </c>
      <c r="H563" s="38">
        <f t="shared" si="95"/>
        <v>892894.05</v>
      </c>
    </row>
    <row r="564" spans="1:8" s="16" customFormat="1" ht="12" customHeight="1" x14ac:dyDescent="0.2">
      <c r="A564" s="31"/>
      <c r="B564" s="64"/>
      <c r="C564" s="139"/>
      <c r="D564" s="490" t="s">
        <v>217</v>
      </c>
      <c r="E564" s="60">
        <v>258011</v>
      </c>
      <c r="F564" s="146">
        <f>SUM(F565:F568)</f>
        <v>600</v>
      </c>
      <c r="G564" s="146">
        <f>SUM(G565:G568)</f>
        <v>600</v>
      </c>
      <c r="H564" s="478">
        <f t="shared" si="95"/>
        <v>258011</v>
      </c>
    </row>
    <row r="565" spans="1:8" s="16" customFormat="1" ht="12" customHeight="1" x14ac:dyDescent="0.2">
      <c r="A565" s="31"/>
      <c r="B565" s="64"/>
      <c r="C565" s="55">
        <v>4110</v>
      </c>
      <c r="D565" s="40" t="s">
        <v>117</v>
      </c>
      <c r="E565" s="41">
        <v>18200</v>
      </c>
      <c r="F565" s="41">
        <v>520</v>
      </c>
      <c r="G565" s="41"/>
      <c r="H565" s="52">
        <f t="shared" si="95"/>
        <v>18720</v>
      </c>
    </row>
    <row r="566" spans="1:8" s="16" customFormat="1" ht="12" customHeight="1" x14ac:dyDescent="0.2">
      <c r="A566" s="31"/>
      <c r="B566" s="64"/>
      <c r="C566" s="55">
        <v>4120</v>
      </c>
      <c r="D566" s="40" t="s">
        <v>142</v>
      </c>
      <c r="E566" s="41">
        <v>2590</v>
      </c>
      <c r="F566" s="41">
        <v>80</v>
      </c>
      <c r="G566" s="41"/>
      <c r="H566" s="52">
        <f t="shared" si="95"/>
        <v>2670</v>
      </c>
    </row>
    <row r="567" spans="1:8" s="16" customFormat="1" ht="12" customHeight="1" x14ac:dyDescent="0.2">
      <c r="A567" s="31"/>
      <c r="B567" s="64"/>
      <c r="C567" s="55">
        <v>4260</v>
      </c>
      <c r="D567" s="40" t="s">
        <v>98</v>
      </c>
      <c r="E567" s="41">
        <v>60092</v>
      </c>
      <c r="F567" s="41"/>
      <c r="G567" s="41">
        <v>500</v>
      </c>
      <c r="H567" s="52">
        <f t="shared" si="95"/>
        <v>59592</v>
      </c>
    </row>
    <row r="568" spans="1:8" s="16" customFormat="1" ht="12" customHeight="1" x14ac:dyDescent="0.2">
      <c r="A568" s="31"/>
      <c r="B568" s="64"/>
      <c r="C568" s="55">
        <v>4710</v>
      </c>
      <c r="D568" s="43" t="s">
        <v>111</v>
      </c>
      <c r="E568" s="41">
        <v>100</v>
      </c>
      <c r="F568" s="41"/>
      <c r="G568" s="41">
        <v>100</v>
      </c>
      <c r="H568" s="52">
        <f t="shared" si="95"/>
        <v>0</v>
      </c>
    </row>
    <row r="569" spans="1:8" s="16" customFormat="1" ht="21.75" customHeight="1" x14ac:dyDescent="0.2">
      <c r="A569" s="31"/>
      <c r="B569" s="25"/>
      <c r="C569" s="26"/>
      <c r="D569" s="492" t="s">
        <v>218</v>
      </c>
      <c r="E569" s="53">
        <v>684883.05</v>
      </c>
      <c r="F569" s="146">
        <f>SUM(F570:F572)</f>
        <v>5000</v>
      </c>
      <c r="G569" s="146">
        <f>SUM(G570:G572)</f>
        <v>55000</v>
      </c>
      <c r="H569" s="478">
        <f t="shared" si="95"/>
        <v>634883.05000000005</v>
      </c>
    </row>
    <row r="570" spans="1:8" s="16" customFormat="1" ht="12" customHeight="1" x14ac:dyDescent="0.2">
      <c r="A570" s="31"/>
      <c r="B570" s="25"/>
      <c r="C570" s="55">
        <v>4010</v>
      </c>
      <c r="D570" s="40" t="s">
        <v>141</v>
      </c>
      <c r="E570" s="51">
        <v>203487.05</v>
      </c>
      <c r="F570" s="51"/>
      <c r="G570" s="51">
        <v>50000</v>
      </c>
      <c r="H570" s="52">
        <f t="shared" si="95"/>
        <v>153487.04999999999</v>
      </c>
    </row>
    <row r="571" spans="1:8" s="16" customFormat="1" ht="12" customHeight="1" x14ac:dyDescent="0.2">
      <c r="A571" s="31"/>
      <c r="B571" s="25"/>
      <c r="C571" s="55">
        <v>4220</v>
      </c>
      <c r="D571" s="40" t="s">
        <v>211</v>
      </c>
      <c r="E571" s="124">
        <v>24640</v>
      </c>
      <c r="F571" s="51">
        <v>5000</v>
      </c>
      <c r="G571" s="134"/>
      <c r="H571" s="52">
        <f t="shared" si="95"/>
        <v>29640</v>
      </c>
    </row>
    <row r="572" spans="1:8" s="16" customFormat="1" ht="12" customHeight="1" x14ac:dyDescent="0.2">
      <c r="A572" s="31"/>
      <c r="B572" s="25"/>
      <c r="C572" s="55">
        <v>4300</v>
      </c>
      <c r="D572" s="40" t="s">
        <v>14</v>
      </c>
      <c r="E572" s="124">
        <v>68777</v>
      </c>
      <c r="F572" s="51"/>
      <c r="G572" s="51">
        <v>5000</v>
      </c>
      <c r="H572" s="52">
        <f t="shared" si="95"/>
        <v>63777</v>
      </c>
    </row>
    <row r="573" spans="1:8" s="16" customFormat="1" ht="12" customHeight="1" x14ac:dyDescent="0.2">
      <c r="A573" s="31"/>
      <c r="B573" s="25">
        <v>85214</v>
      </c>
      <c r="C573" s="26"/>
      <c r="D573" s="75" t="s">
        <v>49</v>
      </c>
      <c r="E573" s="63"/>
      <c r="F573" s="76"/>
      <c r="G573" s="76"/>
      <c r="H573" s="63"/>
    </row>
    <row r="574" spans="1:8" s="16" customFormat="1" ht="12" customHeight="1" x14ac:dyDescent="0.2">
      <c r="A574" s="31"/>
      <c r="B574" s="25"/>
      <c r="C574" s="26"/>
      <c r="D574" s="77" t="s">
        <v>50</v>
      </c>
      <c r="E574" s="38">
        <v>7950874.4100000001</v>
      </c>
      <c r="F574" s="37">
        <f>SUM(F575)</f>
        <v>0</v>
      </c>
      <c r="G574" s="37">
        <f>SUM(G575)</f>
        <v>1005970</v>
      </c>
      <c r="H574" s="38">
        <f>SUM(E574+F574-G574)</f>
        <v>6944904.4100000001</v>
      </c>
    </row>
    <row r="575" spans="1:8" s="16" customFormat="1" ht="12" customHeight="1" x14ac:dyDescent="0.2">
      <c r="A575" s="31"/>
      <c r="B575" s="25"/>
      <c r="C575" s="26"/>
      <c r="D575" s="484" t="s">
        <v>219</v>
      </c>
      <c r="E575" s="60">
        <v>7908576.4100000001</v>
      </c>
      <c r="F575" s="146">
        <f>SUM(F576:F576)</f>
        <v>0</v>
      </c>
      <c r="G575" s="146">
        <f>SUM(G576:G576)</f>
        <v>1005970</v>
      </c>
      <c r="H575" s="478">
        <f t="shared" ref="H575:H592" si="96">SUM(E575+F575-G575)</f>
        <v>6902606.4100000001</v>
      </c>
    </row>
    <row r="576" spans="1:8" s="16" customFormat="1" ht="12" customHeight="1" x14ac:dyDescent="0.2">
      <c r="A576" s="31"/>
      <c r="B576" s="25"/>
      <c r="C576" s="55">
        <v>3110</v>
      </c>
      <c r="D576" s="40" t="s">
        <v>220</v>
      </c>
      <c r="E576" s="51">
        <v>7809276.4100000001</v>
      </c>
      <c r="F576" s="51"/>
      <c r="G576" s="51">
        <v>1005970</v>
      </c>
      <c r="H576" s="52">
        <f t="shared" si="96"/>
        <v>6803306.4100000001</v>
      </c>
    </row>
    <row r="577" spans="1:8" s="16" customFormat="1" ht="12" customHeight="1" x14ac:dyDescent="0.2">
      <c r="A577" s="31"/>
      <c r="B577" s="96">
        <v>85216</v>
      </c>
      <c r="C577" s="96"/>
      <c r="D577" s="97" t="s">
        <v>53</v>
      </c>
      <c r="E577" s="82">
        <v>4660317</v>
      </c>
      <c r="F577" s="36">
        <f>SUM(F578)</f>
        <v>0</v>
      </c>
      <c r="G577" s="36">
        <f>SUM(G578)</f>
        <v>200000</v>
      </c>
      <c r="H577" s="38">
        <f t="shared" si="96"/>
        <v>4460317</v>
      </c>
    </row>
    <row r="578" spans="1:8" s="16" customFormat="1" ht="12" customHeight="1" x14ac:dyDescent="0.2">
      <c r="A578" s="31"/>
      <c r="B578" s="25"/>
      <c r="C578" s="42"/>
      <c r="D578" s="484" t="s">
        <v>210</v>
      </c>
      <c r="E578" s="140">
        <v>4603200</v>
      </c>
      <c r="F578" s="60">
        <f>SUM(F579:F579)</f>
        <v>0</v>
      </c>
      <c r="G578" s="60">
        <f>SUM(G579:G579)</f>
        <v>200000</v>
      </c>
      <c r="H578" s="53">
        <f>SUM(E578+F578-G578)</f>
        <v>4403200</v>
      </c>
    </row>
    <row r="579" spans="1:8" s="16" customFormat="1" ht="12" customHeight="1" x14ac:dyDescent="0.2">
      <c r="A579" s="31"/>
      <c r="B579" s="25"/>
      <c r="C579" s="55">
        <v>3110</v>
      </c>
      <c r="D579" s="40" t="s">
        <v>220</v>
      </c>
      <c r="E579" s="51">
        <v>4601200</v>
      </c>
      <c r="F579" s="41"/>
      <c r="G579" s="41">
        <v>200000</v>
      </c>
      <c r="H579" s="41">
        <f t="shared" ref="H579" si="97">SUM(E579+F579-G579)</f>
        <v>4401200</v>
      </c>
    </row>
    <row r="580" spans="1:8" s="16" customFormat="1" ht="12" customHeight="1" x14ac:dyDescent="0.2">
      <c r="A580" s="31"/>
      <c r="B580" s="35">
        <v>85219</v>
      </c>
      <c r="C580" s="58"/>
      <c r="D580" s="73" t="s">
        <v>72</v>
      </c>
      <c r="E580" s="36">
        <v>16771496.130000001</v>
      </c>
      <c r="F580" s="37">
        <f>SUM(F581)</f>
        <v>10000</v>
      </c>
      <c r="G580" s="37">
        <f>SUM(G581)</f>
        <v>6000</v>
      </c>
      <c r="H580" s="38">
        <f t="shared" si="96"/>
        <v>16775496.130000003</v>
      </c>
    </row>
    <row r="581" spans="1:8" s="16" customFormat="1" ht="12" customHeight="1" x14ac:dyDescent="0.2">
      <c r="A581" s="31"/>
      <c r="B581" s="55"/>
      <c r="C581" s="42"/>
      <c r="D581" s="484" t="s">
        <v>210</v>
      </c>
      <c r="E581" s="53">
        <v>16723968</v>
      </c>
      <c r="F581" s="480">
        <f>SUM(F582:F584)</f>
        <v>10000</v>
      </c>
      <c r="G581" s="480">
        <f>SUM(G582:G584)</f>
        <v>6000</v>
      </c>
      <c r="H581" s="53">
        <f t="shared" si="96"/>
        <v>16727968</v>
      </c>
    </row>
    <row r="582" spans="1:8" s="16" customFormat="1" ht="12" customHeight="1" x14ac:dyDescent="0.2">
      <c r="A582" s="31"/>
      <c r="B582" s="48"/>
      <c r="C582" s="42" t="s">
        <v>102</v>
      </c>
      <c r="D582" s="43" t="s">
        <v>13</v>
      </c>
      <c r="E582" s="68">
        <v>203277</v>
      </c>
      <c r="F582" s="68">
        <v>6000</v>
      </c>
      <c r="G582" s="52"/>
      <c r="H582" s="52">
        <f t="shared" si="96"/>
        <v>209277</v>
      </c>
    </row>
    <row r="583" spans="1:8" s="16" customFormat="1" ht="12" customHeight="1" x14ac:dyDescent="0.2">
      <c r="A583" s="31"/>
      <c r="B583" s="48"/>
      <c r="C583" s="55">
        <v>4280</v>
      </c>
      <c r="D583" s="40" t="s">
        <v>125</v>
      </c>
      <c r="E583" s="68">
        <v>18746</v>
      </c>
      <c r="F583" s="68">
        <v>4000</v>
      </c>
      <c r="G583" s="52"/>
      <c r="H583" s="52">
        <f t="shared" si="96"/>
        <v>22746</v>
      </c>
    </row>
    <row r="584" spans="1:8" s="16" customFormat="1" ht="12" customHeight="1" x14ac:dyDescent="0.2">
      <c r="A584" s="31"/>
      <c r="B584" s="48"/>
      <c r="C584" s="55">
        <v>4360</v>
      </c>
      <c r="D584" s="40" t="s">
        <v>109</v>
      </c>
      <c r="E584" s="68">
        <v>34000</v>
      </c>
      <c r="F584" s="68"/>
      <c r="G584" s="52">
        <v>6000</v>
      </c>
      <c r="H584" s="52">
        <f t="shared" si="96"/>
        <v>28000</v>
      </c>
    </row>
    <row r="585" spans="1:8" s="16" customFormat="1" ht="12" customHeight="1" x14ac:dyDescent="0.2">
      <c r="A585" s="31"/>
      <c r="B585" s="64">
        <v>85220</v>
      </c>
      <c r="C585" s="58"/>
      <c r="D585" s="64" t="s">
        <v>221</v>
      </c>
      <c r="E585" s="51"/>
      <c r="F585" s="41"/>
      <c r="G585" s="41"/>
      <c r="H585" s="41"/>
    </row>
    <row r="586" spans="1:8" s="16" customFormat="1" ht="12" customHeight="1" x14ac:dyDescent="0.2">
      <c r="A586" s="31"/>
      <c r="B586" s="141"/>
      <c r="C586" s="58"/>
      <c r="D586" s="73" t="s">
        <v>222</v>
      </c>
      <c r="E586" s="36">
        <v>874514</v>
      </c>
      <c r="F586" s="37">
        <f t="shared" ref="F586:G586" si="98">SUM(F588)</f>
        <v>3000</v>
      </c>
      <c r="G586" s="37">
        <f t="shared" si="98"/>
        <v>7000</v>
      </c>
      <c r="H586" s="38">
        <f t="shared" ref="H586" si="99">SUM(E586+F586-G586)</f>
        <v>870514</v>
      </c>
    </row>
    <row r="587" spans="1:8" s="16" customFormat="1" ht="12" customHeight="1" x14ac:dyDescent="0.2">
      <c r="A587" s="31"/>
      <c r="B587" s="141"/>
      <c r="C587" s="58"/>
      <c r="D587" s="64" t="s">
        <v>223</v>
      </c>
      <c r="E587" s="114"/>
      <c r="F587" s="52"/>
      <c r="G587" s="52"/>
      <c r="H587" s="68"/>
    </row>
    <row r="588" spans="1:8" s="16" customFormat="1" ht="12" customHeight="1" x14ac:dyDescent="0.2">
      <c r="A588" s="31"/>
      <c r="B588" s="25"/>
      <c r="C588" s="42"/>
      <c r="D588" s="486" t="s">
        <v>224</v>
      </c>
      <c r="E588" s="53">
        <v>843914</v>
      </c>
      <c r="F588" s="146">
        <f>SUM(F589:F591)</f>
        <v>3000</v>
      </c>
      <c r="G588" s="146">
        <f>SUM(G589:G591)</f>
        <v>7000</v>
      </c>
      <c r="H588" s="478">
        <f>SUM(E588+F588-G588)</f>
        <v>839914</v>
      </c>
    </row>
    <row r="589" spans="1:8" s="16" customFormat="1" ht="12" customHeight="1" x14ac:dyDescent="0.2">
      <c r="A589" s="31"/>
      <c r="B589" s="48"/>
      <c r="C589" s="42" t="s">
        <v>102</v>
      </c>
      <c r="D589" s="43" t="s">
        <v>13</v>
      </c>
      <c r="E589" s="68">
        <v>37900</v>
      </c>
      <c r="F589" s="68"/>
      <c r="G589" s="52">
        <v>3000</v>
      </c>
      <c r="H589" s="52">
        <f t="shared" ref="H589:H591" si="100">SUM(E589+F589-G589)</f>
        <v>34900</v>
      </c>
    </row>
    <row r="590" spans="1:8" s="16" customFormat="1" ht="12" customHeight="1" x14ac:dyDescent="0.2">
      <c r="A590" s="31"/>
      <c r="B590" s="48"/>
      <c r="C590" s="55">
        <v>4270</v>
      </c>
      <c r="D590" s="40" t="s">
        <v>95</v>
      </c>
      <c r="E590" s="68">
        <v>12000</v>
      </c>
      <c r="F590" s="68">
        <v>3000</v>
      </c>
      <c r="G590" s="52"/>
      <c r="H590" s="52">
        <f t="shared" si="100"/>
        <v>15000</v>
      </c>
    </row>
    <row r="591" spans="1:8" s="16" customFormat="1" ht="22.5" customHeight="1" x14ac:dyDescent="0.2">
      <c r="A591" s="31"/>
      <c r="B591" s="48"/>
      <c r="C591" s="83">
        <v>4700</v>
      </c>
      <c r="D591" s="104" t="s">
        <v>119</v>
      </c>
      <c r="E591" s="68">
        <v>9180</v>
      </c>
      <c r="F591" s="68"/>
      <c r="G591" s="52">
        <v>4000</v>
      </c>
      <c r="H591" s="52">
        <f t="shared" si="100"/>
        <v>5180</v>
      </c>
    </row>
    <row r="592" spans="1:8" s="16" customFormat="1" ht="12" customHeight="1" x14ac:dyDescent="0.2">
      <c r="A592" s="31"/>
      <c r="B592" s="35">
        <v>85230</v>
      </c>
      <c r="C592" s="58"/>
      <c r="D592" s="73" t="s">
        <v>55</v>
      </c>
      <c r="E592" s="36">
        <v>5618743</v>
      </c>
      <c r="F592" s="37">
        <f>SUM(F593,F596)</f>
        <v>7273</v>
      </c>
      <c r="G592" s="37">
        <f>SUM(G593,G596)</f>
        <v>6000</v>
      </c>
      <c r="H592" s="38">
        <f t="shared" si="96"/>
        <v>5620016</v>
      </c>
    </row>
    <row r="593" spans="1:8" s="16" customFormat="1" ht="12" customHeight="1" x14ac:dyDescent="0.2">
      <c r="A593" s="31"/>
      <c r="B593" s="35"/>
      <c r="C593" s="26"/>
      <c r="D593" s="493" t="s">
        <v>219</v>
      </c>
      <c r="E593" s="53">
        <v>5597700</v>
      </c>
      <c r="F593" s="480">
        <f>SUM(F594:F595)</f>
        <v>6000</v>
      </c>
      <c r="G593" s="480">
        <f>SUM(G594:G595)</f>
        <v>6000</v>
      </c>
      <c r="H593" s="53">
        <f>SUM(E593+F593-G593)</f>
        <v>5597700</v>
      </c>
    </row>
    <row r="594" spans="1:8" s="16" customFormat="1" ht="12" customHeight="1" x14ac:dyDescent="0.2">
      <c r="A594" s="31"/>
      <c r="B594" s="35"/>
      <c r="C594" s="55">
        <v>3110</v>
      </c>
      <c r="D594" s="40" t="s">
        <v>220</v>
      </c>
      <c r="E594" s="41">
        <v>2395700</v>
      </c>
      <c r="F594" s="51">
        <v>6000</v>
      </c>
      <c r="G594" s="51"/>
      <c r="H594" s="52">
        <f t="shared" ref="H594:H598" si="101">SUM(E594+F594-G594)</f>
        <v>2401700</v>
      </c>
    </row>
    <row r="595" spans="1:8" s="16" customFormat="1" ht="12" customHeight="1" x14ac:dyDescent="0.2">
      <c r="A595" s="31"/>
      <c r="B595" s="35"/>
      <c r="C595" s="55">
        <v>4300</v>
      </c>
      <c r="D595" s="40" t="s">
        <v>14</v>
      </c>
      <c r="E595" s="41">
        <v>3202000</v>
      </c>
      <c r="F595" s="52"/>
      <c r="G595" s="52">
        <v>6000</v>
      </c>
      <c r="H595" s="52">
        <f t="shared" si="101"/>
        <v>3196000</v>
      </c>
    </row>
    <row r="596" spans="1:8" s="16" customFormat="1" ht="22.5" customHeight="1" x14ac:dyDescent="0.2">
      <c r="A596" s="31"/>
      <c r="B596" s="35"/>
      <c r="C596" s="26"/>
      <c r="D596" s="487" t="s">
        <v>225</v>
      </c>
      <c r="E596" s="53">
        <v>19452</v>
      </c>
      <c r="F596" s="480">
        <f>SUM(F597:F597)</f>
        <v>1273</v>
      </c>
      <c r="G596" s="480">
        <f>SUM(G597:G597)</f>
        <v>0</v>
      </c>
      <c r="H596" s="53">
        <f t="shared" si="101"/>
        <v>20725</v>
      </c>
    </row>
    <row r="597" spans="1:8" s="16" customFormat="1" ht="21" customHeight="1" x14ac:dyDescent="0.2">
      <c r="A597" s="31"/>
      <c r="B597" s="35"/>
      <c r="C597" s="83">
        <v>3290</v>
      </c>
      <c r="D597" s="89" t="s">
        <v>226</v>
      </c>
      <c r="E597" s="41">
        <v>19452</v>
      </c>
      <c r="F597" s="51">
        <v>1273</v>
      </c>
      <c r="G597" s="51"/>
      <c r="H597" s="52">
        <f t="shared" si="101"/>
        <v>20725</v>
      </c>
    </row>
    <row r="598" spans="1:8" s="16" customFormat="1" ht="12" customHeight="1" x14ac:dyDescent="0.2">
      <c r="A598" s="31"/>
      <c r="B598" s="25">
        <v>85295</v>
      </c>
      <c r="C598" s="26"/>
      <c r="D598" s="50" t="s">
        <v>19</v>
      </c>
      <c r="E598" s="36">
        <v>5888714.9000000004</v>
      </c>
      <c r="F598" s="38">
        <f>SUM(F600)</f>
        <v>15000</v>
      </c>
      <c r="G598" s="38">
        <f>SUM(G600)</f>
        <v>15000</v>
      </c>
      <c r="H598" s="38">
        <f t="shared" si="101"/>
        <v>5888714.9000000004</v>
      </c>
    </row>
    <row r="599" spans="1:8" s="16" customFormat="1" ht="12" customHeight="1" x14ac:dyDescent="0.2">
      <c r="A599" s="31"/>
      <c r="B599" s="35"/>
      <c r="C599" s="138"/>
      <c r="D599" s="98" t="s">
        <v>227</v>
      </c>
      <c r="E599" s="41"/>
      <c r="F599" s="52"/>
      <c r="G599" s="52"/>
      <c r="H599" s="68"/>
    </row>
    <row r="600" spans="1:8" s="16" customFormat="1" ht="12" customHeight="1" x14ac:dyDescent="0.2">
      <c r="A600" s="31"/>
      <c r="B600" s="35"/>
      <c r="C600" s="26"/>
      <c r="D600" s="485" t="s">
        <v>228</v>
      </c>
      <c r="E600" s="53">
        <v>332424</v>
      </c>
      <c r="F600" s="146">
        <f>SUM(F601:F602)</f>
        <v>15000</v>
      </c>
      <c r="G600" s="146">
        <f>SUM(G601:G602)</f>
        <v>15000</v>
      </c>
      <c r="H600" s="478">
        <f t="shared" ref="H600:H620" si="102">SUM(E600+F600-G600)</f>
        <v>332424</v>
      </c>
    </row>
    <row r="601" spans="1:8" s="16" customFormat="1" ht="12" customHeight="1" x14ac:dyDescent="0.2">
      <c r="A601" s="31"/>
      <c r="B601" s="35"/>
      <c r="C601" s="42" t="s">
        <v>229</v>
      </c>
      <c r="D601" s="43" t="s">
        <v>13</v>
      </c>
      <c r="E601" s="51">
        <v>46250</v>
      </c>
      <c r="F601" s="41"/>
      <c r="G601" s="41">
        <v>15000</v>
      </c>
      <c r="H601" s="52">
        <f t="shared" si="102"/>
        <v>31250</v>
      </c>
    </row>
    <row r="602" spans="1:8" s="16" customFormat="1" ht="12" customHeight="1" x14ac:dyDescent="0.2">
      <c r="A602" s="31"/>
      <c r="B602" s="35"/>
      <c r="C602" s="55">
        <v>4247</v>
      </c>
      <c r="D602" s="40" t="s">
        <v>143</v>
      </c>
      <c r="E602" s="51">
        <v>82900</v>
      </c>
      <c r="F602" s="41">
        <v>15000</v>
      </c>
      <c r="G602" s="41"/>
      <c r="H602" s="52">
        <f t="shared" si="102"/>
        <v>97900</v>
      </c>
    </row>
    <row r="603" spans="1:8" s="16" customFormat="1" ht="12" customHeight="1" thickBot="1" x14ac:dyDescent="0.25">
      <c r="A603" s="32">
        <v>853</v>
      </c>
      <c r="B603" s="48"/>
      <c r="C603" s="31"/>
      <c r="D603" s="33" t="s">
        <v>18</v>
      </c>
      <c r="E603" s="30">
        <v>13013488.289999999</v>
      </c>
      <c r="F603" s="34">
        <f>SUM(F604,F613)</f>
        <v>11661.47</v>
      </c>
      <c r="G603" s="34">
        <f>SUM(G604,G613)</f>
        <v>7461.47</v>
      </c>
      <c r="H603" s="30">
        <f t="shared" si="102"/>
        <v>13017688.289999999</v>
      </c>
    </row>
    <row r="604" spans="1:8" s="16" customFormat="1" ht="12" customHeight="1" thickTop="1" x14ac:dyDescent="0.2">
      <c r="A604" s="32"/>
      <c r="B604" s="25">
        <v>85321</v>
      </c>
      <c r="C604" s="26"/>
      <c r="D604" s="50" t="s">
        <v>90</v>
      </c>
      <c r="E604" s="36">
        <v>398220</v>
      </c>
      <c r="F604" s="37">
        <f>SUM(F605)</f>
        <v>1684.47</v>
      </c>
      <c r="G604" s="37">
        <f>SUM(G605)</f>
        <v>1684.47</v>
      </c>
      <c r="H604" s="38">
        <f t="shared" si="102"/>
        <v>398220</v>
      </c>
    </row>
    <row r="605" spans="1:8" s="16" customFormat="1" ht="12" customHeight="1" x14ac:dyDescent="0.2">
      <c r="A605" s="32"/>
      <c r="B605" s="25"/>
      <c r="C605" s="26"/>
      <c r="D605" s="484" t="s">
        <v>230</v>
      </c>
      <c r="E605" s="60">
        <v>331225</v>
      </c>
      <c r="F605" s="146">
        <f>SUM(F606:F612)</f>
        <v>1684.47</v>
      </c>
      <c r="G605" s="146">
        <f>SUM(G606:G612)</f>
        <v>1684.47</v>
      </c>
      <c r="H605" s="478">
        <f t="shared" si="102"/>
        <v>331225</v>
      </c>
    </row>
    <row r="606" spans="1:8" s="16" customFormat="1" ht="12" customHeight="1" x14ac:dyDescent="0.2">
      <c r="A606" s="32"/>
      <c r="B606" s="48"/>
      <c r="C606" s="55">
        <v>4040</v>
      </c>
      <c r="D606" s="40" t="s">
        <v>116</v>
      </c>
      <c r="E606" s="51">
        <v>14776</v>
      </c>
      <c r="F606" s="51"/>
      <c r="G606" s="51">
        <v>300</v>
      </c>
      <c r="H606" s="52">
        <f t="shared" si="102"/>
        <v>14476</v>
      </c>
    </row>
    <row r="607" spans="1:8" s="16" customFormat="1" ht="23.25" customHeight="1" x14ac:dyDescent="0.2">
      <c r="A607" s="32"/>
      <c r="B607" s="48"/>
      <c r="C607" s="66">
        <v>4140</v>
      </c>
      <c r="D607" s="104" t="s">
        <v>118</v>
      </c>
      <c r="E607" s="51">
        <v>3648</v>
      </c>
      <c r="F607" s="51"/>
      <c r="G607" s="51">
        <v>720</v>
      </c>
      <c r="H607" s="52">
        <f t="shared" si="102"/>
        <v>2928</v>
      </c>
    </row>
    <row r="608" spans="1:8" s="16" customFormat="1" ht="12" customHeight="1" x14ac:dyDescent="0.2">
      <c r="A608" s="32"/>
      <c r="B608" s="48"/>
      <c r="C608" s="42" t="s">
        <v>102</v>
      </c>
      <c r="D608" s="43" t="s">
        <v>13</v>
      </c>
      <c r="E608" s="51">
        <v>2808</v>
      </c>
      <c r="F608" s="51">
        <v>203.58</v>
      </c>
      <c r="G608" s="51"/>
      <c r="H608" s="52">
        <f t="shared" si="102"/>
        <v>3011.58</v>
      </c>
    </row>
    <row r="609" spans="1:8" s="16" customFormat="1" ht="12" customHeight="1" x14ac:dyDescent="0.2">
      <c r="A609" s="32"/>
      <c r="B609" s="48"/>
      <c r="C609" s="55">
        <v>4260</v>
      </c>
      <c r="D609" s="40" t="s">
        <v>98</v>
      </c>
      <c r="E609" s="51">
        <v>12840</v>
      </c>
      <c r="F609" s="51">
        <v>930.9</v>
      </c>
      <c r="G609" s="51"/>
      <c r="H609" s="52">
        <f t="shared" si="102"/>
        <v>13770.9</v>
      </c>
    </row>
    <row r="610" spans="1:8" s="16" customFormat="1" ht="12" customHeight="1" x14ac:dyDescent="0.2">
      <c r="A610" s="32"/>
      <c r="B610" s="48"/>
      <c r="C610" s="55">
        <v>4280</v>
      </c>
      <c r="D610" s="40" t="s">
        <v>125</v>
      </c>
      <c r="E610" s="51">
        <v>500</v>
      </c>
      <c r="F610" s="51"/>
      <c r="G610" s="51">
        <v>110</v>
      </c>
      <c r="H610" s="52">
        <f t="shared" si="102"/>
        <v>390</v>
      </c>
    </row>
    <row r="611" spans="1:8" s="16" customFormat="1" ht="12" customHeight="1" x14ac:dyDescent="0.2">
      <c r="A611" s="32"/>
      <c r="B611" s="48"/>
      <c r="C611" s="55">
        <v>4300</v>
      </c>
      <c r="D611" s="40" t="s">
        <v>14</v>
      </c>
      <c r="E611" s="51">
        <v>31000</v>
      </c>
      <c r="F611" s="51">
        <v>549.99</v>
      </c>
      <c r="G611" s="51"/>
      <c r="H611" s="52">
        <f t="shared" si="102"/>
        <v>31549.99</v>
      </c>
    </row>
    <row r="612" spans="1:8" s="16" customFormat="1" ht="12" customHeight="1" x14ac:dyDescent="0.2">
      <c r="A612" s="142"/>
      <c r="B612" s="143"/>
      <c r="C612" s="101">
        <v>4360</v>
      </c>
      <c r="D612" s="50" t="s">
        <v>109</v>
      </c>
      <c r="E612" s="82">
        <v>1500</v>
      </c>
      <c r="F612" s="144"/>
      <c r="G612" s="145">
        <v>554.47</v>
      </c>
      <c r="H612" s="37">
        <f t="shared" si="102"/>
        <v>945.53</v>
      </c>
    </row>
    <row r="613" spans="1:8" s="16" customFormat="1" ht="12" customHeight="1" x14ac:dyDescent="0.2">
      <c r="A613" s="31"/>
      <c r="B613" s="25">
        <v>85395</v>
      </c>
      <c r="C613" s="26"/>
      <c r="D613" s="50" t="s">
        <v>19</v>
      </c>
      <c r="E613" s="36">
        <v>8479391.2899999991</v>
      </c>
      <c r="F613" s="38">
        <f>SUM(F615,F621,F625)</f>
        <v>9977</v>
      </c>
      <c r="G613" s="38">
        <f>SUM(G615,G621,G625)</f>
        <v>5777</v>
      </c>
      <c r="H613" s="38">
        <f t="shared" si="102"/>
        <v>8483591.2899999991</v>
      </c>
    </row>
    <row r="614" spans="1:8" s="16" customFormat="1" ht="12" customHeight="1" x14ac:dyDescent="0.2">
      <c r="A614" s="31"/>
      <c r="B614" s="25"/>
      <c r="C614" s="26"/>
      <c r="D614" s="40" t="s">
        <v>231</v>
      </c>
      <c r="E614" s="41"/>
      <c r="F614" s="68"/>
      <c r="G614" s="68"/>
      <c r="H614" s="68"/>
    </row>
    <row r="615" spans="1:8" s="16" customFormat="1" ht="12" customHeight="1" x14ac:dyDescent="0.2">
      <c r="A615" s="31"/>
      <c r="B615" s="25"/>
      <c r="C615" s="35"/>
      <c r="D615" s="477" t="s">
        <v>232</v>
      </c>
      <c r="E615" s="480">
        <v>546825</v>
      </c>
      <c r="F615" s="480">
        <f>SUM(F616:F620)</f>
        <v>3300</v>
      </c>
      <c r="G615" s="480">
        <f>SUM(G616:G620)</f>
        <v>3300</v>
      </c>
      <c r="H615" s="478">
        <f t="shared" si="102"/>
        <v>546825</v>
      </c>
    </row>
    <row r="616" spans="1:8" s="16" customFormat="1" ht="12" customHeight="1" x14ac:dyDescent="0.2">
      <c r="A616" s="31"/>
      <c r="B616" s="25"/>
      <c r="C616" s="55">
        <v>4010</v>
      </c>
      <c r="D616" s="40" t="s">
        <v>141</v>
      </c>
      <c r="E616" s="41">
        <v>265100</v>
      </c>
      <c r="F616" s="52"/>
      <c r="G616" s="52">
        <v>2000</v>
      </c>
      <c r="H616" s="52">
        <f t="shared" si="102"/>
        <v>263100</v>
      </c>
    </row>
    <row r="617" spans="1:8" s="16" customFormat="1" ht="12" customHeight="1" x14ac:dyDescent="0.2">
      <c r="A617" s="31"/>
      <c r="B617" s="25"/>
      <c r="C617" s="55">
        <v>4170</v>
      </c>
      <c r="D617" s="40" t="s">
        <v>124</v>
      </c>
      <c r="E617" s="41">
        <v>18000</v>
      </c>
      <c r="F617" s="52">
        <v>2000</v>
      </c>
      <c r="G617" s="52"/>
      <c r="H617" s="52">
        <f t="shared" si="102"/>
        <v>20000</v>
      </c>
    </row>
    <row r="618" spans="1:8" s="16" customFormat="1" ht="12" customHeight="1" x14ac:dyDescent="0.2">
      <c r="A618" s="31"/>
      <c r="B618" s="25"/>
      <c r="C618" s="42" t="s">
        <v>102</v>
      </c>
      <c r="D618" s="43" t="s">
        <v>13</v>
      </c>
      <c r="E618" s="41">
        <v>15000</v>
      </c>
      <c r="F618" s="52">
        <v>1300</v>
      </c>
      <c r="G618" s="52"/>
      <c r="H618" s="52">
        <f t="shared" si="102"/>
        <v>16300</v>
      </c>
    </row>
    <row r="619" spans="1:8" s="16" customFormat="1" ht="12" customHeight="1" x14ac:dyDescent="0.2">
      <c r="A619" s="31"/>
      <c r="B619" s="25"/>
      <c r="C619" s="55">
        <v>4360</v>
      </c>
      <c r="D619" s="40" t="s">
        <v>109</v>
      </c>
      <c r="E619" s="41">
        <v>2100</v>
      </c>
      <c r="F619" s="52"/>
      <c r="G619" s="52">
        <v>300</v>
      </c>
      <c r="H619" s="52">
        <f t="shared" si="102"/>
        <v>1800</v>
      </c>
    </row>
    <row r="620" spans="1:8" s="16" customFormat="1" ht="24" customHeight="1" x14ac:dyDescent="0.2">
      <c r="A620" s="31"/>
      <c r="B620" s="25"/>
      <c r="C620" s="83">
        <v>4700</v>
      </c>
      <c r="D620" s="104" t="s">
        <v>119</v>
      </c>
      <c r="E620" s="41">
        <v>1500</v>
      </c>
      <c r="F620" s="68"/>
      <c r="G620" s="68">
        <v>1000</v>
      </c>
      <c r="H620" s="52">
        <f t="shared" si="102"/>
        <v>500</v>
      </c>
    </row>
    <row r="621" spans="1:8" s="16" customFormat="1" ht="12" customHeight="1" x14ac:dyDescent="0.2">
      <c r="A621" s="31"/>
      <c r="B621" s="25"/>
      <c r="C621" s="42"/>
      <c r="D621" s="477" t="s">
        <v>233</v>
      </c>
      <c r="E621" s="53">
        <v>5601463</v>
      </c>
      <c r="F621" s="480">
        <f>SUM(F622:F624)</f>
        <v>6200</v>
      </c>
      <c r="G621" s="480">
        <f>SUM(G622:G624)</f>
        <v>2000</v>
      </c>
      <c r="H621" s="53">
        <f>SUM(E621+F621-G621)</f>
        <v>5605663</v>
      </c>
    </row>
    <row r="622" spans="1:8" s="16" customFormat="1" ht="12" customHeight="1" x14ac:dyDescent="0.2">
      <c r="A622" s="31"/>
      <c r="B622" s="25"/>
      <c r="C622" s="55">
        <v>3020</v>
      </c>
      <c r="D622" s="40" t="s">
        <v>115</v>
      </c>
      <c r="E622" s="41">
        <v>10000</v>
      </c>
      <c r="F622" s="52">
        <v>2000</v>
      </c>
      <c r="G622" s="52"/>
      <c r="H622" s="52">
        <f>SUM(E622+F622-G622)</f>
        <v>12000</v>
      </c>
    </row>
    <row r="623" spans="1:8" s="16" customFormat="1" ht="12" customHeight="1" x14ac:dyDescent="0.2">
      <c r="A623" s="31"/>
      <c r="B623" s="25"/>
      <c r="C623" s="55">
        <v>4010</v>
      </c>
      <c r="D623" s="40" t="s">
        <v>141</v>
      </c>
      <c r="E623" s="41">
        <v>2158111</v>
      </c>
      <c r="F623" s="52">
        <v>4200</v>
      </c>
      <c r="G623" s="52"/>
      <c r="H623" s="52">
        <f>SUM(E623+F623-G623)</f>
        <v>2162311</v>
      </c>
    </row>
    <row r="624" spans="1:8" s="16" customFormat="1" ht="12" customHeight="1" x14ac:dyDescent="0.2">
      <c r="A624" s="31"/>
      <c r="B624" s="25"/>
      <c r="C624" s="42" t="s">
        <v>102</v>
      </c>
      <c r="D624" s="43" t="s">
        <v>13</v>
      </c>
      <c r="E624" s="41">
        <v>286600</v>
      </c>
      <c r="F624" s="52"/>
      <c r="G624" s="52">
        <v>2000</v>
      </c>
      <c r="H624" s="52">
        <f>SUM(E624+F624-G624)</f>
        <v>284600</v>
      </c>
    </row>
    <row r="625" spans="1:8" s="16" customFormat="1" ht="23.25" customHeight="1" x14ac:dyDescent="0.2">
      <c r="A625" s="31"/>
      <c r="B625" s="25"/>
      <c r="C625" s="42"/>
      <c r="D625" s="494" t="s">
        <v>234</v>
      </c>
      <c r="E625" s="53">
        <v>91603.33</v>
      </c>
      <c r="F625" s="146">
        <f>SUM(F626:F629)</f>
        <v>477</v>
      </c>
      <c r="G625" s="146">
        <f>SUM(G626:G629)</f>
        <v>477</v>
      </c>
      <c r="H625" s="53">
        <f>SUM(E625+F625-G625)</f>
        <v>91603.33</v>
      </c>
    </row>
    <row r="626" spans="1:8" s="16" customFormat="1" ht="12" customHeight="1" x14ac:dyDescent="0.2">
      <c r="A626" s="31"/>
      <c r="B626" s="25"/>
      <c r="C626" s="55">
        <v>4017</v>
      </c>
      <c r="D626" s="40" t="s">
        <v>141</v>
      </c>
      <c r="E626" s="41">
        <v>40183.339999999997</v>
      </c>
      <c r="F626" s="52">
        <v>393</v>
      </c>
      <c r="G626" s="52">
        <v>15</v>
      </c>
      <c r="H626" s="52">
        <f t="shared" ref="H626:H629" si="103">SUM(E626+F626-G626)</f>
        <v>40561.339999999997</v>
      </c>
    </row>
    <row r="627" spans="1:8" s="16" customFormat="1" ht="12" customHeight="1" x14ac:dyDescent="0.2">
      <c r="A627" s="31"/>
      <c r="B627" s="25"/>
      <c r="C627" s="55">
        <v>4117</v>
      </c>
      <c r="D627" s="40" t="s">
        <v>235</v>
      </c>
      <c r="E627" s="41">
        <v>7015.73</v>
      </c>
      <c r="F627" s="52">
        <v>69</v>
      </c>
      <c r="G627" s="52"/>
      <c r="H627" s="52">
        <f t="shared" si="103"/>
        <v>7084.73</v>
      </c>
    </row>
    <row r="628" spans="1:8" s="16" customFormat="1" ht="12" customHeight="1" x14ac:dyDescent="0.2">
      <c r="A628" s="31"/>
      <c r="B628" s="25"/>
      <c r="C628" s="55">
        <v>4127</v>
      </c>
      <c r="D628" s="43" t="s">
        <v>236</v>
      </c>
      <c r="E628" s="41">
        <v>1066.82</v>
      </c>
      <c r="F628" s="52">
        <v>5</v>
      </c>
      <c r="G628" s="52">
        <v>462</v>
      </c>
      <c r="H628" s="52">
        <f t="shared" si="103"/>
        <v>609.81999999999994</v>
      </c>
    </row>
    <row r="629" spans="1:8" s="16" customFormat="1" ht="12" customHeight="1" x14ac:dyDescent="0.2">
      <c r="A629" s="31"/>
      <c r="B629" s="25"/>
      <c r="C629" s="55">
        <v>4717</v>
      </c>
      <c r="D629" s="43" t="s">
        <v>111</v>
      </c>
      <c r="E629" s="41">
        <v>89.52</v>
      </c>
      <c r="F629" s="52">
        <v>10</v>
      </c>
      <c r="G629" s="52"/>
      <c r="H629" s="52">
        <f t="shared" si="103"/>
        <v>99.52</v>
      </c>
    </row>
    <row r="630" spans="1:8" s="16" customFormat="1" ht="12" customHeight="1" thickBot="1" x14ac:dyDescent="0.25">
      <c r="A630" s="48">
        <v>854</v>
      </c>
      <c r="B630" s="48"/>
      <c r="C630" s="31"/>
      <c r="D630" s="33" t="s">
        <v>57</v>
      </c>
      <c r="E630" s="30">
        <v>19248406.690000001</v>
      </c>
      <c r="F630" s="34">
        <f>SUM(F631,F637,F648,F654,F657)</f>
        <v>49056</v>
      </c>
      <c r="G630" s="34">
        <f>SUM(G631,G637,G648,G654,G657)</f>
        <v>188970</v>
      </c>
      <c r="H630" s="30">
        <f t="shared" ref="H630:H648" si="104">SUM(E630+F630-G630)</f>
        <v>19108492.690000001</v>
      </c>
    </row>
    <row r="631" spans="1:8" s="16" customFormat="1" ht="12" customHeight="1" thickTop="1" x14ac:dyDescent="0.2">
      <c r="A631" s="48"/>
      <c r="B631" s="42">
        <v>85404</v>
      </c>
      <c r="C631" s="31"/>
      <c r="D631" s="97" t="s">
        <v>237</v>
      </c>
      <c r="E631" s="36">
        <v>1193741</v>
      </c>
      <c r="F631" s="37">
        <f>SUM(F632)</f>
        <v>12000</v>
      </c>
      <c r="G631" s="37">
        <f>SUM(G632)</f>
        <v>0</v>
      </c>
      <c r="H631" s="38">
        <f t="shared" ref="H631:H637" si="105">SUM(E631+F631-G631)</f>
        <v>1205741</v>
      </c>
    </row>
    <row r="632" spans="1:8" s="16" customFormat="1" ht="11.25" x14ac:dyDescent="0.2">
      <c r="A632" s="48"/>
      <c r="B632" s="141"/>
      <c r="C632" s="31"/>
      <c r="D632" s="484" t="s">
        <v>139</v>
      </c>
      <c r="E632" s="60">
        <v>578951</v>
      </c>
      <c r="F632" s="140">
        <f>SUM(F633:F635)</f>
        <v>12000</v>
      </c>
      <c r="G632" s="140">
        <f>SUM(G633:G635)</f>
        <v>0</v>
      </c>
      <c r="H632" s="53">
        <f>SUM(E632+F632-G632)</f>
        <v>590951</v>
      </c>
    </row>
    <row r="633" spans="1:8" s="16" customFormat="1" ht="11.25" x14ac:dyDescent="0.2">
      <c r="A633" s="48"/>
      <c r="B633" s="141"/>
      <c r="C633" s="55">
        <v>4110</v>
      </c>
      <c r="D633" s="40" t="s">
        <v>117</v>
      </c>
      <c r="E633" s="68">
        <v>88315</v>
      </c>
      <c r="F633" s="52">
        <f>1000</f>
        <v>1000</v>
      </c>
      <c r="G633" s="52"/>
      <c r="H633" s="52">
        <f t="shared" ref="H633:H635" si="106">SUM(E633+F633-G633)</f>
        <v>89315</v>
      </c>
    </row>
    <row r="634" spans="1:8" s="16" customFormat="1" ht="11.25" x14ac:dyDescent="0.2">
      <c r="A634" s="48"/>
      <c r="B634" s="141"/>
      <c r="C634" s="55">
        <v>4120</v>
      </c>
      <c r="D634" s="40" t="s">
        <v>142</v>
      </c>
      <c r="E634" s="68">
        <v>12218</v>
      </c>
      <c r="F634" s="52">
        <f>1000</f>
        <v>1000</v>
      </c>
      <c r="G634" s="52"/>
      <c r="H634" s="52">
        <f t="shared" si="106"/>
        <v>13218</v>
      </c>
    </row>
    <row r="635" spans="1:8" s="16" customFormat="1" ht="11.25" x14ac:dyDescent="0.2">
      <c r="A635" s="48"/>
      <c r="B635" s="141"/>
      <c r="C635" s="55">
        <v>4790</v>
      </c>
      <c r="D635" s="40" t="s">
        <v>179</v>
      </c>
      <c r="E635" s="41">
        <v>428159</v>
      </c>
      <c r="F635" s="51">
        <f>10000</f>
        <v>10000</v>
      </c>
      <c r="G635" s="51"/>
      <c r="H635" s="68">
        <f t="shared" si="106"/>
        <v>438159</v>
      </c>
    </row>
    <row r="636" spans="1:8" s="16" customFormat="1" ht="11.25" x14ac:dyDescent="0.2">
      <c r="A636" s="48"/>
      <c r="B636" s="25">
        <v>85406</v>
      </c>
      <c r="C636" s="55"/>
      <c r="D636" s="40" t="s">
        <v>238</v>
      </c>
      <c r="E636" s="63"/>
      <c r="F636" s="76"/>
      <c r="G636" s="76"/>
      <c r="H636" s="63"/>
    </row>
    <row r="637" spans="1:8" s="16" customFormat="1" ht="11.25" x14ac:dyDescent="0.2">
      <c r="A637" s="48"/>
      <c r="B637" s="25"/>
      <c r="C637" s="26"/>
      <c r="D637" s="86" t="s">
        <v>239</v>
      </c>
      <c r="E637" s="38">
        <v>4713899.9000000004</v>
      </c>
      <c r="F637" s="37">
        <f>SUM(F638)</f>
        <v>25470</v>
      </c>
      <c r="G637" s="37">
        <f>SUM(G638)</f>
        <v>17470</v>
      </c>
      <c r="H637" s="38">
        <f t="shared" si="105"/>
        <v>4721899.9000000004</v>
      </c>
    </row>
    <row r="638" spans="1:8" s="16" customFormat="1" ht="11.25" x14ac:dyDescent="0.2">
      <c r="A638" s="48"/>
      <c r="B638" s="25"/>
      <c r="C638" s="26"/>
      <c r="D638" s="484" t="s">
        <v>139</v>
      </c>
      <c r="E638" s="478">
        <v>4632234</v>
      </c>
      <c r="F638" s="478">
        <f>SUM(F639:F647)</f>
        <v>25470</v>
      </c>
      <c r="G638" s="478">
        <f>SUM(G639:G647)</f>
        <v>17470</v>
      </c>
      <c r="H638" s="53">
        <f>SUM(E638+F638-G638)</f>
        <v>4640234</v>
      </c>
    </row>
    <row r="639" spans="1:8" s="16" customFormat="1" ht="11.25" x14ac:dyDescent="0.2">
      <c r="A639" s="48"/>
      <c r="B639" s="25"/>
      <c r="C639" s="55">
        <v>4120</v>
      </c>
      <c r="D639" s="40" t="s">
        <v>142</v>
      </c>
      <c r="E639" s="41">
        <v>71592</v>
      </c>
      <c r="F639" s="41"/>
      <c r="G639" s="41">
        <v>12000</v>
      </c>
      <c r="H639" s="68">
        <f t="shared" ref="H639:H647" si="107">SUM(E639+F639-G639)</f>
        <v>59592</v>
      </c>
    </row>
    <row r="640" spans="1:8" s="16" customFormat="1" ht="22.5" x14ac:dyDescent="0.2">
      <c r="A640" s="48"/>
      <c r="B640" s="25"/>
      <c r="C640" s="83">
        <v>4140</v>
      </c>
      <c r="D640" s="147" t="s">
        <v>118</v>
      </c>
      <c r="E640" s="41">
        <v>22686</v>
      </c>
      <c r="F640" s="41"/>
      <c r="G640" s="41">
        <v>4000</v>
      </c>
      <c r="H640" s="68">
        <f t="shared" si="107"/>
        <v>18686</v>
      </c>
    </row>
    <row r="641" spans="1:8" s="16" customFormat="1" ht="11.25" x14ac:dyDescent="0.2">
      <c r="A641" s="48"/>
      <c r="B641" s="25"/>
      <c r="C641" s="83">
        <v>4210</v>
      </c>
      <c r="D641" s="98" t="s">
        <v>205</v>
      </c>
      <c r="E641" s="41">
        <v>41239</v>
      </c>
      <c r="F641" s="41">
        <v>2500</v>
      </c>
      <c r="G641" s="41"/>
      <c r="H641" s="68">
        <f t="shared" si="107"/>
        <v>43739</v>
      </c>
    </row>
    <row r="642" spans="1:8" s="16" customFormat="1" ht="11.25" x14ac:dyDescent="0.2">
      <c r="A642" s="48"/>
      <c r="B642" s="25"/>
      <c r="C642" s="83">
        <v>4240</v>
      </c>
      <c r="D642" s="98" t="s">
        <v>143</v>
      </c>
      <c r="E642" s="41">
        <v>4498</v>
      </c>
      <c r="F642" s="41"/>
      <c r="G642" s="41">
        <v>720</v>
      </c>
      <c r="H642" s="68">
        <f t="shared" si="107"/>
        <v>3778</v>
      </c>
    </row>
    <row r="643" spans="1:8" s="16" customFormat="1" ht="11.25" x14ac:dyDescent="0.2">
      <c r="A643" s="48"/>
      <c r="B643" s="25"/>
      <c r="C643" s="83">
        <v>4270</v>
      </c>
      <c r="D643" s="40" t="s">
        <v>95</v>
      </c>
      <c r="E643" s="41">
        <v>5453</v>
      </c>
      <c r="F643" s="41">
        <v>750</v>
      </c>
      <c r="G643" s="41"/>
      <c r="H643" s="68">
        <f t="shared" si="107"/>
        <v>6203</v>
      </c>
    </row>
    <row r="644" spans="1:8" s="16" customFormat="1" ht="11.25" x14ac:dyDescent="0.2">
      <c r="A644" s="48"/>
      <c r="B644" s="25"/>
      <c r="C644" s="83">
        <v>4300</v>
      </c>
      <c r="D644" s="40" t="s">
        <v>14</v>
      </c>
      <c r="E644" s="41">
        <v>28490</v>
      </c>
      <c r="F644" s="41">
        <v>1500</v>
      </c>
      <c r="G644" s="41"/>
      <c r="H644" s="68">
        <f t="shared" si="107"/>
        <v>29990</v>
      </c>
    </row>
    <row r="645" spans="1:8" s="16" customFormat="1" ht="22.5" x14ac:dyDescent="0.2">
      <c r="A645" s="48"/>
      <c r="B645" s="25"/>
      <c r="C645" s="83">
        <v>4700</v>
      </c>
      <c r="D645" s="104" t="s">
        <v>119</v>
      </c>
      <c r="E645" s="41">
        <v>3925</v>
      </c>
      <c r="F645" s="41">
        <v>720</v>
      </c>
      <c r="G645" s="41"/>
      <c r="H645" s="68">
        <f t="shared" si="107"/>
        <v>4645</v>
      </c>
    </row>
    <row r="646" spans="1:8" s="16" customFormat="1" ht="11.25" x14ac:dyDescent="0.2">
      <c r="A646" s="48"/>
      <c r="B646" s="25"/>
      <c r="C646" s="55">
        <v>4710</v>
      </c>
      <c r="D646" s="43" t="s">
        <v>111</v>
      </c>
      <c r="E646" s="41">
        <v>2761</v>
      </c>
      <c r="F646" s="41"/>
      <c r="G646" s="41">
        <v>750</v>
      </c>
      <c r="H646" s="68">
        <f t="shared" si="107"/>
        <v>2011</v>
      </c>
    </row>
    <row r="647" spans="1:8" s="16" customFormat="1" ht="11.25" x14ac:dyDescent="0.2">
      <c r="A647" s="48"/>
      <c r="B647" s="25"/>
      <c r="C647" s="55">
        <v>4790</v>
      </c>
      <c r="D647" s="43" t="s">
        <v>147</v>
      </c>
      <c r="E647" s="41">
        <v>2828710</v>
      </c>
      <c r="F647" s="41">
        <v>20000</v>
      </c>
      <c r="G647" s="41"/>
      <c r="H647" s="68">
        <f t="shared" si="107"/>
        <v>2848710</v>
      </c>
    </row>
    <row r="648" spans="1:8" s="16" customFormat="1" ht="11.25" x14ac:dyDescent="0.2">
      <c r="A648" s="48"/>
      <c r="B648" s="35">
        <v>85410</v>
      </c>
      <c r="C648" s="59"/>
      <c r="D648" s="73" t="s">
        <v>240</v>
      </c>
      <c r="E648" s="38">
        <v>4364053.7299999995</v>
      </c>
      <c r="F648" s="37">
        <f>SUM(F649,F651)</f>
        <v>4000</v>
      </c>
      <c r="G648" s="37">
        <f>SUM(G649,G651)</f>
        <v>8000</v>
      </c>
      <c r="H648" s="38">
        <f t="shared" si="104"/>
        <v>4360053.7299999995</v>
      </c>
    </row>
    <row r="649" spans="1:8" s="16" customFormat="1" ht="11.25" x14ac:dyDescent="0.2">
      <c r="A649" s="48"/>
      <c r="B649" s="35"/>
      <c r="C649" s="26"/>
      <c r="D649" s="484" t="s">
        <v>139</v>
      </c>
      <c r="E649" s="478">
        <v>3215837</v>
      </c>
      <c r="F649" s="478">
        <f>SUM(F650:F650)</f>
        <v>0</v>
      </c>
      <c r="G649" s="478">
        <f>SUM(G650:G650)</f>
        <v>8000</v>
      </c>
      <c r="H649" s="53">
        <f>SUM(E649+F649-G649)</f>
        <v>3207837</v>
      </c>
    </row>
    <row r="650" spans="1:8" s="16" customFormat="1" ht="11.25" x14ac:dyDescent="0.2">
      <c r="A650" s="48"/>
      <c r="B650" s="35"/>
      <c r="C650" s="55">
        <v>4120</v>
      </c>
      <c r="D650" s="40" t="s">
        <v>142</v>
      </c>
      <c r="E650" s="41">
        <v>44916</v>
      </c>
      <c r="F650" s="51"/>
      <c r="G650" s="51">
        <v>8000</v>
      </c>
      <c r="H650" s="68">
        <f t="shared" ref="H650" si="108">SUM(E650+F650-G650)</f>
        <v>36916</v>
      </c>
    </row>
    <row r="651" spans="1:8" s="16" customFormat="1" ht="22.5" x14ac:dyDescent="0.2">
      <c r="A651" s="48"/>
      <c r="B651" s="35"/>
      <c r="C651" s="26"/>
      <c r="D651" s="479" t="s">
        <v>148</v>
      </c>
      <c r="E651" s="478">
        <v>40216.43</v>
      </c>
      <c r="F651" s="478">
        <f>SUM(F652:F653)</f>
        <v>4000</v>
      </c>
      <c r="G651" s="478">
        <f>SUM(G652:G653)</f>
        <v>0</v>
      </c>
      <c r="H651" s="53">
        <f>SUM(E651+F651-G651)</f>
        <v>44216.43</v>
      </c>
    </row>
    <row r="652" spans="1:8" s="16" customFormat="1" ht="11.25" x14ac:dyDescent="0.2">
      <c r="A652" s="48"/>
      <c r="B652" s="35"/>
      <c r="C652" s="61" t="s">
        <v>151</v>
      </c>
      <c r="D652" s="25" t="s">
        <v>152</v>
      </c>
      <c r="E652" s="41">
        <v>750</v>
      </c>
      <c r="F652" s="41">
        <f>1000</f>
        <v>1000</v>
      </c>
      <c r="G652" s="41"/>
      <c r="H652" s="68">
        <f t="shared" ref="H652:H653" si="109">SUM(E652+F652-G652)</f>
        <v>1750</v>
      </c>
    </row>
    <row r="653" spans="1:8" s="16" customFormat="1" ht="22.5" x14ac:dyDescent="0.2">
      <c r="A653" s="48"/>
      <c r="B653" s="35"/>
      <c r="C653" s="61" t="s">
        <v>241</v>
      </c>
      <c r="D653" s="89" t="s">
        <v>155</v>
      </c>
      <c r="E653" s="41">
        <v>5600</v>
      </c>
      <c r="F653" s="41">
        <f>3000</f>
        <v>3000</v>
      </c>
      <c r="G653" s="41"/>
      <c r="H653" s="68">
        <f t="shared" si="109"/>
        <v>8600</v>
      </c>
    </row>
    <row r="654" spans="1:8" s="16" customFormat="1" ht="11.25" x14ac:dyDescent="0.2">
      <c r="A654" s="48"/>
      <c r="B654" s="55">
        <v>85415</v>
      </c>
      <c r="C654" s="25"/>
      <c r="D654" s="50" t="s">
        <v>58</v>
      </c>
      <c r="E654" s="36">
        <v>781725</v>
      </c>
      <c r="F654" s="38">
        <f>SUM(F655)</f>
        <v>0</v>
      </c>
      <c r="G654" s="38">
        <f>SUM(G655)</f>
        <v>150000</v>
      </c>
      <c r="H654" s="36">
        <f>SUM(E654+F654-G654)</f>
        <v>631725</v>
      </c>
    </row>
    <row r="655" spans="1:8" s="16" customFormat="1" ht="11.25" x14ac:dyDescent="0.2">
      <c r="A655" s="48"/>
      <c r="B655" s="64"/>
      <c r="C655" s="42"/>
      <c r="D655" s="477" t="s">
        <v>137</v>
      </c>
      <c r="E655" s="53">
        <v>651335</v>
      </c>
      <c r="F655" s="53">
        <f>SUM(F656)</f>
        <v>0</v>
      </c>
      <c r="G655" s="53">
        <f>SUM(G656)</f>
        <v>150000</v>
      </c>
      <c r="H655" s="146">
        <f t="shared" ref="H655:H656" si="110">SUM(E655+F655-G655)</f>
        <v>501335</v>
      </c>
    </row>
    <row r="656" spans="1:8" s="16" customFormat="1" ht="11.25" x14ac:dyDescent="0.2">
      <c r="A656" s="48"/>
      <c r="B656" s="64"/>
      <c r="C656" s="55">
        <v>3240</v>
      </c>
      <c r="D656" s="40" t="s">
        <v>242</v>
      </c>
      <c r="E656" s="41">
        <v>600000</v>
      </c>
      <c r="F656" s="41"/>
      <c r="G656" s="41">
        <v>150000</v>
      </c>
      <c r="H656" s="52">
        <f t="shared" si="110"/>
        <v>450000</v>
      </c>
    </row>
    <row r="657" spans="1:8" s="16" customFormat="1" ht="11.25" x14ac:dyDescent="0.2">
      <c r="A657" s="48"/>
      <c r="B657" s="55">
        <v>85420</v>
      </c>
      <c r="C657" s="55"/>
      <c r="D657" s="86" t="s">
        <v>243</v>
      </c>
      <c r="E657" s="38">
        <v>6821345.2599999998</v>
      </c>
      <c r="F657" s="37">
        <f>SUM(F658,F662)</f>
        <v>7586</v>
      </c>
      <c r="G657" s="37">
        <f>SUM(G658,G662)</f>
        <v>13500</v>
      </c>
      <c r="H657" s="38">
        <f>SUM(E657+F657-G657)</f>
        <v>6815431.2599999998</v>
      </c>
    </row>
    <row r="658" spans="1:8" s="16" customFormat="1" ht="11.25" x14ac:dyDescent="0.2">
      <c r="A658" s="48"/>
      <c r="B658" s="25"/>
      <c r="C658" s="26"/>
      <c r="D658" s="484" t="s">
        <v>139</v>
      </c>
      <c r="E658" s="53">
        <v>6767634.2599999998</v>
      </c>
      <c r="F658" s="146">
        <f>SUM(F659:F661)</f>
        <v>1500</v>
      </c>
      <c r="G658" s="146">
        <f>SUM(G659:G661)</f>
        <v>13500</v>
      </c>
      <c r="H658" s="53">
        <f>SUM(E658+F658-G658)</f>
        <v>6755634.2599999998</v>
      </c>
    </row>
    <row r="659" spans="1:8" s="16" customFormat="1" ht="11.25" x14ac:dyDescent="0.2">
      <c r="A659" s="48"/>
      <c r="B659" s="25"/>
      <c r="C659" s="55">
        <v>3020</v>
      </c>
      <c r="D659" s="40" t="s">
        <v>115</v>
      </c>
      <c r="E659" s="68">
        <v>5985</v>
      </c>
      <c r="F659" s="52">
        <v>1500</v>
      </c>
      <c r="G659" s="52"/>
      <c r="H659" s="52">
        <f t="shared" ref="H659:H661" si="111">SUM(E659+F659-G659)</f>
        <v>7485</v>
      </c>
    </row>
    <row r="660" spans="1:8" s="16" customFormat="1" ht="11.25" x14ac:dyDescent="0.2">
      <c r="A660" s="48"/>
      <c r="B660" s="25"/>
      <c r="C660" s="55">
        <v>4110</v>
      </c>
      <c r="D660" s="40" t="s">
        <v>117</v>
      </c>
      <c r="E660" s="68">
        <v>691804</v>
      </c>
      <c r="F660" s="51"/>
      <c r="G660" s="51">
        <f>12000</f>
        <v>12000</v>
      </c>
      <c r="H660" s="52">
        <f t="shared" si="111"/>
        <v>679804</v>
      </c>
    </row>
    <row r="661" spans="1:8" s="16" customFormat="1" ht="11.25" x14ac:dyDescent="0.2">
      <c r="A661" s="48"/>
      <c r="B661" s="25"/>
      <c r="C661" s="55">
        <v>4260</v>
      </c>
      <c r="D661" s="40" t="s">
        <v>98</v>
      </c>
      <c r="E661" s="68">
        <v>958900</v>
      </c>
      <c r="F661" s="51"/>
      <c r="G661" s="51">
        <v>1500</v>
      </c>
      <c r="H661" s="52">
        <f t="shared" si="111"/>
        <v>957400</v>
      </c>
    </row>
    <row r="662" spans="1:8" s="16" customFormat="1" ht="22.5" x14ac:dyDescent="0.2">
      <c r="A662" s="48"/>
      <c r="B662" s="25"/>
      <c r="C662" s="26"/>
      <c r="D662" s="479" t="s">
        <v>148</v>
      </c>
      <c r="E662" s="478">
        <v>3711</v>
      </c>
      <c r="F662" s="478">
        <f>SUM(F663:F665)</f>
        <v>6086</v>
      </c>
      <c r="G662" s="478">
        <f>SUM(G663:G663)</f>
        <v>0</v>
      </c>
      <c r="H662" s="53">
        <f>SUM(E662+F662-G662)</f>
        <v>9797</v>
      </c>
    </row>
    <row r="663" spans="1:8" s="16" customFormat="1" ht="22.5" x14ac:dyDescent="0.2">
      <c r="A663" s="48"/>
      <c r="B663" s="25"/>
      <c r="C663" s="61" t="s">
        <v>149</v>
      </c>
      <c r="D663" s="104" t="s">
        <v>150</v>
      </c>
      <c r="E663" s="41">
        <v>3711</v>
      </c>
      <c r="F663" s="41">
        <f>786</f>
        <v>786</v>
      </c>
      <c r="G663" s="41"/>
      <c r="H663" s="68">
        <f t="shared" ref="H663:H665" si="112">SUM(E663+F663-G663)</f>
        <v>4497</v>
      </c>
    </row>
    <row r="664" spans="1:8" s="16" customFormat="1" ht="11.25" x14ac:dyDescent="0.2">
      <c r="A664" s="48"/>
      <c r="B664" s="25"/>
      <c r="C664" s="61" t="s">
        <v>151</v>
      </c>
      <c r="D664" s="25" t="s">
        <v>152</v>
      </c>
      <c r="E664" s="41">
        <v>0</v>
      </c>
      <c r="F664" s="41">
        <f>300</f>
        <v>300</v>
      </c>
      <c r="G664" s="41"/>
      <c r="H664" s="68">
        <f t="shared" si="112"/>
        <v>300</v>
      </c>
    </row>
    <row r="665" spans="1:8" s="16" customFormat="1" ht="22.5" x14ac:dyDescent="0.2">
      <c r="A665" s="78"/>
      <c r="B665" s="79"/>
      <c r="C665" s="125" t="s">
        <v>241</v>
      </c>
      <c r="D665" s="88" t="s">
        <v>155</v>
      </c>
      <c r="E665" s="36">
        <v>0</v>
      </c>
      <c r="F665" s="36">
        <f>5000</f>
        <v>5000</v>
      </c>
      <c r="G665" s="36"/>
      <c r="H665" s="38">
        <f t="shared" si="112"/>
        <v>5000</v>
      </c>
    </row>
    <row r="666" spans="1:8" s="16" customFormat="1" ht="12" customHeight="1" thickBot="1" x14ac:dyDescent="0.25">
      <c r="A666" s="48">
        <v>855</v>
      </c>
      <c r="B666" s="48"/>
      <c r="C666" s="31"/>
      <c r="D666" s="33" t="s">
        <v>59</v>
      </c>
      <c r="E666" s="34">
        <v>53381061.979999997</v>
      </c>
      <c r="F666" s="34">
        <f>SUM(F667,F671,F674,F679,F718,F721)</f>
        <v>391996.95</v>
      </c>
      <c r="G666" s="34">
        <f>SUM(G667,G671,G674,G679,G718,G721)</f>
        <v>123412.95</v>
      </c>
      <c r="H666" s="34">
        <f>SUM(E666+F666-G666)</f>
        <v>53649645.979999997</v>
      </c>
    </row>
    <row r="667" spans="1:8" s="16" customFormat="1" ht="33.75" customHeight="1" thickTop="1" x14ac:dyDescent="0.2">
      <c r="A667" s="48"/>
      <c r="B667" s="83">
        <v>85502</v>
      </c>
      <c r="C667" s="26"/>
      <c r="D667" s="88" t="s">
        <v>74</v>
      </c>
      <c r="E667" s="38">
        <v>1175389</v>
      </c>
      <c r="F667" s="37">
        <f>SUM(F668)</f>
        <v>3000</v>
      </c>
      <c r="G667" s="37">
        <f>SUM(G668)</f>
        <v>3000</v>
      </c>
      <c r="H667" s="38">
        <f>SUM(E667+F667-G667)</f>
        <v>1175389</v>
      </c>
    </row>
    <row r="668" spans="1:8" s="16" customFormat="1" ht="12" customHeight="1" x14ac:dyDescent="0.2">
      <c r="A668" s="48"/>
      <c r="B668" s="48"/>
      <c r="C668" s="42"/>
      <c r="D668" s="481" t="s">
        <v>210</v>
      </c>
      <c r="E668" s="53">
        <v>917548</v>
      </c>
      <c r="F668" s="480">
        <f>SUM(F669:F670)</f>
        <v>3000</v>
      </c>
      <c r="G668" s="480">
        <f>SUM(G669:G670)</f>
        <v>3000</v>
      </c>
      <c r="H668" s="53">
        <f t="shared" ref="H668:H718" si="113">SUM(E668+F668-G668)</f>
        <v>917548</v>
      </c>
    </row>
    <row r="669" spans="1:8" s="16" customFormat="1" ht="12" customHeight="1" x14ac:dyDescent="0.2">
      <c r="A669" s="48"/>
      <c r="B669" s="25"/>
      <c r="C669" s="42" t="s">
        <v>102</v>
      </c>
      <c r="D669" s="43" t="s">
        <v>13</v>
      </c>
      <c r="E669" s="51">
        <v>57795</v>
      </c>
      <c r="F669" s="41">
        <v>3000</v>
      </c>
      <c r="G669" s="51"/>
      <c r="H669" s="68">
        <f t="shared" si="113"/>
        <v>60795</v>
      </c>
    </row>
    <row r="670" spans="1:8" s="16" customFormat="1" ht="12" customHeight="1" x14ac:dyDescent="0.2">
      <c r="A670" s="48"/>
      <c r="B670" s="25"/>
      <c r="C670" s="55">
        <v>4360</v>
      </c>
      <c r="D670" s="40" t="s">
        <v>109</v>
      </c>
      <c r="E670" s="51">
        <v>8500</v>
      </c>
      <c r="F670" s="41"/>
      <c r="G670" s="51">
        <v>3000</v>
      </c>
      <c r="H670" s="68">
        <f t="shared" si="113"/>
        <v>5500</v>
      </c>
    </row>
    <row r="671" spans="1:8" s="16" customFormat="1" ht="12" customHeight="1" x14ac:dyDescent="0.2">
      <c r="A671" s="48"/>
      <c r="B671" s="96">
        <v>85503</v>
      </c>
      <c r="C671" s="148"/>
      <c r="D671" s="97" t="s">
        <v>244</v>
      </c>
      <c r="E671" s="82">
        <v>0</v>
      </c>
      <c r="F671" s="37">
        <f t="shared" ref="F671:G671" si="114">SUM(F672)</f>
        <v>0.95</v>
      </c>
      <c r="G671" s="37">
        <f t="shared" si="114"/>
        <v>0</v>
      </c>
      <c r="H671" s="38">
        <f t="shared" si="113"/>
        <v>0.95</v>
      </c>
    </row>
    <row r="672" spans="1:8" s="16" customFormat="1" ht="12" customHeight="1" x14ac:dyDescent="0.2">
      <c r="A672" s="48"/>
      <c r="B672" s="100"/>
      <c r="C672" s="148"/>
      <c r="D672" s="488" t="s">
        <v>245</v>
      </c>
      <c r="E672" s="140">
        <v>0</v>
      </c>
      <c r="F672" s="146">
        <f>SUM(F673:F673)</f>
        <v>0.95</v>
      </c>
      <c r="G672" s="146">
        <f>SUM(G673:G673)</f>
        <v>0</v>
      </c>
      <c r="H672" s="478">
        <f t="shared" si="113"/>
        <v>0.95</v>
      </c>
    </row>
    <row r="673" spans="1:8" s="16" customFormat="1" ht="12" customHeight="1" x14ac:dyDescent="0.2">
      <c r="A673" s="48"/>
      <c r="B673" s="100"/>
      <c r="C673" s="55">
        <v>4430</v>
      </c>
      <c r="D673" s="40" t="s">
        <v>110</v>
      </c>
      <c r="E673" s="51">
        <v>0</v>
      </c>
      <c r="F673" s="41">
        <v>0.95</v>
      </c>
      <c r="G673" s="41"/>
      <c r="H673" s="52">
        <f t="shared" si="113"/>
        <v>0.95</v>
      </c>
    </row>
    <row r="674" spans="1:8" s="16" customFormat="1" ht="12" customHeight="1" x14ac:dyDescent="0.2">
      <c r="A674" s="48"/>
      <c r="B674" s="55">
        <v>85504</v>
      </c>
      <c r="C674" s="26"/>
      <c r="D674" s="57" t="s">
        <v>246</v>
      </c>
      <c r="E674" s="36">
        <v>1135318</v>
      </c>
      <c r="F674" s="38">
        <f>SUM(F675)</f>
        <v>3500</v>
      </c>
      <c r="G674" s="38">
        <f>SUM(G675)</f>
        <v>3500</v>
      </c>
      <c r="H674" s="38">
        <f t="shared" si="113"/>
        <v>1135318</v>
      </c>
    </row>
    <row r="675" spans="1:8" s="16" customFormat="1" ht="12" customHeight="1" x14ac:dyDescent="0.2">
      <c r="A675" s="48"/>
      <c r="B675" s="32"/>
      <c r="C675" s="35"/>
      <c r="D675" s="486" t="s">
        <v>247</v>
      </c>
      <c r="E675" s="478">
        <v>794630</v>
      </c>
      <c r="F675" s="480">
        <f>SUM(F676:F678)</f>
        <v>3500</v>
      </c>
      <c r="G675" s="480">
        <f>SUM(G676:G678)</f>
        <v>3500</v>
      </c>
      <c r="H675" s="53">
        <f t="shared" si="113"/>
        <v>794630</v>
      </c>
    </row>
    <row r="676" spans="1:8" s="16" customFormat="1" ht="12" customHeight="1" x14ac:dyDescent="0.2">
      <c r="A676" s="48"/>
      <c r="B676" s="32"/>
      <c r="C676" s="55">
        <v>4120</v>
      </c>
      <c r="D676" s="40" t="s">
        <v>142</v>
      </c>
      <c r="E676" s="41">
        <v>14514</v>
      </c>
      <c r="F676" s="52"/>
      <c r="G676" s="52">
        <v>2000</v>
      </c>
      <c r="H676" s="52">
        <f t="shared" si="113"/>
        <v>12514</v>
      </c>
    </row>
    <row r="677" spans="1:8" s="16" customFormat="1" ht="12" customHeight="1" x14ac:dyDescent="0.2">
      <c r="A677" s="48"/>
      <c r="B677" s="32"/>
      <c r="C677" s="42" t="s">
        <v>102</v>
      </c>
      <c r="D677" s="43" t="s">
        <v>13</v>
      </c>
      <c r="E677" s="41">
        <v>6770</v>
      </c>
      <c r="F677" s="52">
        <v>3500</v>
      </c>
      <c r="G677" s="52"/>
      <c r="H677" s="52">
        <f t="shared" si="113"/>
        <v>10270</v>
      </c>
    </row>
    <row r="678" spans="1:8" s="16" customFormat="1" ht="12" customHeight="1" x14ac:dyDescent="0.2">
      <c r="A678" s="48"/>
      <c r="B678" s="48"/>
      <c r="C678" s="55">
        <v>4360</v>
      </c>
      <c r="D678" s="40" t="s">
        <v>109</v>
      </c>
      <c r="E678" s="41">
        <v>4000</v>
      </c>
      <c r="F678" s="52"/>
      <c r="G678" s="52">
        <v>1500</v>
      </c>
      <c r="H678" s="52">
        <f t="shared" si="113"/>
        <v>2500</v>
      </c>
    </row>
    <row r="679" spans="1:8" s="16" customFormat="1" ht="12" customHeight="1" x14ac:dyDescent="0.2">
      <c r="A679" s="48"/>
      <c r="B679" s="25">
        <v>85510</v>
      </c>
      <c r="C679" s="55"/>
      <c r="D679" s="50" t="s">
        <v>60</v>
      </c>
      <c r="E679" s="36">
        <v>37858415.759999998</v>
      </c>
      <c r="F679" s="38">
        <f>SUM(F680,F685,F700,F711,F713)</f>
        <v>118925</v>
      </c>
      <c r="G679" s="38">
        <f>SUM(G680,G685,G700,G711,G713)</f>
        <v>106912.95</v>
      </c>
      <c r="H679" s="38">
        <f t="shared" si="113"/>
        <v>37870427.809999995</v>
      </c>
    </row>
    <row r="680" spans="1:8" s="16" customFormat="1" ht="12" customHeight="1" x14ac:dyDescent="0.2">
      <c r="A680" s="48"/>
      <c r="B680" s="25"/>
      <c r="C680" s="26"/>
      <c r="D680" s="495" t="s">
        <v>248</v>
      </c>
      <c r="E680" s="53">
        <v>4276245</v>
      </c>
      <c r="F680" s="146">
        <f>SUM(F681:F684)</f>
        <v>8996</v>
      </c>
      <c r="G680" s="146">
        <f>SUM(G681:G684)</f>
        <v>8996</v>
      </c>
      <c r="H680" s="53">
        <f t="shared" si="113"/>
        <v>4276245</v>
      </c>
    </row>
    <row r="681" spans="1:8" s="16" customFormat="1" ht="12" customHeight="1" x14ac:dyDescent="0.2">
      <c r="A681" s="48"/>
      <c r="B681" s="25"/>
      <c r="C681" s="55">
        <v>4110</v>
      </c>
      <c r="D681" s="40" t="s">
        <v>117</v>
      </c>
      <c r="E681" s="41">
        <v>450919</v>
      </c>
      <c r="F681" s="51">
        <v>8000</v>
      </c>
      <c r="G681" s="51"/>
      <c r="H681" s="51">
        <f t="shared" si="113"/>
        <v>458919</v>
      </c>
    </row>
    <row r="682" spans="1:8" s="16" customFormat="1" ht="12" customHeight="1" x14ac:dyDescent="0.2">
      <c r="A682" s="48"/>
      <c r="B682" s="25"/>
      <c r="C682" s="55">
        <v>4120</v>
      </c>
      <c r="D682" s="40" t="s">
        <v>142</v>
      </c>
      <c r="E682" s="41">
        <v>70779</v>
      </c>
      <c r="F682" s="51"/>
      <c r="G682" s="51">
        <v>8000</v>
      </c>
      <c r="H682" s="51">
        <f t="shared" si="113"/>
        <v>62779</v>
      </c>
    </row>
    <row r="683" spans="1:8" s="16" customFormat="1" ht="12" customHeight="1" x14ac:dyDescent="0.2">
      <c r="A683" s="48"/>
      <c r="B683" s="25"/>
      <c r="C683" s="42" t="s">
        <v>102</v>
      </c>
      <c r="D683" s="43" t="s">
        <v>13</v>
      </c>
      <c r="E683" s="41">
        <v>155749</v>
      </c>
      <c r="F683" s="51">
        <v>996</v>
      </c>
      <c r="G683" s="51"/>
      <c r="H683" s="51">
        <f t="shared" si="113"/>
        <v>156745</v>
      </c>
    </row>
    <row r="684" spans="1:8" s="16" customFormat="1" ht="12" customHeight="1" x14ac:dyDescent="0.2">
      <c r="A684" s="48"/>
      <c r="B684" s="25"/>
      <c r="C684" s="55">
        <v>4440</v>
      </c>
      <c r="D684" s="40" t="s">
        <v>180</v>
      </c>
      <c r="E684" s="41">
        <v>75634</v>
      </c>
      <c r="F684" s="51"/>
      <c r="G684" s="51">
        <v>996</v>
      </c>
      <c r="H684" s="51">
        <f t="shared" si="113"/>
        <v>74638</v>
      </c>
    </row>
    <row r="685" spans="1:8" s="16" customFormat="1" ht="12" customHeight="1" x14ac:dyDescent="0.2">
      <c r="A685" s="48"/>
      <c r="B685" s="25"/>
      <c r="C685" s="26"/>
      <c r="D685" s="496" t="s">
        <v>249</v>
      </c>
      <c r="E685" s="53">
        <v>2712754</v>
      </c>
      <c r="F685" s="146">
        <f>SUM(F686:F699)</f>
        <v>56517</v>
      </c>
      <c r="G685" s="146">
        <f>SUM(G686:G699)</f>
        <v>56517</v>
      </c>
      <c r="H685" s="53">
        <f t="shared" si="113"/>
        <v>2712754</v>
      </c>
    </row>
    <row r="686" spans="1:8" s="16" customFormat="1" ht="12" customHeight="1" x14ac:dyDescent="0.2">
      <c r="A686" s="48"/>
      <c r="B686" s="25"/>
      <c r="C686" s="55">
        <v>3020</v>
      </c>
      <c r="D686" s="40" t="s">
        <v>115</v>
      </c>
      <c r="E686" s="41">
        <v>5200</v>
      </c>
      <c r="F686" s="51"/>
      <c r="G686" s="51">
        <v>300</v>
      </c>
      <c r="H686" s="51">
        <f t="shared" si="113"/>
        <v>4900</v>
      </c>
    </row>
    <row r="687" spans="1:8" s="16" customFormat="1" ht="12" customHeight="1" x14ac:dyDescent="0.2">
      <c r="A687" s="48"/>
      <c r="B687" s="25"/>
      <c r="C687" s="55">
        <v>3110</v>
      </c>
      <c r="D687" s="40" t="s">
        <v>220</v>
      </c>
      <c r="E687" s="41">
        <v>3078</v>
      </c>
      <c r="F687" s="51"/>
      <c r="G687" s="51">
        <v>1788</v>
      </c>
      <c r="H687" s="51">
        <f t="shared" si="113"/>
        <v>1290</v>
      </c>
    </row>
    <row r="688" spans="1:8" s="16" customFormat="1" ht="12" customHeight="1" x14ac:dyDescent="0.2">
      <c r="A688" s="48"/>
      <c r="B688" s="25"/>
      <c r="C688" s="55">
        <v>4110</v>
      </c>
      <c r="D688" s="40" t="s">
        <v>117</v>
      </c>
      <c r="E688" s="41">
        <v>299211</v>
      </c>
      <c r="F688" s="51">
        <v>9000</v>
      </c>
      <c r="G688" s="51"/>
      <c r="H688" s="51">
        <f t="shared" si="113"/>
        <v>308211</v>
      </c>
    </row>
    <row r="689" spans="1:8" s="16" customFormat="1" ht="12" customHeight="1" x14ac:dyDescent="0.2">
      <c r="A689" s="48"/>
      <c r="B689" s="25"/>
      <c r="C689" s="55">
        <v>4120</v>
      </c>
      <c r="D689" s="40" t="s">
        <v>142</v>
      </c>
      <c r="E689" s="41">
        <v>45120</v>
      </c>
      <c r="F689" s="51"/>
      <c r="G689" s="51">
        <v>8000</v>
      </c>
      <c r="H689" s="51">
        <f t="shared" si="113"/>
        <v>37120</v>
      </c>
    </row>
    <row r="690" spans="1:8" s="16" customFormat="1" ht="24" customHeight="1" x14ac:dyDescent="0.2">
      <c r="A690" s="48"/>
      <c r="B690" s="25"/>
      <c r="C690" s="66">
        <v>4140</v>
      </c>
      <c r="D690" s="104" t="s">
        <v>118</v>
      </c>
      <c r="E690" s="41">
        <v>14297</v>
      </c>
      <c r="F690" s="51"/>
      <c r="G690" s="51">
        <v>14297</v>
      </c>
      <c r="H690" s="51">
        <f t="shared" si="113"/>
        <v>0</v>
      </c>
    </row>
    <row r="691" spans="1:8" s="16" customFormat="1" ht="12" customHeight="1" x14ac:dyDescent="0.2">
      <c r="A691" s="48"/>
      <c r="B691" s="25"/>
      <c r="C691" s="55">
        <v>4170</v>
      </c>
      <c r="D691" s="40" t="s">
        <v>124</v>
      </c>
      <c r="E691" s="41">
        <v>41890</v>
      </c>
      <c r="F691" s="51">
        <v>6000</v>
      </c>
      <c r="G691" s="51"/>
      <c r="H691" s="51">
        <f t="shared" si="113"/>
        <v>47890</v>
      </c>
    </row>
    <row r="692" spans="1:8" s="16" customFormat="1" ht="12" customHeight="1" x14ac:dyDescent="0.2">
      <c r="A692" s="48"/>
      <c r="B692" s="25"/>
      <c r="C692" s="42" t="s">
        <v>102</v>
      </c>
      <c r="D692" s="43" t="s">
        <v>13</v>
      </c>
      <c r="E692" s="41">
        <v>58580</v>
      </c>
      <c r="F692" s="51">
        <v>10000</v>
      </c>
      <c r="G692" s="51"/>
      <c r="H692" s="51">
        <f t="shared" si="113"/>
        <v>68580</v>
      </c>
    </row>
    <row r="693" spans="1:8" s="16" customFormat="1" ht="12" customHeight="1" x14ac:dyDescent="0.2">
      <c r="A693" s="48"/>
      <c r="B693" s="25"/>
      <c r="C693" s="55">
        <v>4220</v>
      </c>
      <c r="D693" s="40" t="s">
        <v>211</v>
      </c>
      <c r="E693" s="41">
        <v>121330</v>
      </c>
      <c r="F693" s="51">
        <v>14000</v>
      </c>
      <c r="G693" s="51"/>
      <c r="H693" s="51">
        <f t="shared" si="113"/>
        <v>135330</v>
      </c>
    </row>
    <row r="694" spans="1:8" s="16" customFormat="1" ht="12" customHeight="1" x14ac:dyDescent="0.2">
      <c r="A694" s="48"/>
      <c r="B694" s="25"/>
      <c r="C694" s="55">
        <v>4260</v>
      </c>
      <c r="D694" s="40" t="s">
        <v>98</v>
      </c>
      <c r="E694" s="41">
        <v>123370</v>
      </c>
      <c r="F694" s="51"/>
      <c r="G694" s="51">
        <v>13771</v>
      </c>
      <c r="H694" s="51">
        <f t="shared" si="113"/>
        <v>109599</v>
      </c>
    </row>
    <row r="695" spans="1:8" s="16" customFormat="1" ht="12" customHeight="1" x14ac:dyDescent="0.2">
      <c r="A695" s="48"/>
      <c r="B695" s="25"/>
      <c r="C695" s="55">
        <v>4300</v>
      </c>
      <c r="D695" s="40" t="s">
        <v>14</v>
      </c>
      <c r="E695" s="41">
        <v>79900</v>
      </c>
      <c r="F695" s="51">
        <v>8000</v>
      </c>
      <c r="G695" s="51"/>
      <c r="H695" s="51">
        <f t="shared" si="113"/>
        <v>87900</v>
      </c>
    </row>
    <row r="696" spans="1:8" s="16" customFormat="1" ht="12" customHeight="1" x14ac:dyDescent="0.2">
      <c r="A696" s="48"/>
      <c r="B696" s="25"/>
      <c r="C696" s="55">
        <v>4360</v>
      </c>
      <c r="D696" s="40" t="s">
        <v>109</v>
      </c>
      <c r="E696" s="41">
        <v>4731</v>
      </c>
      <c r="F696" s="51">
        <v>1000</v>
      </c>
      <c r="G696" s="51"/>
      <c r="H696" s="51">
        <f t="shared" si="113"/>
        <v>5731</v>
      </c>
    </row>
    <row r="697" spans="1:8" s="16" customFormat="1" ht="12" customHeight="1" x14ac:dyDescent="0.2">
      <c r="A697" s="48"/>
      <c r="B697" s="25"/>
      <c r="C697" s="55">
        <v>4430</v>
      </c>
      <c r="D697" s="40" t="s">
        <v>110</v>
      </c>
      <c r="E697" s="41">
        <v>5240</v>
      </c>
      <c r="F697" s="51"/>
      <c r="G697" s="51">
        <v>284</v>
      </c>
      <c r="H697" s="51">
        <f t="shared" si="113"/>
        <v>4956</v>
      </c>
    </row>
    <row r="698" spans="1:8" s="16" customFormat="1" ht="12" customHeight="1" x14ac:dyDescent="0.2">
      <c r="A698" s="48"/>
      <c r="B698" s="25"/>
      <c r="C698" s="55">
        <v>4440</v>
      </c>
      <c r="D698" s="40" t="s">
        <v>180</v>
      </c>
      <c r="E698" s="41">
        <v>64988</v>
      </c>
      <c r="F698" s="51">
        <v>8517</v>
      </c>
      <c r="G698" s="51"/>
      <c r="H698" s="51">
        <f t="shared" si="113"/>
        <v>73505</v>
      </c>
    </row>
    <row r="699" spans="1:8" s="16" customFormat="1" ht="12" customHeight="1" x14ac:dyDescent="0.2">
      <c r="A699" s="48"/>
      <c r="B699" s="25"/>
      <c r="C699" s="55">
        <v>4710</v>
      </c>
      <c r="D699" s="64" t="s">
        <v>111</v>
      </c>
      <c r="E699" s="41">
        <v>18077</v>
      </c>
      <c r="F699" s="51"/>
      <c r="G699" s="51">
        <v>18077</v>
      </c>
      <c r="H699" s="51">
        <f t="shared" si="113"/>
        <v>0</v>
      </c>
    </row>
    <row r="700" spans="1:8" s="16" customFormat="1" ht="12" customHeight="1" x14ac:dyDescent="0.2">
      <c r="A700" s="48"/>
      <c r="B700" s="25"/>
      <c r="C700" s="26"/>
      <c r="D700" s="496" t="s">
        <v>250</v>
      </c>
      <c r="E700" s="53">
        <v>1962413.76</v>
      </c>
      <c r="F700" s="146">
        <f>SUM(F701:F710)</f>
        <v>41399</v>
      </c>
      <c r="G700" s="146">
        <f>SUM(G701:G710)</f>
        <v>10000</v>
      </c>
      <c r="H700" s="53">
        <f t="shared" si="113"/>
        <v>1993812.76</v>
      </c>
    </row>
    <row r="701" spans="1:8" s="16" customFormat="1" ht="12" customHeight="1" x14ac:dyDescent="0.2">
      <c r="A701" s="48"/>
      <c r="B701" s="25"/>
      <c r="C701" s="55">
        <v>3110</v>
      </c>
      <c r="D701" s="40" t="s">
        <v>220</v>
      </c>
      <c r="E701" s="41">
        <v>6840</v>
      </c>
      <c r="F701" s="51">
        <v>420</v>
      </c>
      <c r="G701" s="51"/>
      <c r="H701" s="51">
        <f t="shared" si="113"/>
        <v>7260</v>
      </c>
    </row>
    <row r="702" spans="1:8" s="16" customFormat="1" ht="12" customHeight="1" x14ac:dyDescent="0.2">
      <c r="A702" s="48"/>
      <c r="B702" s="25"/>
      <c r="C702" s="55">
        <v>4110</v>
      </c>
      <c r="D702" s="40" t="s">
        <v>117</v>
      </c>
      <c r="E702" s="41">
        <v>228142</v>
      </c>
      <c r="F702" s="51">
        <f>2067+7000</f>
        <v>9067</v>
      </c>
      <c r="G702" s="51"/>
      <c r="H702" s="51">
        <f t="shared" si="113"/>
        <v>237209</v>
      </c>
    </row>
    <row r="703" spans="1:8" s="16" customFormat="1" ht="12" customHeight="1" x14ac:dyDescent="0.2">
      <c r="A703" s="48"/>
      <c r="B703" s="25"/>
      <c r="C703" s="55">
        <v>4120</v>
      </c>
      <c r="D703" s="40" t="s">
        <v>142</v>
      </c>
      <c r="E703" s="41">
        <v>33112</v>
      </c>
      <c r="F703" s="51"/>
      <c r="G703" s="51">
        <v>2800</v>
      </c>
      <c r="H703" s="51">
        <f t="shared" si="113"/>
        <v>30312</v>
      </c>
    </row>
    <row r="704" spans="1:8" s="16" customFormat="1" ht="12" customHeight="1" x14ac:dyDescent="0.2">
      <c r="A704" s="48"/>
      <c r="B704" s="25"/>
      <c r="C704" s="42" t="s">
        <v>102</v>
      </c>
      <c r="D704" s="43" t="s">
        <v>13</v>
      </c>
      <c r="E704" s="41">
        <v>46665</v>
      </c>
      <c r="F704" s="51">
        <v>3000</v>
      </c>
      <c r="G704" s="51"/>
      <c r="H704" s="51">
        <f t="shared" si="113"/>
        <v>49665</v>
      </c>
    </row>
    <row r="705" spans="1:8" s="16" customFormat="1" ht="12" customHeight="1" x14ac:dyDescent="0.2">
      <c r="A705" s="48"/>
      <c r="B705" s="25"/>
      <c r="C705" s="55">
        <v>4260</v>
      </c>
      <c r="D705" s="40" t="s">
        <v>98</v>
      </c>
      <c r="E705" s="41">
        <v>77832</v>
      </c>
      <c r="F705" s="51">
        <v>3000</v>
      </c>
      <c r="G705" s="51"/>
      <c r="H705" s="51">
        <f t="shared" si="113"/>
        <v>80832</v>
      </c>
    </row>
    <row r="706" spans="1:8" s="16" customFormat="1" ht="12" customHeight="1" x14ac:dyDescent="0.2">
      <c r="A706" s="48"/>
      <c r="B706" s="25"/>
      <c r="C706" s="55">
        <v>4270</v>
      </c>
      <c r="D706" s="40" t="s">
        <v>95</v>
      </c>
      <c r="E706" s="41">
        <v>6300</v>
      </c>
      <c r="F706" s="51"/>
      <c r="G706" s="51">
        <v>5000</v>
      </c>
      <c r="H706" s="51">
        <f t="shared" si="113"/>
        <v>1300</v>
      </c>
    </row>
    <row r="707" spans="1:8" s="16" customFormat="1" ht="12" customHeight="1" x14ac:dyDescent="0.2">
      <c r="A707" s="48"/>
      <c r="B707" s="25"/>
      <c r="C707" s="55">
        <v>4300</v>
      </c>
      <c r="D707" s="40" t="s">
        <v>14</v>
      </c>
      <c r="E707" s="41">
        <v>88400</v>
      </c>
      <c r="F707" s="51">
        <v>18399</v>
      </c>
      <c r="G707" s="51"/>
      <c r="H707" s="51">
        <f t="shared" si="113"/>
        <v>106799</v>
      </c>
    </row>
    <row r="708" spans="1:8" s="16" customFormat="1" ht="12" customHeight="1" x14ac:dyDescent="0.2">
      <c r="A708" s="48"/>
      <c r="B708" s="25"/>
      <c r="C708" s="55">
        <v>4440</v>
      </c>
      <c r="D708" s="40" t="s">
        <v>180</v>
      </c>
      <c r="E708" s="41">
        <v>20570</v>
      </c>
      <c r="F708" s="51">
        <v>7513</v>
      </c>
      <c r="G708" s="51"/>
      <c r="H708" s="51">
        <f t="shared" si="113"/>
        <v>28083</v>
      </c>
    </row>
    <row r="709" spans="1:8" s="16" customFormat="1" ht="12" customHeight="1" x14ac:dyDescent="0.2">
      <c r="A709" s="48"/>
      <c r="B709" s="25"/>
      <c r="C709" s="83">
        <v>4520</v>
      </c>
      <c r="D709" s="74" t="s">
        <v>251</v>
      </c>
      <c r="E709" s="41">
        <v>671.76</v>
      </c>
      <c r="F709" s="51"/>
      <c r="G709" s="51">
        <v>500</v>
      </c>
      <c r="H709" s="51">
        <f t="shared" si="113"/>
        <v>171.76</v>
      </c>
    </row>
    <row r="710" spans="1:8" s="16" customFormat="1" ht="12" customHeight="1" x14ac:dyDescent="0.2">
      <c r="A710" s="48"/>
      <c r="B710" s="25"/>
      <c r="C710" s="120" t="s">
        <v>252</v>
      </c>
      <c r="D710" s="128" t="s">
        <v>111</v>
      </c>
      <c r="E710" s="41">
        <v>2740</v>
      </c>
      <c r="F710" s="51"/>
      <c r="G710" s="51">
        <v>1700</v>
      </c>
      <c r="H710" s="51">
        <f t="shared" si="113"/>
        <v>1040</v>
      </c>
    </row>
    <row r="711" spans="1:8" s="16" customFormat="1" ht="12" customHeight="1" x14ac:dyDescent="0.2">
      <c r="A711" s="48"/>
      <c r="B711" s="25"/>
      <c r="C711" s="26"/>
      <c r="D711" s="497" t="s">
        <v>245</v>
      </c>
      <c r="E711" s="53">
        <v>2751500</v>
      </c>
      <c r="F711" s="146">
        <f>SUM(F712:F712)</f>
        <v>0</v>
      </c>
      <c r="G711" s="146">
        <f>SUM(G712:G712)</f>
        <v>31399.95</v>
      </c>
      <c r="H711" s="478">
        <f t="shared" si="113"/>
        <v>2720100.05</v>
      </c>
    </row>
    <row r="712" spans="1:8" s="16" customFormat="1" ht="45.75" customHeight="1" x14ac:dyDescent="0.2">
      <c r="A712" s="48"/>
      <c r="B712" s="25"/>
      <c r="C712" s="61" t="s">
        <v>253</v>
      </c>
      <c r="D712" s="104" t="s">
        <v>254</v>
      </c>
      <c r="E712" s="41">
        <v>2751500</v>
      </c>
      <c r="F712" s="51"/>
      <c r="G712" s="51">
        <f>31399+0.95</f>
        <v>31399.95</v>
      </c>
      <c r="H712" s="52">
        <f t="shared" si="113"/>
        <v>2720100.05</v>
      </c>
    </row>
    <row r="713" spans="1:8" s="16" customFormat="1" ht="36" customHeight="1" x14ac:dyDescent="0.2">
      <c r="A713" s="48"/>
      <c r="B713" s="25"/>
      <c r="C713" s="26"/>
      <c r="D713" s="498" t="s">
        <v>255</v>
      </c>
      <c r="E713" s="53">
        <v>0</v>
      </c>
      <c r="F713" s="146">
        <f>SUM(F714:F717)</f>
        <v>12013</v>
      </c>
      <c r="G713" s="146">
        <f>SUM(G714:G717)</f>
        <v>0</v>
      </c>
      <c r="H713" s="53">
        <f t="shared" ref="H713:H717" si="115">SUM(E713+F713-G713)</f>
        <v>12013</v>
      </c>
    </row>
    <row r="714" spans="1:8" s="16" customFormat="1" ht="21.75" customHeight="1" x14ac:dyDescent="0.2">
      <c r="A714" s="48"/>
      <c r="B714" s="25"/>
      <c r="C714" s="61" t="s">
        <v>149</v>
      </c>
      <c r="D714" s="104" t="s">
        <v>150</v>
      </c>
      <c r="E714" s="41">
        <v>0</v>
      </c>
      <c r="F714" s="51">
        <v>961</v>
      </c>
      <c r="G714" s="51"/>
      <c r="H714" s="51">
        <f t="shared" si="115"/>
        <v>961</v>
      </c>
    </row>
    <row r="715" spans="1:8" s="16" customFormat="1" ht="12" customHeight="1" x14ac:dyDescent="0.2">
      <c r="A715" s="78"/>
      <c r="B715" s="79"/>
      <c r="C715" s="101">
        <v>4370</v>
      </c>
      <c r="D715" s="50" t="s">
        <v>152</v>
      </c>
      <c r="E715" s="36">
        <v>0</v>
      </c>
      <c r="F715" s="82">
        <v>1562</v>
      </c>
      <c r="G715" s="82"/>
      <c r="H715" s="82">
        <f t="shared" si="115"/>
        <v>1562</v>
      </c>
    </row>
    <row r="716" spans="1:8" s="16" customFormat="1" ht="23.25" customHeight="1" x14ac:dyDescent="0.2">
      <c r="A716" s="48"/>
      <c r="B716" s="25"/>
      <c r="C716" s="83">
        <v>4740</v>
      </c>
      <c r="D716" s="89" t="s">
        <v>256</v>
      </c>
      <c r="E716" s="41">
        <v>0</v>
      </c>
      <c r="F716" s="51">
        <v>7808</v>
      </c>
      <c r="G716" s="51"/>
      <c r="H716" s="51">
        <f t="shared" si="115"/>
        <v>7808</v>
      </c>
    </row>
    <row r="717" spans="1:8" s="16" customFormat="1" ht="23.25" customHeight="1" x14ac:dyDescent="0.2">
      <c r="A717" s="48"/>
      <c r="B717" s="25"/>
      <c r="C717" s="83">
        <v>4850</v>
      </c>
      <c r="D717" s="89" t="s">
        <v>154</v>
      </c>
      <c r="E717" s="41">
        <v>0</v>
      </c>
      <c r="F717" s="51">
        <v>1682</v>
      </c>
      <c r="G717" s="51"/>
      <c r="H717" s="51">
        <f t="shared" si="115"/>
        <v>1682</v>
      </c>
    </row>
    <row r="718" spans="1:8" s="16" customFormat="1" ht="12" customHeight="1" x14ac:dyDescent="0.2">
      <c r="A718" s="48"/>
      <c r="B718" s="25">
        <v>85516</v>
      </c>
      <c r="C718" s="70"/>
      <c r="D718" s="149" t="s">
        <v>257</v>
      </c>
      <c r="E718" s="36">
        <v>8609593</v>
      </c>
      <c r="F718" s="37">
        <f>SUM(F719)</f>
        <v>237111</v>
      </c>
      <c r="G718" s="37">
        <f>SUM(G719)</f>
        <v>0</v>
      </c>
      <c r="H718" s="38">
        <f t="shared" si="113"/>
        <v>8846704</v>
      </c>
    </row>
    <row r="719" spans="1:8" s="16" customFormat="1" ht="12" customHeight="1" x14ac:dyDescent="0.2">
      <c r="A719" s="48"/>
      <c r="B719" s="25"/>
      <c r="C719" s="70"/>
      <c r="D719" s="496" t="s">
        <v>258</v>
      </c>
      <c r="E719" s="53">
        <v>8608593</v>
      </c>
      <c r="F719" s="480">
        <f>SUM(F720)</f>
        <v>237111</v>
      </c>
      <c r="G719" s="480">
        <f>SUM(G720)</f>
        <v>0</v>
      </c>
      <c r="H719" s="53">
        <f>SUM(E719+F719-G719)</f>
        <v>8845704</v>
      </c>
    </row>
    <row r="720" spans="1:8" s="16" customFormat="1" ht="12" customHeight="1" x14ac:dyDescent="0.2">
      <c r="A720" s="48"/>
      <c r="B720" s="25"/>
      <c r="C720" s="55">
        <v>4010</v>
      </c>
      <c r="D720" s="40" t="s">
        <v>141</v>
      </c>
      <c r="E720" s="41">
        <v>3964855</v>
      </c>
      <c r="F720" s="51">
        <v>237111</v>
      </c>
      <c r="G720" s="51"/>
      <c r="H720" s="52">
        <f t="shared" ref="H720" si="116">SUM(E720+F720-G720)</f>
        <v>4201966</v>
      </c>
    </row>
    <row r="721" spans="1:8" s="16" customFormat="1" ht="12" customHeight="1" x14ac:dyDescent="0.2">
      <c r="A721" s="48"/>
      <c r="B721" s="83">
        <v>85595</v>
      </c>
      <c r="C721" s="26"/>
      <c r="D721" s="65" t="s">
        <v>19</v>
      </c>
      <c r="E721" s="38">
        <v>649773.22</v>
      </c>
      <c r="F721" s="37">
        <f>SUM(F722,F725)</f>
        <v>29460</v>
      </c>
      <c r="G721" s="37">
        <f>SUM(G722,G725)</f>
        <v>10000</v>
      </c>
      <c r="H721" s="38">
        <f>SUM(E721+F721-G721)</f>
        <v>669233.22</v>
      </c>
    </row>
    <row r="722" spans="1:8" s="16" customFormat="1" ht="12" customHeight="1" x14ac:dyDescent="0.2">
      <c r="A722" s="48"/>
      <c r="B722" s="83"/>
      <c r="C722" s="26"/>
      <c r="D722" s="496" t="s">
        <v>250</v>
      </c>
      <c r="E722" s="53">
        <v>32307</v>
      </c>
      <c r="F722" s="146">
        <f>SUM(F723:F724)</f>
        <v>10000</v>
      </c>
      <c r="G722" s="146">
        <f>SUM(G723:G724)</f>
        <v>10000</v>
      </c>
      <c r="H722" s="53">
        <f t="shared" ref="H722:H768" si="117">SUM(E722+F722-G722)</f>
        <v>32307</v>
      </c>
    </row>
    <row r="723" spans="1:8" s="16" customFormat="1" ht="12" customHeight="1" x14ac:dyDescent="0.2">
      <c r="A723" s="48"/>
      <c r="B723" s="83"/>
      <c r="C723" s="96">
        <v>4210</v>
      </c>
      <c r="D723" s="98" t="s">
        <v>205</v>
      </c>
      <c r="E723" s="41">
        <v>1000</v>
      </c>
      <c r="F723" s="51">
        <v>10000</v>
      </c>
      <c r="G723" s="51"/>
      <c r="H723" s="51">
        <f t="shared" si="117"/>
        <v>11000</v>
      </c>
    </row>
    <row r="724" spans="1:8" s="16" customFormat="1" ht="12" customHeight="1" x14ac:dyDescent="0.2">
      <c r="A724" s="48"/>
      <c r="B724" s="83"/>
      <c r="C724" s="55">
        <v>4300</v>
      </c>
      <c r="D724" s="40" t="s">
        <v>14</v>
      </c>
      <c r="E724" s="41">
        <v>31307</v>
      </c>
      <c r="F724" s="51"/>
      <c r="G724" s="51">
        <v>10000</v>
      </c>
      <c r="H724" s="51">
        <f t="shared" si="117"/>
        <v>21307</v>
      </c>
    </row>
    <row r="725" spans="1:8" s="16" customFormat="1" ht="24" customHeight="1" x14ac:dyDescent="0.2">
      <c r="A725" s="48"/>
      <c r="B725" s="25"/>
      <c r="C725" s="42"/>
      <c r="D725" s="481" t="s">
        <v>259</v>
      </c>
      <c r="E725" s="53">
        <v>218329</v>
      </c>
      <c r="F725" s="480">
        <f>SUM(F726:F729)</f>
        <v>19460</v>
      </c>
      <c r="G725" s="480">
        <f>SUM(G726:G729)</f>
        <v>0</v>
      </c>
      <c r="H725" s="53">
        <f t="shared" si="117"/>
        <v>237789</v>
      </c>
    </row>
    <row r="726" spans="1:8" s="16" customFormat="1" ht="22.5" customHeight="1" x14ac:dyDescent="0.2">
      <c r="A726" s="48"/>
      <c r="B726" s="25"/>
      <c r="C726" s="83">
        <v>3290</v>
      </c>
      <c r="D726" s="89" t="s">
        <v>226</v>
      </c>
      <c r="E726" s="68">
        <v>213356</v>
      </c>
      <c r="F726" s="68">
        <v>18978</v>
      </c>
      <c r="G726" s="52"/>
      <c r="H726" s="68">
        <f t="shared" si="117"/>
        <v>232334</v>
      </c>
    </row>
    <row r="727" spans="1:8" s="16" customFormat="1" ht="22.5" customHeight="1" x14ac:dyDescent="0.2">
      <c r="A727" s="48"/>
      <c r="B727" s="25"/>
      <c r="C727" s="61" t="s">
        <v>149</v>
      </c>
      <c r="D727" s="104" t="s">
        <v>150</v>
      </c>
      <c r="E727" s="68">
        <v>0</v>
      </c>
      <c r="F727" s="68">
        <v>420</v>
      </c>
      <c r="G727" s="52"/>
      <c r="H727" s="68">
        <f t="shared" si="117"/>
        <v>420</v>
      </c>
    </row>
    <row r="728" spans="1:8" s="16" customFormat="1" ht="22.5" customHeight="1" x14ac:dyDescent="0.2">
      <c r="A728" s="48"/>
      <c r="B728" s="25"/>
      <c r="C728" s="83">
        <v>4740</v>
      </c>
      <c r="D728" s="89" t="s">
        <v>256</v>
      </c>
      <c r="E728" s="51">
        <v>4146</v>
      </c>
      <c r="F728" s="41">
        <v>51</v>
      </c>
      <c r="G728" s="51"/>
      <c r="H728" s="68">
        <f t="shared" si="117"/>
        <v>4197</v>
      </c>
    </row>
    <row r="729" spans="1:8" s="16" customFormat="1" ht="21.75" customHeight="1" x14ac:dyDescent="0.2">
      <c r="A729" s="48"/>
      <c r="B729" s="25"/>
      <c r="C729" s="83">
        <v>4850</v>
      </c>
      <c r="D729" s="89" t="s">
        <v>154</v>
      </c>
      <c r="E729" s="51">
        <v>827</v>
      </c>
      <c r="F729" s="41">
        <v>11</v>
      </c>
      <c r="G729" s="51"/>
      <c r="H729" s="68">
        <f t="shared" si="117"/>
        <v>838</v>
      </c>
    </row>
    <row r="730" spans="1:8" s="16" customFormat="1" ht="12" customHeight="1" thickBot="1" x14ac:dyDescent="0.25">
      <c r="A730" s="32">
        <v>900</v>
      </c>
      <c r="B730" s="48"/>
      <c r="C730" s="31"/>
      <c r="D730" s="33" t="s">
        <v>260</v>
      </c>
      <c r="E730" s="30">
        <v>81724045.399999991</v>
      </c>
      <c r="F730" s="34">
        <f>SUM(F731,F735,F743)</f>
        <v>27881</v>
      </c>
      <c r="G730" s="34">
        <f>SUM(G731,G735,G743)</f>
        <v>27881</v>
      </c>
      <c r="H730" s="30">
        <f t="shared" si="117"/>
        <v>81724045.399999991</v>
      </c>
    </row>
    <row r="731" spans="1:8" s="16" customFormat="1" ht="12" customHeight="1" thickTop="1" x14ac:dyDescent="0.2">
      <c r="A731" s="32"/>
      <c r="B731" s="25">
        <v>90004</v>
      </c>
      <c r="C731" s="31"/>
      <c r="D731" s="50" t="s">
        <v>261</v>
      </c>
      <c r="E731" s="38">
        <v>520800</v>
      </c>
      <c r="F731" s="38">
        <f>SUM(F732)</f>
        <v>500</v>
      </c>
      <c r="G731" s="38">
        <f>SUM(G732)</f>
        <v>500</v>
      </c>
      <c r="H731" s="38">
        <f t="shared" si="117"/>
        <v>520800</v>
      </c>
    </row>
    <row r="732" spans="1:8" s="16" customFormat="1" ht="12" customHeight="1" x14ac:dyDescent="0.2">
      <c r="A732" s="32"/>
      <c r="B732" s="25"/>
      <c r="C732" s="55"/>
      <c r="D732" s="481" t="s">
        <v>262</v>
      </c>
      <c r="E732" s="478">
        <v>355800</v>
      </c>
      <c r="F732" s="478">
        <f>SUM(F733:F734)</f>
        <v>500</v>
      </c>
      <c r="G732" s="478">
        <f>SUM(G733:G734)</f>
        <v>500</v>
      </c>
      <c r="H732" s="478">
        <f t="shared" si="117"/>
        <v>355800</v>
      </c>
    </row>
    <row r="733" spans="1:8" s="16" customFormat="1" ht="12" customHeight="1" x14ac:dyDescent="0.2">
      <c r="A733" s="32"/>
      <c r="B733" s="25"/>
      <c r="C733" s="96">
        <v>4210</v>
      </c>
      <c r="D733" s="98" t="s">
        <v>205</v>
      </c>
      <c r="E733" s="150">
        <v>264000</v>
      </c>
      <c r="F733" s="52"/>
      <c r="G733" s="52">
        <v>500</v>
      </c>
      <c r="H733" s="52">
        <f t="shared" si="117"/>
        <v>263500</v>
      </c>
    </row>
    <row r="734" spans="1:8" s="16" customFormat="1" ht="12" customHeight="1" x14ac:dyDescent="0.2">
      <c r="A734" s="32"/>
      <c r="B734" s="25"/>
      <c r="C734" s="35">
        <v>4300</v>
      </c>
      <c r="D734" s="43" t="s">
        <v>14</v>
      </c>
      <c r="E734" s="41">
        <v>41800</v>
      </c>
      <c r="F734" s="51">
        <v>500</v>
      </c>
      <c r="G734" s="51"/>
      <c r="H734" s="41">
        <f t="shared" si="117"/>
        <v>42300</v>
      </c>
    </row>
    <row r="735" spans="1:8" s="16" customFormat="1" ht="12" customHeight="1" x14ac:dyDescent="0.2">
      <c r="A735" s="32"/>
      <c r="B735" s="25">
        <v>90013</v>
      </c>
      <c r="C735" s="55"/>
      <c r="D735" s="50" t="s">
        <v>263</v>
      </c>
      <c r="E735" s="36">
        <v>1810654.5</v>
      </c>
      <c r="F735" s="82">
        <f>SUM(F736)</f>
        <v>6381</v>
      </c>
      <c r="G735" s="82">
        <f>SUM(G736)</f>
        <v>6381</v>
      </c>
      <c r="H735" s="38">
        <f t="shared" si="117"/>
        <v>1810654.5</v>
      </c>
    </row>
    <row r="736" spans="1:8" s="16" customFormat="1" ht="12" customHeight="1" x14ac:dyDescent="0.2">
      <c r="A736" s="32"/>
      <c r="B736" s="151"/>
      <c r="C736" s="55"/>
      <c r="D736" s="499" t="s">
        <v>264</v>
      </c>
      <c r="E736" s="60">
        <v>1810654.5</v>
      </c>
      <c r="F736" s="140">
        <f>SUM(F737:F742)</f>
        <v>6381</v>
      </c>
      <c r="G736" s="140">
        <f>SUM(G737:G742)</f>
        <v>6381</v>
      </c>
      <c r="H736" s="53">
        <f>SUM(E736+F736-G736)</f>
        <v>1810654.5</v>
      </c>
    </row>
    <row r="737" spans="1:8" s="16" customFormat="1" ht="12" customHeight="1" x14ac:dyDescent="0.2">
      <c r="A737" s="32"/>
      <c r="B737" s="151"/>
      <c r="C737" s="55">
        <v>4120</v>
      </c>
      <c r="D737" s="40" t="s">
        <v>142</v>
      </c>
      <c r="E737" s="41">
        <v>25581</v>
      </c>
      <c r="F737" s="51"/>
      <c r="G737" s="51">
        <v>3000</v>
      </c>
      <c r="H737" s="41">
        <f t="shared" ref="H737:H742" si="118">SUM(E737+F737-G737)</f>
        <v>22581</v>
      </c>
    </row>
    <row r="738" spans="1:8" s="16" customFormat="1" ht="12" customHeight="1" x14ac:dyDescent="0.2">
      <c r="A738" s="32"/>
      <c r="B738" s="151"/>
      <c r="C738" s="96">
        <v>4210</v>
      </c>
      <c r="D738" s="98" t="s">
        <v>205</v>
      </c>
      <c r="E738" s="41">
        <v>123410</v>
      </c>
      <c r="F738" s="51">
        <v>5000</v>
      </c>
      <c r="G738" s="51"/>
      <c r="H738" s="41">
        <f t="shared" si="118"/>
        <v>128410</v>
      </c>
    </row>
    <row r="739" spans="1:8" s="16" customFormat="1" ht="12" customHeight="1" x14ac:dyDescent="0.2">
      <c r="A739" s="32"/>
      <c r="B739" s="25"/>
      <c r="C739" s="55">
        <v>4300</v>
      </c>
      <c r="D739" s="40" t="s">
        <v>14</v>
      </c>
      <c r="E739" s="41">
        <v>106293</v>
      </c>
      <c r="F739" s="51"/>
      <c r="G739" s="51">
        <v>500</v>
      </c>
      <c r="H739" s="41">
        <f t="shared" si="118"/>
        <v>105793</v>
      </c>
    </row>
    <row r="740" spans="1:8" s="16" customFormat="1" ht="12" customHeight="1" x14ac:dyDescent="0.2">
      <c r="A740" s="32"/>
      <c r="B740" s="25"/>
      <c r="C740" s="55">
        <v>4440</v>
      </c>
      <c r="D740" s="40" t="s">
        <v>180</v>
      </c>
      <c r="E740" s="41">
        <v>28580</v>
      </c>
      <c r="F740" s="51">
        <v>881</v>
      </c>
      <c r="G740" s="51"/>
      <c r="H740" s="41">
        <f t="shared" si="118"/>
        <v>29461</v>
      </c>
    </row>
    <row r="741" spans="1:8" s="16" customFormat="1" ht="23.25" customHeight="1" x14ac:dyDescent="0.2">
      <c r="A741" s="32"/>
      <c r="B741" s="25"/>
      <c r="C741" s="83">
        <v>4700</v>
      </c>
      <c r="D741" s="104" t="s">
        <v>119</v>
      </c>
      <c r="E741" s="41">
        <v>4228</v>
      </c>
      <c r="F741" s="51">
        <v>500</v>
      </c>
      <c r="G741" s="51"/>
      <c r="H741" s="41">
        <f t="shared" si="118"/>
        <v>4728</v>
      </c>
    </row>
    <row r="742" spans="1:8" s="16" customFormat="1" ht="12" customHeight="1" x14ac:dyDescent="0.2">
      <c r="A742" s="32"/>
      <c r="B742" s="25"/>
      <c r="C742" s="55">
        <v>4710</v>
      </c>
      <c r="D742" s="43" t="s">
        <v>111</v>
      </c>
      <c r="E742" s="41">
        <v>5136</v>
      </c>
      <c r="F742" s="51"/>
      <c r="G742" s="51">
        <v>2881</v>
      </c>
      <c r="H742" s="41">
        <f t="shared" si="118"/>
        <v>2255</v>
      </c>
    </row>
    <row r="743" spans="1:8" s="16" customFormat="1" ht="12" customHeight="1" x14ac:dyDescent="0.2">
      <c r="A743" s="48"/>
      <c r="B743" s="25">
        <v>90095</v>
      </c>
      <c r="C743" s="31"/>
      <c r="D743" s="65" t="s">
        <v>19</v>
      </c>
      <c r="E743" s="38">
        <v>30073524.369999997</v>
      </c>
      <c r="F743" s="38">
        <f>SUM(F744,F748,F751)</f>
        <v>21000</v>
      </c>
      <c r="G743" s="38">
        <f>SUM(G744,G748,G751)</f>
        <v>21000</v>
      </c>
      <c r="H743" s="38">
        <f t="shared" si="117"/>
        <v>30073524.369999997</v>
      </c>
    </row>
    <row r="744" spans="1:8" s="16" customFormat="1" ht="12" customHeight="1" x14ac:dyDescent="0.2">
      <c r="A744" s="48"/>
      <c r="B744" s="25"/>
      <c r="C744" s="55"/>
      <c r="D744" s="477" t="s">
        <v>262</v>
      </c>
      <c r="E744" s="478">
        <v>9597417</v>
      </c>
      <c r="F744" s="480">
        <f>SUM(F745:F747)</f>
        <v>0</v>
      </c>
      <c r="G744" s="480">
        <f>SUM(G745:G747)</f>
        <v>3099</v>
      </c>
      <c r="H744" s="53">
        <f t="shared" si="117"/>
        <v>9594318</v>
      </c>
    </row>
    <row r="745" spans="1:8" s="16" customFormat="1" ht="21.75" customHeight="1" x14ac:dyDescent="0.2">
      <c r="A745" s="48"/>
      <c r="B745" s="25"/>
      <c r="C745" s="83">
        <v>4390</v>
      </c>
      <c r="D745" s="89" t="s">
        <v>93</v>
      </c>
      <c r="E745" s="41">
        <v>300</v>
      </c>
      <c r="F745" s="51"/>
      <c r="G745" s="51">
        <v>300</v>
      </c>
      <c r="H745" s="51">
        <f t="shared" si="117"/>
        <v>0</v>
      </c>
    </row>
    <row r="746" spans="1:8" s="16" customFormat="1" ht="11.25" customHeight="1" x14ac:dyDescent="0.2">
      <c r="A746" s="48"/>
      <c r="B746" s="25"/>
      <c r="C746" s="83">
        <v>4520</v>
      </c>
      <c r="D746" s="74" t="s">
        <v>251</v>
      </c>
      <c r="E746" s="41">
        <v>8000</v>
      </c>
      <c r="F746" s="51"/>
      <c r="G746" s="51">
        <v>2439</v>
      </c>
      <c r="H746" s="51">
        <f t="shared" si="117"/>
        <v>5561</v>
      </c>
    </row>
    <row r="747" spans="1:8" s="16" customFormat="1" ht="12" customHeight="1" x14ac:dyDescent="0.2">
      <c r="A747" s="48"/>
      <c r="B747" s="25"/>
      <c r="C747" s="55">
        <v>4610</v>
      </c>
      <c r="D747" s="95" t="s">
        <v>96</v>
      </c>
      <c r="E747" s="41">
        <v>360</v>
      </c>
      <c r="F747" s="51"/>
      <c r="G747" s="51">
        <v>360</v>
      </c>
      <c r="H747" s="51">
        <f t="shared" si="117"/>
        <v>0</v>
      </c>
    </row>
    <row r="748" spans="1:8" s="16" customFormat="1" ht="36.75" customHeight="1" x14ac:dyDescent="0.2">
      <c r="A748" s="48"/>
      <c r="B748" s="25"/>
      <c r="C748" s="55"/>
      <c r="D748" s="481" t="s">
        <v>265</v>
      </c>
      <c r="E748" s="53">
        <v>344180</v>
      </c>
      <c r="F748" s="53">
        <f>SUM(F749:F750)</f>
        <v>16000</v>
      </c>
      <c r="G748" s="53">
        <f>SUM(G749:G750)</f>
        <v>12901</v>
      </c>
      <c r="H748" s="53">
        <f t="shared" si="117"/>
        <v>347279</v>
      </c>
    </row>
    <row r="749" spans="1:8" s="16" customFormat="1" ht="12" customHeight="1" x14ac:dyDescent="0.2">
      <c r="A749" s="48"/>
      <c r="B749" s="25"/>
      <c r="C749" s="55">
        <v>4260</v>
      </c>
      <c r="D749" s="40" t="s">
        <v>98</v>
      </c>
      <c r="E749" s="51">
        <v>185000</v>
      </c>
      <c r="F749" s="41">
        <v>16000</v>
      </c>
      <c r="G749" s="41"/>
      <c r="H749" s="51">
        <f t="shared" si="117"/>
        <v>201000</v>
      </c>
    </row>
    <row r="750" spans="1:8" s="16" customFormat="1" ht="12" customHeight="1" x14ac:dyDescent="0.2">
      <c r="A750" s="48"/>
      <c r="B750" s="25"/>
      <c r="C750" s="55">
        <v>4270</v>
      </c>
      <c r="D750" s="40" t="s">
        <v>95</v>
      </c>
      <c r="E750" s="51">
        <v>80000</v>
      </c>
      <c r="F750" s="41"/>
      <c r="G750" s="41">
        <v>12901</v>
      </c>
      <c r="H750" s="51">
        <f t="shared" si="117"/>
        <v>67099</v>
      </c>
    </row>
    <row r="751" spans="1:8" s="16" customFormat="1" ht="24" customHeight="1" x14ac:dyDescent="0.2">
      <c r="A751" s="48"/>
      <c r="B751" s="25"/>
      <c r="C751" s="35"/>
      <c r="D751" s="490" t="s">
        <v>266</v>
      </c>
      <c r="E751" s="478">
        <v>344180</v>
      </c>
      <c r="F751" s="478">
        <f>SUM(F752:F753)</f>
        <v>5000</v>
      </c>
      <c r="G751" s="478">
        <f>SUM(G752:G753)</f>
        <v>5000</v>
      </c>
      <c r="H751" s="478">
        <f t="shared" si="117"/>
        <v>344180</v>
      </c>
    </row>
    <row r="752" spans="1:8" s="16" customFormat="1" ht="12" customHeight="1" x14ac:dyDescent="0.2">
      <c r="A752" s="48"/>
      <c r="B752" s="25"/>
      <c r="C752" s="55">
        <v>4260</v>
      </c>
      <c r="D752" s="40" t="s">
        <v>98</v>
      </c>
      <c r="E752" s="52">
        <v>70000</v>
      </c>
      <c r="F752" s="152">
        <v>5000</v>
      </c>
      <c r="G752" s="52"/>
      <c r="H752" s="52">
        <f t="shared" si="117"/>
        <v>75000</v>
      </c>
    </row>
    <row r="753" spans="1:8" s="16" customFormat="1" ht="12" customHeight="1" x14ac:dyDescent="0.2">
      <c r="A753" s="48"/>
      <c r="B753" s="25"/>
      <c r="C753" s="55">
        <v>4610</v>
      </c>
      <c r="D753" s="95" t="s">
        <v>96</v>
      </c>
      <c r="E753" s="51">
        <v>26000</v>
      </c>
      <c r="F753" s="41"/>
      <c r="G753" s="41">
        <v>5000</v>
      </c>
      <c r="H753" s="52">
        <f t="shared" si="117"/>
        <v>21000</v>
      </c>
    </row>
    <row r="754" spans="1:8" s="16" customFormat="1" ht="12" customHeight="1" thickBot="1" x14ac:dyDescent="0.25">
      <c r="A754" s="32">
        <v>921</v>
      </c>
      <c r="B754" s="48"/>
      <c r="C754" s="31"/>
      <c r="D754" s="33" t="s">
        <v>267</v>
      </c>
      <c r="E754" s="30">
        <v>15325472.360000001</v>
      </c>
      <c r="F754" s="34">
        <f>SUM(F755)</f>
        <v>50000</v>
      </c>
      <c r="G754" s="34">
        <f>SUM(G755)</f>
        <v>50000</v>
      </c>
      <c r="H754" s="30">
        <f t="shared" si="117"/>
        <v>15325472.360000001</v>
      </c>
    </row>
    <row r="755" spans="1:8" s="16" customFormat="1" ht="12" customHeight="1" thickTop="1" x14ac:dyDescent="0.2">
      <c r="A755" s="32"/>
      <c r="B755" s="64">
        <v>92195</v>
      </c>
      <c r="C755" s="35"/>
      <c r="D755" s="65" t="s">
        <v>19</v>
      </c>
      <c r="E755" s="38">
        <v>843194.26</v>
      </c>
      <c r="F755" s="38">
        <f>SUM(F756)</f>
        <v>50000</v>
      </c>
      <c r="G755" s="38">
        <f>SUM(G756)</f>
        <v>50000</v>
      </c>
      <c r="H755" s="38">
        <f t="shared" si="117"/>
        <v>843194.26</v>
      </c>
    </row>
    <row r="756" spans="1:8" s="16" customFormat="1" ht="12" customHeight="1" x14ac:dyDescent="0.2">
      <c r="A756" s="32"/>
      <c r="B756" s="151"/>
      <c r="C756" s="35"/>
      <c r="D756" s="500" t="s">
        <v>268</v>
      </c>
      <c r="E756" s="53">
        <v>502658</v>
      </c>
      <c r="F756" s="146">
        <f>SUM(F757:F758)</f>
        <v>50000</v>
      </c>
      <c r="G756" s="146">
        <f>SUM(G757:G758)</f>
        <v>50000</v>
      </c>
      <c r="H756" s="478">
        <f t="shared" si="117"/>
        <v>502658</v>
      </c>
    </row>
    <row r="757" spans="1:8" s="16" customFormat="1" ht="12" customHeight="1" x14ac:dyDescent="0.2">
      <c r="A757" s="32"/>
      <c r="B757" s="151"/>
      <c r="C757" s="55">
        <v>4170</v>
      </c>
      <c r="D757" s="40" t="s">
        <v>124</v>
      </c>
      <c r="E757" s="41">
        <v>5000</v>
      </c>
      <c r="F757" s="51">
        <v>50000</v>
      </c>
      <c r="G757" s="51"/>
      <c r="H757" s="52">
        <f t="shared" si="117"/>
        <v>55000</v>
      </c>
    </row>
    <row r="758" spans="1:8" s="16" customFormat="1" ht="12" customHeight="1" x14ac:dyDescent="0.2">
      <c r="A758" s="32"/>
      <c r="B758" s="151"/>
      <c r="C758" s="55">
        <v>4300</v>
      </c>
      <c r="D758" s="40" t="s">
        <v>14</v>
      </c>
      <c r="E758" s="41">
        <v>229000</v>
      </c>
      <c r="F758" s="51"/>
      <c r="G758" s="51">
        <v>50000</v>
      </c>
      <c r="H758" s="52">
        <f t="shared" si="117"/>
        <v>179000</v>
      </c>
    </row>
    <row r="759" spans="1:8" s="16" customFormat="1" ht="12" customHeight="1" thickBot="1" x14ac:dyDescent="0.25">
      <c r="A759" s="32">
        <v>926</v>
      </c>
      <c r="B759" s="48"/>
      <c r="C759" s="31"/>
      <c r="D759" s="33" t="s">
        <v>269</v>
      </c>
      <c r="E759" s="30">
        <v>30850138</v>
      </c>
      <c r="F759" s="30">
        <f>SUM(F760)</f>
        <v>6740</v>
      </c>
      <c r="G759" s="30">
        <f>SUM(G760)</f>
        <v>6740</v>
      </c>
      <c r="H759" s="30">
        <f t="shared" si="117"/>
        <v>30850138</v>
      </c>
    </row>
    <row r="760" spans="1:8" s="16" customFormat="1" ht="12" customHeight="1" thickTop="1" x14ac:dyDescent="0.2">
      <c r="A760" s="32"/>
      <c r="B760" s="98">
        <v>92601</v>
      </c>
      <c r="C760" s="96"/>
      <c r="D760" s="97" t="s">
        <v>270</v>
      </c>
      <c r="E760" s="38">
        <v>9437493</v>
      </c>
      <c r="F760" s="38">
        <f>SUM(F761)</f>
        <v>6740</v>
      </c>
      <c r="G760" s="38">
        <f>SUM(G761)</f>
        <v>6740</v>
      </c>
      <c r="H760" s="38">
        <f t="shared" si="117"/>
        <v>9437493</v>
      </c>
    </row>
    <row r="761" spans="1:8" s="16" customFormat="1" ht="12" customHeight="1" x14ac:dyDescent="0.2">
      <c r="A761" s="32"/>
      <c r="B761" s="25"/>
      <c r="C761" s="31"/>
      <c r="D761" s="485" t="s">
        <v>139</v>
      </c>
      <c r="E761" s="478">
        <v>454093</v>
      </c>
      <c r="F761" s="478">
        <f>SUM(F762:F768)</f>
        <v>6740</v>
      </c>
      <c r="G761" s="478">
        <f>SUM(G762:G768)</f>
        <v>6740</v>
      </c>
      <c r="H761" s="478">
        <f t="shared" si="117"/>
        <v>454093</v>
      </c>
    </row>
    <row r="762" spans="1:8" s="16" customFormat="1" ht="12" customHeight="1" x14ac:dyDescent="0.2">
      <c r="A762" s="32"/>
      <c r="B762" s="25"/>
      <c r="C762" s="55">
        <v>4110</v>
      </c>
      <c r="D762" s="40" t="s">
        <v>117</v>
      </c>
      <c r="E762" s="118">
        <v>20870</v>
      </c>
      <c r="F762" s="41"/>
      <c r="G762" s="41">
        <v>1100</v>
      </c>
      <c r="H762" s="68">
        <f t="shared" si="117"/>
        <v>19770</v>
      </c>
    </row>
    <row r="763" spans="1:8" s="16" customFormat="1" ht="12" customHeight="1" x14ac:dyDescent="0.2">
      <c r="A763" s="32"/>
      <c r="B763" s="25"/>
      <c r="C763" s="55">
        <v>4120</v>
      </c>
      <c r="D763" s="40" t="s">
        <v>142</v>
      </c>
      <c r="E763" s="118">
        <v>3622</v>
      </c>
      <c r="F763" s="41"/>
      <c r="G763" s="41">
        <v>180</v>
      </c>
      <c r="H763" s="68">
        <f t="shared" si="117"/>
        <v>3442</v>
      </c>
    </row>
    <row r="764" spans="1:8" s="16" customFormat="1" ht="12" customHeight="1" x14ac:dyDescent="0.2">
      <c r="A764" s="142"/>
      <c r="B764" s="79"/>
      <c r="C764" s="101">
        <v>4170</v>
      </c>
      <c r="D764" s="50" t="s">
        <v>124</v>
      </c>
      <c r="E764" s="153">
        <v>149703</v>
      </c>
      <c r="F764" s="36">
        <v>2740</v>
      </c>
      <c r="G764" s="36"/>
      <c r="H764" s="38">
        <f t="shared" si="117"/>
        <v>152443</v>
      </c>
    </row>
    <row r="765" spans="1:8" s="16" customFormat="1" ht="12" customHeight="1" x14ac:dyDescent="0.2">
      <c r="A765" s="32"/>
      <c r="B765" s="25"/>
      <c r="C765" s="42" t="s">
        <v>102</v>
      </c>
      <c r="D765" s="43" t="s">
        <v>13</v>
      </c>
      <c r="E765" s="118">
        <v>42102</v>
      </c>
      <c r="F765" s="41">
        <v>3000</v>
      </c>
      <c r="G765" s="41"/>
      <c r="H765" s="68">
        <f t="shared" si="117"/>
        <v>45102</v>
      </c>
    </row>
    <row r="766" spans="1:8" s="16" customFormat="1" ht="12" customHeight="1" x14ac:dyDescent="0.2">
      <c r="A766" s="32"/>
      <c r="B766" s="25"/>
      <c r="C766" s="55">
        <v>4240</v>
      </c>
      <c r="D766" s="40" t="s">
        <v>143</v>
      </c>
      <c r="E766" s="118">
        <v>1539</v>
      </c>
      <c r="F766" s="41">
        <v>1000</v>
      </c>
      <c r="G766" s="41"/>
      <c r="H766" s="68">
        <f t="shared" si="117"/>
        <v>2539</v>
      </c>
    </row>
    <row r="767" spans="1:8" s="16" customFormat="1" ht="12" customHeight="1" x14ac:dyDescent="0.2">
      <c r="A767" s="32"/>
      <c r="B767" s="25"/>
      <c r="C767" s="55">
        <v>4260</v>
      </c>
      <c r="D767" s="40" t="s">
        <v>98</v>
      </c>
      <c r="E767" s="118">
        <v>186173</v>
      </c>
      <c r="F767" s="41"/>
      <c r="G767" s="41">
        <v>4000</v>
      </c>
      <c r="H767" s="68">
        <f t="shared" si="117"/>
        <v>182173</v>
      </c>
    </row>
    <row r="768" spans="1:8" s="16" customFormat="1" ht="12" customHeight="1" x14ac:dyDescent="0.2">
      <c r="A768" s="32"/>
      <c r="B768" s="25"/>
      <c r="C768" s="55">
        <v>4270</v>
      </c>
      <c r="D768" s="40" t="s">
        <v>95</v>
      </c>
      <c r="E768" s="118">
        <v>19495</v>
      </c>
      <c r="F768" s="41"/>
      <c r="G768" s="41">
        <v>1460</v>
      </c>
      <c r="H768" s="68">
        <f t="shared" si="117"/>
        <v>18035</v>
      </c>
    </row>
    <row r="769" spans="1:8" s="16" customFormat="1" ht="19.149999999999999" customHeight="1" thickBot="1" x14ac:dyDescent="0.25">
      <c r="A769" s="151"/>
      <c r="B769" s="25"/>
      <c r="C769" s="55"/>
      <c r="D769" s="29" t="s">
        <v>271</v>
      </c>
      <c r="E769" s="30">
        <v>55842226.75</v>
      </c>
      <c r="F769" s="30">
        <f>SUM(F770,F780,F791,F820)</f>
        <v>683969.16</v>
      </c>
      <c r="G769" s="30">
        <f>SUM(G770,G780,G791,G820)</f>
        <v>64784.66</v>
      </c>
      <c r="H769" s="30">
        <f t="shared" ref="H769" si="119">SUM(E769+F769-G769)</f>
        <v>56461411.25</v>
      </c>
    </row>
    <row r="770" spans="1:8" s="16" customFormat="1" ht="15.75" customHeight="1" thickTop="1" thickBot="1" x14ac:dyDescent="0.25">
      <c r="A770" s="48">
        <v>750</v>
      </c>
      <c r="B770" s="48"/>
      <c r="C770" s="31"/>
      <c r="D770" s="33" t="s">
        <v>64</v>
      </c>
      <c r="E770" s="30">
        <v>2212588.56</v>
      </c>
      <c r="F770" s="30">
        <f>SUM(F771)</f>
        <v>62233.5</v>
      </c>
      <c r="G770" s="30">
        <f>SUM(G771)</f>
        <v>0</v>
      </c>
      <c r="H770" s="30">
        <f t="shared" ref="H770:H778" si="120">SUM(E770+F770-G770)</f>
        <v>2274822.06</v>
      </c>
    </row>
    <row r="771" spans="1:8" s="16" customFormat="1" ht="12" customHeight="1" thickTop="1" x14ac:dyDescent="0.2">
      <c r="A771" s="48"/>
      <c r="B771" s="55">
        <v>75011</v>
      </c>
      <c r="C771" s="56"/>
      <c r="D771" s="84" t="s">
        <v>65</v>
      </c>
      <c r="E771" s="36">
        <v>2212588.56</v>
      </c>
      <c r="F771" s="37">
        <f>SUM(F772,F776)</f>
        <v>62233.5</v>
      </c>
      <c r="G771" s="37">
        <f>SUM(G772,G776)</f>
        <v>0</v>
      </c>
      <c r="H771" s="38">
        <f t="shared" si="120"/>
        <v>2274822.06</v>
      </c>
    </row>
    <row r="772" spans="1:8" s="16" customFormat="1" ht="12" customHeight="1" x14ac:dyDescent="0.2">
      <c r="A772" s="48"/>
      <c r="B772" s="55"/>
      <c r="C772" s="26"/>
      <c r="D772" s="484" t="s">
        <v>230</v>
      </c>
      <c r="E772" s="60">
        <v>2210175</v>
      </c>
      <c r="F772" s="146">
        <f>SUM(F773:F775)</f>
        <v>61711</v>
      </c>
      <c r="G772" s="146">
        <f>SUM(G773:G775)</f>
        <v>0</v>
      </c>
      <c r="H772" s="478">
        <f t="shared" si="120"/>
        <v>2271886</v>
      </c>
    </row>
    <row r="773" spans="1:8" s="16" customFormat="1" ht="12" customHeight="1" x14ac:dyDescent="0.2">
      <c r="A773" s="48"/>
      <c r="B773" s="55"/>
      <c r="C773" s="55">
        <v>4010</v>
      </c>
      <c r="D773" s="40" t="s">
        <v>141</v>
      </c>
      <c r="E773" s="51">
        <v>1730213</v>
      </c>
      <c r="F773" s="51">
        <v>51582</v>
      </c>
      <c r="G773" s="134"/>
      <c r="H773" s="52">
        <f t="shared" si="120"/>
        <v>1781795</v>
      </c>
    </row>
    <row r="774" spans="1:8" s="16" customFormat="1" ht="12" customHeight="1" x14ac:dyDescent="0.2">
      <c r="A774" s="48"/>
      <c r="B774" s="55"/>
      <c r="C774" s="55">
        <v>4110</v>
      </c>
      <c r="D774" s="40" t="s">
        <v>117</v>
      </c>
      <c r="E774" s="51">
        <v>318072</v>
      </c>
      <c r="F774" s="51">
        <v>8866</v>
      </c>
      <c r="G774" s="134"/>
      <c r="H774" s="52">
        <f t="shared" si="120"/>
        <v>326938</v>
      </c>
    </row>
    <row r="775" spans="1:8" s="16" customFormat="1" ht="12" customHeight="1" x14ac:dyDescent="0.2">
      <c r="A775" s="48"/>
      <c r="B775" s="55"/>
      <c r="C775" s="55">
        <v>4120</v>
      </c>
      <c r="D775" s="40" t="s">
        <v>142</v>
      </c>
      <c r="E775" s="51">
        <v>45332</v>
      </c>
      <c r="F775" s="51">
        <v>1263</v>
      </c>
      <c r="G775" s="134"/>
      <c r="H775" s="52">
        <f t="shared" si="120"/>
        <v>46595</v>
      </c>
    </row>
    <row r="776" spans="1:8" s="16" customFormat="1" ht="55.5" customHeight="1" x14ac:dyDescent="0.2">
      <c r="A776" s="48"/>
      <c r="B776" s="55"/>
      <c r="C776" s="26"/>
      <c r="D776" s="501" t="s">
        <v>272</v>
      </c>
      <c r="E776" s="53">
        <v>2413.56</v>
      </c>
      <c r="F776" s="146">
        <f>SUM(F777:F778)</f>
        <v>522.5</v>
      </c>
      <c r="G776" s="146">
        <f>SUM(G777:G778)</f>
        <v>0</v>
      </c>
      <c r="H776" s="478">
        <f t="shared" si="120"/>
        <v>2936.06</v>
      </c>
    </row>
    <row r="777" spans="1:8" s="16" customFormat="1" ht="21.75" customHeight="1" x14ac:dyDescent="0.2">
      <c r="A777" s="48"/>
      <c r="B777" s="55"/>
      <c r="C777" s="83">
        <v>4740</v>
      </c>
      <c r="D777" s="89" t="s">
        <v>256</v>
      </c>
      <c r="E777" s="51">
        <v>2017.35</v>
      </c>
      <c r="F777" s="41">
        <f>79.97+167.22+189.53</f>
        <v>436.72</v>
      </c>
      <c r="G777" s="41"/>
      <c r="H777" s="52">
        <f t="shared" si="120"/>
        <v>2454.0699999999997</v>
      </c>
    </row>
    <row r="778" spans="1:8" s="16" customFormat="1" ht="24" customHeight="1" x14ac:dyDescent="0.2">
      <c r="A778" s="48"/>
      <c r="B778" s="55"/>
      <c r="C778" s="83">
        <v>4850</v>
      </c>
      <c r="D778" s="89" t="s">
        <v>154</v>
      </c>
      <c r="E778" s="51">
        <v>396.21</v>
      </c>
      <c r="F778" s="41">
        <f>15.71+32.85+37.22</f>
        <v>85.78</v>
      </c>
      <c r="G778" s="41"/>
      <c r="H778" s="52">
        <f t="shared" si="120"/>
        <v>481.99</v>
      </c>
    </row>
    <row r="779" spans="1:8" s="16" customFormat="1" ht="12" customHeight="1" x14ac:dyDescent="0.2">
      <c r="A779" s="48">
        <v>754</v>
      </c>
      <c r="B779" s="48"/>
      <c r="C779" s="31"/>
      <c r="D779" s="33" t="s">
        <v>88</v>
      </c>
      <c r="E779" s="51"/>
      <c r="F779" s="68"/>
      <c r="G779" s="68"/>
      <c r="H779" s="51"/>
    </row>
    <row r="780" spans="1:8" s="16" customFormat="1" ht="12" customHeight="1" thickBot="1" x14ac:dyDescent="0.25">
      <c r="A780" s="48"/>
      <c r="B780" s="48"/>
      <c r="C780" s="31"/>
      <c r="D780" s="33" t="s">
        <v>28</v>
      </c>
      <c r="E780" s="34">
        <v>2128332</v>
      </c>
      <c r="F780" s="34">
        <f>SUM(F781)</f>
        <v>78909.66</v>
      </c>
      <c r="G780" s="34">
        <f>SUM(G781)</f>
        <v>56549.66</v>
      </c>
      <c r="H780" s="34">
        <f>SUM(E780+F780-G780)</f>
        <v>2150692</v>
      </c>
    </row>
    <row r="781" spans="1:8" s="16" customFormat="1" ht="12" customHeight="1" thickTop="1" x14ac:dyDescent="0.2">
      <c r="A781" s="25"/>
      <c r="B781" s="25">
        <v>75495</v>
      </c>
      <c r="C781" s="26"/>
      <c r="D781" s="50" t="s">
        <v>19</v>
      </c>
      <c r="E781" s="38">
        <v>2128332</v>
      </c>
      <c r="F781" s="37">
        <f>SUM(F782,F786,F788)</f>
        <v>78909.66</v>
      </c>
      <c r="G781" s="37">
        <f>SUM(G782,G786,G788)</f>
        <v>56549.66</v>
      </c>
      <c r="H781" s="38">
        <f>SUM(E781+F781-G781)</f>
        <v>2150692</v>
      </c>
    </row>
    <row r="782" spans="1:8" s="16" customFormat="1" ht="23.25" customHeight="1" x14ac:dyDescent="0.2">
      <c r="A782" s="25"/>
      <c r="B782" s="25"/>
      <c r="C782" s="42"/>
      <c r="D782" s="481" t="s">
        <v>273</v>
      </c>
      <c r="E782" s="53">
        <v>313352</v>
      </c>
      <c r="F782" s="480">
        <f>SUM(F783:F785)</f>
        <v>22360</v>
      </c>
      <c r="G782" s="480">
        <f>SUM(G783:G785)</f>
        <v>0</v>
      </c>
      <c r="H782" s="53">
        <f t="shared" ref="H782:H785" si="121">SUM(E782+F782-G782)</f>
        <v>335712</v>
      </c>
    </row>
    <row r="783" spans="1:8" s="16" customFormat="1" ht="23.25" customHeight="1" x14ac:dyDescent="0.2">
      <c r="A783" s="25"/>
      <c r="B783" s="25"/>
      <c r="C783" s="83">
        <v>3280</v>
      </c>
      <c r="D783" s="89" t="s">
        <v>274</v>
      </c>
      <c r="E783" s="41">
        <v>310760</v>
      </c>
      <c r="F783" s="51">
        <v>22200</v>
      </c>
      <c r="G783" s="51"/>
      <c r="H783" s="41">
        <f t="shared" si="121"/>
        <v>332960</v>
      </c>
    </row>
    <row r="784" spans="1:8" s="16" customFormat="1" ht="22.5" customHeight="1" x14ac:dyDescent="0.2">
      <c r="A784" s="25"/>
      <c r="B784" s="25"/>
      <c r="C784" s="83">
        <v>4740</v>
      </c>
      <c r="D784" s="89" t="s">
        <v>256</v>
      </c>
      <c r="E784" s="41">
        <v>2159</v>
      </c>
      <c r="F784" s="51">
        <v>136</v>
      </c>
      <c r="G784" s="51"/>
      <c r="H784" s="41">
        <f t="shared" si="121"/>
        <v>2295</v>
      </c>
    </row>
    <row r="785" spans="1:8" s="16" customFormat="1" ht="22.5" customHeight="1" x14ac:dyDescent="0.2">
      <c r="A785" s="25"/>
      <c r="B785" s="25"/>
      <c r="C785" s="83">
        <v>4850</v>
      </c>
      <c r="D785" s="89" t="s">
        <v>154</v>
      </c>
      <c r="E785" s="41">
        <v>433</v>
      </c>
      <c r="F785" s="51">
        <v>24</v>
      </c>
      <c r="G785" s="51"/>
      <c r="H785" s="41">
        <f t="shared" si="121"/>
        <v>457</v>
      </c>
    </row>
    <row r="786" spans="1:8" s="16" customFormat="1" ht="35.25" customHeight="1" x14ac:dyDescent="0.2">
      <c r="A786" s="25"/>
      <c r="B786" s="25"/>
      <c r="C786" s="42"/>
      <c r="D786" s="494" t="s">
        <v>275</v>
      </c>
      <c r="E786" s="478">
        <v>1386018.18</v>
      </c>
      <c r="F786" s="478">
        <f>SUM(F787:F787)</f>
        <v>0</v>
      </c>
      <c r="G786" s="478">
        <f>SUM(G787:G787)</f>
        <v>56549.66</v>
      </c>
      <c r="H786" s="53">
        <f>SUM(E786+F786-G786)</f>
        <v>1329468.52</v>
      </c>
    </row>
    <row r="787" spans="1:8" s="16" customFormat="1" ht="12" customHeight="1" x14ac:dyDescent="0.2">
      <c r="A787" s="25"/>
      <c r="B787" s="25"/>
      <c r="C787" s="25">
        <v>4370</v>
      </c>
      <c r="D787" s="40" t="s">
        <v>152</v>
      </c>
      <c r="E787" s="41">
        <v>1386018.18</v>
      </c>
      <c r="F787" s="51"/>
      <c r="G787" s="51">
        <f>19293.36+4661.6+32594.7</f>
        <v>56549.66</v>
      </c>
      <c r="H787" s="41">
        <f t="shared" ref="H787" si="122">SUM(E787+F787-G787)</f>
        <v>1329468.52</v>
      </c>
    </row>
    <row r="788" spans="1:8" s="16" customFormat="1" ht="33" customHeight="1" x14ac:dyDescent="0.2">
      <c r="A788" s="25"/>
      <c r="B788" s="25"/>
      <c r="C788" s="26"/>
      <c r="D788" s="502" t="s">
        <v>276</v>
      </c>
      <c r="E788" s="478">
        <v>428961.82</v>
      </c>
      <c r="F788" s="480">
        <f>SUM(F789:F790)</f>
        <v>56549.659999999996</v>
      </c>
      <c r="G788" s="480">
        <f>SUM(G789:G790)</f>
        <v>0</v>
      </c>
      <c r="H788" s="53">
        <f>SUM(E788+F788-G788)</f>
        <v>485511.48</v>
      </c>
    </row>
    <row r="789" spans="1:8" s="16" customFormat="1" ht="12" customHeight="1" x14ac:dyDescent="0.2">
      <c r="A789" s="25"/>
      <c r="B789" s="25"/>
      <c r="C789" s="55">
        <v>4370</v>
      </c>
      <c r="D789" s="40" t="s">
        <v>152</v>
      </c>
      <c r="E789" s="41">
        <v>26874.39</v>
      </c>
      <c r="F789" s="41">
        <f>1817.51+2963.28</f>
        <v>4780.79</v>
      </c>
      <c r="G789" s="41"/>
      <c r="H789" s="68">
        <f t="shared" ref="H789:H792" si="123">SUM(E789+F789-G789)</f>
        <v>31655.18</v>
      </c>
    </row>
    <row r="790" spans="1:8" s="16" customFormat="1" ht="22.5" customHeight="1" x14ac:dyDescent="0.2">
      <c r="A790" s="25"/>
      <c r="B790" s="25"/>
      <c r="C790" s="83">
        <v>4860</v>
      </c>
      <c r="D790" s="89" t="s">
        <v>155</v>
      </c>
      <c r="E790" s="41">
        <v>402087.43</v>
      </c>
      <c r="F790" s="41">
        <f>17475.85+4661.6+29631.42</f>
        <v>51768.869999999995</v>
      </c>
      <c r="G790" s="41"/>
      <c r="H790" s="68">
        <f t="shared" si="123"/>
        <v>453856.3</v>
      </c>
    </row>
    <row r="791" spans="1:8" s="16" customFormat="1" ht="12" customHeight="1" thickBot="1" x14ac:dyDescent="0.25">
      <c r="A791" s="154">
        <v>852</v>
      </c>
      <c r="B791" s="154"/>
      <c r="C791" s="96"/>
      <c r="D791" s="155" t="s">
        <v>46</v>
      </c>
      <c r="E791" s="30">
        <v>4478225</v>
      </c>
      <c r="F791" s="30">
        <f>SUM(F792,F813,F817)</f>
        <v>475396</v>
      </c>
      <c r="G791" s="30">
        <f>SUM(G792,G813,G817)</f>
        <v>8235</v>
      </c>
      <c r="H791" s="30">
        <f t="shared" si="123"/>
        <v>4945386</v>
      </c>
    </row>
    <row r="792" spans="1:8" s="16" customFormat="1" ht="12" customHeight="1" thickTop="1" x14ac:dyDescent="0.2">
      <c r="A792" s="154"/>
      <c r="B792" s="96">
        <v>85203</v>
      </c>
      <c r="C792" s="139"/>
      <c r="D792" s="97" t="s">
        <v>71</v>
      </c>
      <c r="E792" s="36">
        <v>1248603</v>
      </c>
      <c r="F792" s="37">
        <f>SUM(F793,F807)</f>
        <v>17371</v>
      </c>
      <c r="G792" s="37">
        <f>SUM(G793,G807)</f>
        <v>8235</v>
      </c>
      <c r="H792" s="38">
        <f t="shared" si="123"/>
        <v>1257739</v>
      </c>
    </row>
    <row r="793" spans="1:8" s="16" customFormat="1" ht="12" customHeight="1" x14ac:dyDescent="0.2">
      <c r="A793" s="154"/>
      <c r="B793" s="96"/>
      <c r="C793" s="26"/>
      <c r="D793" s="484" t="s">
        <v>277</v>
      </c>
      <c r="E793" s="53">
        <v>1136903</v>
      </c>
      <c r="F793" s="146">
        <f>SUM(F794:F805)</f>
        <v>15770</v>
      </c>
      <c r="G793" s="146">
        <f>SUM(G794:G805)</f>
        <v>6634</v>
      </c>
      <c r="H793" s="478">
        <f t="shared" ref="H793:H805" si="124">SUM(E793+F793-G793)</f>
        <v>1146039</v>
      </c>
    </row>
    <row r="794" spans="1:8" s="16" customFormat="1" ht="12" customHeight="1" x14ac:dyDescent="0.2">
      <c r="A794" s="154"/>
      <c r="B794" s="96"/>
      <c r="C794" s="35">
        <v>4110</v>
      </c>
      <c r="D794" s="43" t="s">
        <v>117</v>
      </c>
      <c r="E794" s="41">
        <v>131955</v>
      </c>
      <c r="F794" s="51"/>
      <c r="G794" s="51">
        <v>1000</v>
      </c>
      <c r="H794" s="51">
        <f t="shared" si="124"/>
        <v>130955</v>
      </c>
    </row>
    <row r="795" spans="1:8" s="16" customFormat="1" ht="12" customHeight="1" x14ac:dyDescent="0.2">
      <c r="A795" s="154"/>
      <c r="B795" s="96"/>
      <c r="C795" s="55">
        <v>4120</v>
      </c>
      <c r="D795" s="40" t="s">
        <v>236</v>
      </c>
      <c r="E795" s="41">
        <v>15839</v>
      </c>
      <c r="F795" s="51"/>
      <c r="G795" s="51">
        <v>2000</v>
      </c>
      <c r="H795" s="51">
        <f t="shared" si="124"/>
        <v>13839</v>
      </c>
    </row>
    <row r="796" spans="1:8" s="16" customFormat="1" ht="12" customHeight="1" x14ac:dyDescent="0.2">
      <c r="A796" s="154"/>
      <c r="B796" s="96"/>
      <c r="C796" s="55">
        <v>4170</v>
      </c>
      <c r="D796" s="40" t="s">
        <v>124</v>
      </c>
      <c r="E796" s="41">
        <v>7500</v>
      </c>
      <c r="F796" s="51"/>
      <c r="G796" s="51">
        <v>400</v>
      </c>
      <c r="H796" s="51">
        <f t="shared" si="124"/>
        <v>7100</v>
      </c>
    </row>
    <row r="797" spans="1:8" s="16" customFormat="1" ht="12" customHeight="1" x14ac:dyDescent="0.2">
      <c r="A797" s="154"/>
      <c r="B797" s="96"/>
      <c r="C797" s="42" t="s">
        <v>102</v>
      </c>
      <c r="D797" s="43" t="s">
        <v>13</v>
      </c>
      <c r="E797" s="41">
        <v>24537</v>
      </c>
      <c r="F797" s="51">
        <v>8636</v>
      </c>
      <c r="G797" s="51"/>
      <c r="H797" s="51">
        <f t="shared" si="124"/>
        <v>33173</v>
      </c>
    </row>
    <row r="798" spans="1:8" s="16" customFormat="1" ht="12" customHeight="1" x14ac:dyDescent="0.2">
      <c r="A798" s="154"/>
      <c r="B798" s="96"/>
      <c r="C798" s="55">
        <v>4220</v>
      </c>
      <c r="D798" s="40" t="s">
        <v>211</v>
      </c>
      <c r="E798" s="41">
        <v>8000</v>
      </c>
      <c r="F798" s="51">
        <v>627</v>
      </c>
      <c r="G798" s="51"/>
      <c r="H798" s="51">
        <f t="shared" si="124"/>
        <v>8627</v>
      </c>
    </row>
    <row r="799" spans="1:8" s="16" customFormat="1" ht="12" customHeight="1" x14ac:dyDescent="0.2">
      <c r="A799" s="154"/>
      <c r="B799" s="96"/>
      <c r="C799" s="55">
        <v>4260</v>
      </c>
      <c r="D799" s="40" t="s">
        <v>98</v>
      </c>
      <c r="E799" s="41">
        <v>29851</v>
      </c>
      <c r="F799" s="51">
        <v>5273</v>
      </c>
      <c r="G799" s="51"/>
      <c r="H799" s="51">
        <f t="shared" si="124"/>
        <v>35124</v>
      </c>
    </row>
    <row r="800" spans="1:8" s="16" customFormat="1" ht="12" customHeight="1" x14ac:dyDescent="0.2">
      <c r="A800" s="154"/>
      <c r="B800" s="96"/>
      <c r="C800" s="55">
        <v>4270</v>
      </c>
      <c r="D800" s="40" t="s">
        <v>95</v>
      </c>
      <c r="E800" s="41">
        <v>10000</v>
      </c>
      <c r="F800" s="51">
        <v>500</v>
      </c>
      <c r="G800" s="51">
        <v>1000</v>
      </c>
      <c r="H800" s="51">
        <f t="shared" si="124"/>
        <v>9500</v>
      </c>
    </row>
    <row r="801" spans="1:8" s="16" customFormat="1" ht="12" customHeight="1" x14ac:dyDescent="0.2">
      <c r="A801" s="154"/>
      <c r="B801" s="96"/>
      <c r="C801" s="55">
        <v>4300</v>
      </c>
      <c r="D801" s="40" t="s">
        <v>14</v>
      </c>
      <c r="E801" s="41">
        <v>85161</v>
      </c>
      <c r="F801" s="51"/>
      <c r="G801" s="51">
        <v>734</v>
      </c>
      <c r="H801" s="51">
        <f t="shared" si="124"/>
        <v>84427</v>
      </c>
    </row>
    <row r="802" spans="1:8" s="16" customFormat="1" ht="12" customHeight="1" x14ac:dyDescent="0.2">
      <c r="A802" s="154"/>
      <c r="B802" s="96"/>
      <c r="C802" s="55">
        <v>4360</v>
      </c>
      <c r="D802" s="40" t="s">
        <v>109</v>
      </c>
      <c r="E802" s="41">
        <v>1840</v>
      </c>
      <c r="F802" s="51"/>
      <c r="G802" s="51">
        <v>600</v>
      </c>
      <c r="H802" s="51">
        <f t="shared" si="124"/>
        <v>1240</v>
      </c>
    </row>
    <row r="803" spans="1:8" s="16" customFormat="1" ht="12" customHeight="1" x14ac:dyDescent="0.2">
      <c r="A803" s="154"/>
      <c r="B803" s="96"/>
      <c r="C803" s="55">
        <v>4430</v>
      </c>
      <c r="D803" s="40" t="s">
        <v>110</v>
      </c>
      <c r="E803" s="41">
        <v>2800</v>
      </c>
      <c r="F803" s="51"/>
      <c r="G803" s="51">
        <v>800</v>
      </c>
      <c r="H803" s="51">
        <f t="shared" si="124"/>
        <v>2000</v>
      </c>
    </row>
    <row r="804" spans="1:8" s="16" customFormat="1" ht="23.25" customHeight="1" x14ac:dyDescent="0.2">
      <c r="A804" s="154"/>
      <c r="B804" s="96"/>
      <c r="C804" s="83">
        <v>4700</v>
      </c>
      <c r="D804" s="104" t="s">
        <v>119</v>
      </c>
      <c r="E804" s="41">
        <v>1000</v>
      </c>
      <c r="F804" s="51">
        <v>734</v>
      </c>
      <c r="G804" s="51"/>
      <c r="H804" s="51">
        <f t="shared" si="124"/>
        <v>1734</v>
      </c>
    </row>
    <row r="805" spans="1:8" s="16" customFormat="1" ht="12" customHeight="1" x14ac:dyDescent="0.2">
      <c r="A805" s="154"/>
      <c r="B805" s="96"/>
      <c r="C805" s="55">
        <v>4710</v>
      </c>
      <c r="D805" s="43" t="s">
        <v>111</v>
      </c>
      <c r="E805" s="41">
        <v>100</v>
      </c>
      <c r="F805" s="51"/>
      <c r="G805" s="51">
        <v>100</v>
      </c>
      <c r="H805" s="51">
        <f t="shared" si="124"/>
        <v>0</v>
      </c>
    </row>
    <row r="806" spans="1:8" s="16" customFormat="1" ht="12" customHeight="1" x14ac:dyDescent="0.2">
      <c r="A806" s="154"/>
      <c r="B806" s="100"/>
      <c r="C806" s="64"/>
      <c r="D806" s="43" t="s">
        <v>278</v>
      </c>
      <c r="E806" s="51"/>
      <c r="F806" s="41"/>
      <c r="G806" s="41"/>
      <c r="H806" s="52"/>
    </row>
    <row r="807" spans="1:8" s="16" customFormat="1" ht="12" customHeight="1" x14ac:dyDescent="0.2">
      <c r="A807" s="154"/>
      <c r="B807" s="100"/>
      <c r="C807" s="26"/>
      <c r="D807" s="484" t="s">
        <v>279</v>
      </c>
      <c r="E807" s="53">
        <v>111700</v>
      </c>
      <c r="F807" s="146">
        <f>SUM(F808:F812)</f>
        <v>1601</v>
      </c>
      <c r="G807" s="146">
        <f>SUM(G808:G812)</f>
        <v>1601</v>
      </c>
      <c r="H807" s="478">
        <f t="shared" ref="H807:H812" si="125">SUM(E807+F807-G807)</f>
        <v>111700</v>
      </c>
    </row>
    <row r="808" spans="1:8" s="16" customFormat="1" ht="12" customHeight="1" x14ac:dyDescent="0.2">
      <c r="A808" s="154"/>
      <c r="B808" s="100"/>
      <c r="C808" s="42" t="s">
        <v>102</v>
      </c>
      <c r="D808" s="43" t="s">
        <v>13</v>
      </c>
      <c r="E808" s="41">
        <v>3709</v>
      </c>
      <c r="F808" s="51"/>
      <c r="G808" s="51">
        <v>571</v>
      </c>
      <c r="H808" s="51">
        <f t="shared" si="125"/>
        <v>3138</v>
      </c>
    </row>
    <row r="809" spans="1:8" s="16" customFormat="1" ht="12" customHeight="1" x14ac:dyDescent="0.2">
      <c r="A809" s="156"/>
      <c r="B809" s="157"/>
      <c r="C809" s="101">
        <v>4220</v>
      </c>
      <c r="D809" s="50" t="s">
        <v>211</v>
      </c>
      <c r="E809" s="36">
        <v>3440</v>
      </c>
      <c r="F809" s="82">
        <v>1171</v>
      </c>
      <c r="G809" s="82"/>
      <c r="H809" s="82">
        <f t="shared" si="125"/>
        <v>4611</v>
      </c>
    </row>
    <row r="810" spans="1:8" s="16" customFormat="1" ht="12" customHeight="1" x14ac:dyDescent="0.2">
      <c r="A810" s="154"/>
      <c r="B810" s="100"/>
      <c r="C810" s="55">
        <v>4270</v>
      </c>
      <c r="D810" s="40" t="s">
        <v>95</v>
      </c>
      <c r="E810" s="41">
        <v>1500</v>
      </c>
      <c r="F810" s="51"/>
      <c r="G810" s="51">
        <v>750</v>
      </c>
      <c r="H810" s="51">
        <f t="shared" si="125"/>
        <v>750</v>
      </c>
    </row>
    <row r="811" spans="1:8" s="16" customFormat="1" ht="12" customHeight="1" x14ac:dyDescent="0.2">
      <c r="A811" s="154"/>
      <c r="B811" s="100"/>
      <c r="C811" s="55">
        <v>4300</v>
      </c>
      <c r="D811" s="40" t="s">
        <v>14</v>
      </c>
      <c r="E811" s="41">
        <v>9415</v>
      </c>
      <c r="F811" s="51">
        <v>430</v>
      </c>
      <c r="G811" s="51"/>
      <c r="H811" s="51">
        <f t="shared" si="125"/>
        <v>9845</v>
      </c>
    </row>
    <row r="812" spans="1:8" s="16" customFormat="1" ht="12" customHeight="1" x14ac:dyDescent="0.2">
      <c r="A812" s="154"/>
      <c r="B812" s="100"/>
      <c r="C812" s="55">
        <v>4360</v>
      </c>
      <c r="D812" s="40" t="s">
        <v>109</v>
      </c>
      <c r="E812" s="41">
        <v>520</v>
      </c>
      <c r="F812" s="51"/>
      <c r="G812" s="51">
        <v>280</v>
      </c>
      <c r="H812" s="51">
        <f t="shared" si="125"/>
        <v>240</v>
      </c>
    </row>
    <row r="813" spans="1:8" s="16" customFormat="1" ht="12" customHeight="1" x14ac:dyDescent="0.2">
      <c r="A813" s="154"/>
      <c r="B813" s="96">
        <v>85219</v>
      </c>
      <c r="C813" s="139"/>
      <c r="D813" s="97" t="s">
        <v>72</v>
      </c>
      <c r="E813" s="36">
        <v>67577</v>
      </c>
      <c r="F813" s="37">
        <f>SUM(F814)</f>
        <v>5705</v>
      </c>
      <c r="G813" s="37">
        <f>SUM(G814)</f>
        <v>0</v>
      </c>
      <c r="H813" s="38">
        <f>SUM(E813+F813-G813)</f>
        <v>73282</v>
      </c>
    </row>
    <row r="814" spans="1:8" s="16" customFormat="1" ht="12" customHeight="1" x14ac:dyDescent="0.2">
      <c r="A814" s="154"/>
      <c r="B814" s="100"/>
      <c r="C814" s="139"/>
      <c r="D814" s="490" t="s">
        <v>210</v>
      </c>
      <c r="E814" s="60">
        <v>67577</v>
      </c>
      <c r="F814" s="146">
        <f>SUM(F815:F816)</f>
        <v>5705</v>
      </c>
      <c r="G814" s="146">
        <f>SUM(G815:G816)</f>
        <v>0</v>
      </c>
      <c r="H814" s="478">
        <f>SUM(E814+F814-G814)</f>
        <v>73282</v>
      </c>
    </row>
    <row r="815" spans="1:8" s="16" customFormat="1" ht="12" customHeight="1" x14ac:dyDescent="0.2">
      <c r="A815" s="154"/>
      <c r="B815" s="25"/>
      <c r="C815" s="55">
        <v>3110</v>
      </c>
      <c r="D815" s="40" t="s">
        <v>220</v>
      </c>
      <c r="E815" s="41">
        <v>66579</v>
      </c>
      <c r="F815" s="41">
        <v>5620</v>
      </c>
      <c r="G815" s="41"/>
      <c r="H815" s="52">
        <f>SUM(E815+F815-G815)</f>
        <v>72199</v>
      </c>
    </row>
    <row r="816" spans="1:8" s="16" customFormat="1" ht="12" customHeight="1" x14ac:dyDescent="0.2">
      <c r="A816" s="154"/>
      <c r="B816" s="25"/>
      <c r="C816" s="42" t="s">
        <v>102</v>
      </c>
      <c r="D816" s="43" t="s">
        <v>13</v>
      </c>
      <c r="E816" s="41">
        <v>998</v>
      </c>
      <c r="F816" s="41">
        <v>85</v>
      </c>
      <c r="G816" s="41"/>
      <c r="H816" s="52">
        <f>SUM(E816+F816-G816)</f>
        <v>1083</v>
      </c>
    </row>
    <row r="817" spans="1:8" s="16" customFormat="1" ht="12" customHeight="1" x14ac:dyDescent="0.2">
      <c r="A817" s="154"/>
      <c r="B817" s="25">
        <v>85228</v>
      </c>
      <c r="C817" s="26"/>
      <c r="D817" s="86" t="s">
        <v>547</v>
      </c>
      <c r="E817" s="36">
        <v>3154045</v>
      </c>
      <c r="F817" s="37">
        <f t="shared" ref="F817:G817" si="126">SUM(F818)</f>
        <v>452320</v>
      </c>
      <c r="G817" s="37">
        <f t="shared" si="126"/>
        <v>0</v>
      </c>
      <c r="H817" s="38">
        <f t="shared" ref="H817:H820" si="127">SUM(E817+F817-G817)</f>
        <v>3606365</v>
      </c>
    </row>
    <row r="818" spans="1:8" s="16" customFormat="1" ht="12" customHeight="1" x14ac:dyDescent="0.2">
      <c r="A818" s="154"/>
      <c r="B818" s="25"/>
      <c r="C818" s="26"/>
      <c r="D818" s="497" t="s">
        <v>245</v>
      </c>
      <c r="E818" s="60">
        <v>3154045</v>
      </c>
      <c r="F818" s="146">
        <f>SUM(F819:F819)</f>
        <v>452320</v>
      </c>
      <c r="G818" s="146">
        <f>SUM(G819:G819)</f>
        <v>0</v>
      </c>
      <c r="H818" s="478">
        <f t="shared" si="127"/>
        <v>3606365</v>
      </c>
    </row>
    <row r="819" spans="1:8" s="16" customFormat="1" ht="45" customHeight="1" x14ac:dyDescent="0.2">
      <c r="A819" s="154"/>
      <c r="B819" s="25"/>
      <c r="C819" s="61" t="s">
        <v>253</v>
      </c>
      <c r="D819" s="104" t="s">
        <v>254</v>
      </c>
      <c r="E819" s="41">
        <v>3154045</v>
      </c>
      <c r="F819" s="51">
        <v>452320</v>
      </c>
      <c r="G819" s="51"/>
      <c r="H819" s="52">
        <f t="shared" si="127"/>
        <v>3606365</v>
      </c>
    </row>
    <row r="820" spans="1:8" s="16" customFormat="1" ht="12" customHeight="1" thickBot="1" x14ac:dyDescent="0.25">
      <c r="A820" s="48">
        <v>855</v>
      </c>
      <c r="B820" s="48"/>
      <c r="C820" s="31"/>
      <c r="D820" s="33" t="s">
        <v>59</v>
      </c>
      <c r="E820" s="34">
        <v>44711938</v>
      </c>
      <c r="F820" s="30">
        <f>SUM(F823,F829)</f>
        <v>67430</v>
      </c>
      <c r="G820" s="30">
        <f>SUM(G823,G829)</f>
        <v>0</v>
      </c>
      <c r="H820" s="30">
        <f t="shared" si="127"/>
        <v>44779368</v>
      </c>
    </row>
    <row r="821" spans="1:8" s="16" customFormat="1" ht="12" customHeight="1" thickTop="1" x14ac:dyDescent="0.2">
      <c r="A821" s="48"/>
      <c r="B821" s="64">
        <v>85502</v>
      </c>
      <c r="C821" s="42"/>
      <c r="D821" s="130" t="s">
        <v>280</v>
      </c>
      <c r="E821" s="51"/>
      <c r="F821" s="51"/>
      <c r="G821" s="134"/>
      <c r="H821" s="52"/>
    </row>
    <row r="822" spans="1:8" s="16" customFormat="1" ht="12" customHeight="1" x14ac:dyDescent="0.2">
      <c r="A822" s="48"/>
      <c r="B822" s="64"/>
      <c r="C822" s="42"/>
      <c r="D822" s="130" t="s">
        <v>281</v>
      </c>
      <c r="E822" s="51"/>
      <c r="F822" s="51"/>
      <c r="G822" s="134"/>
      <c r="H822" s="52"/>
    </row>
    <row r="823" spans="1:8" s="16" customFormat="1" ht="12" customHeight="1" x14ac:dyDescent="0.2">
      <c r="A823" s="48"/>
      <c r="B823" s="64"/>
      <c r="C823" s="42"/>
      <c r="D823" s="77" t="s">
        <v>282</v>
      </c>
      <c r="E823" s="37">
        <v>44191915</v>
      </c>
      <c r="F823" s="37">
        <f>SUM(F824)</f>
        <v>18962</v>
      </c>
      <c r="G823" s="37">
        <f>SUM(G824)</f>
        <v>0</v>
      </c>
      <c r="H823" s="38">
        <f t="shared" ref="H823:H826" si="128">SUM(E823+F823-G823)</f>
        <v>44210877</v>
      </c>
    </row>
    <row r="824" spans="1:8" s="16" customFormat="1" ht="22.15" customHeight="1" x14ac:dyDescent="0.2">
      <c r="A824" s="48"/>
      <c r="B824" s="48"/>
      <c r="C824" s="26"/>
      <c r="D824" s="490" t="s">
        <v>283</v>
      </c>
      <c r="E824" s="146">
        <v>105557</v>
      </c>
      <c r="F824" s="146">
        <f>SUM(F825:F826)</f>
        <v>18962</v>
      </c>
      <c r="G824" s="146">
        <f>SUM(G825:G826)</f>
        <v>0</v>
      </c>
      <c r="H824" s="478">
        <f t="shared" si="128"/>
        <v>124519</v>
      </c>
    </row>
    <row r="825" spans="1:8" s="16" customFormat="1" ht="12" customHeight="1" x14ac:dyDescent="0.2">
      <c r="A825" s="48"/>
      <c r="B825" s="48"/>
      <c r="C825" s="96">
        <v>3110</v>
      </c>
      <c r="D825" s="98" t="s">
        <v>220</v>
      </c>
      <c r="E825" s="51">
        <v>102156</v>
      </c>
      <c r="F825" s="41">
        <v>18747</v>
      </c>
      <c r="G825" s="41"/>
      <c r="H825" s="52">
        <f t="shared" si="128"/>
        <v>120903</v>
      </c>
    </row>
    <row r="826" spans="1:8" s="16" customFormat="1" ht="12" customHeight="1" x14ac:dyDescent="0.2">
      <c r="A826" s="48"/>
      <c r="B826" s="48"/>
      <c r="C826" s="55">
        <v>4010</v>
      </c>
      <c r="D826" s="40" t="s">
        <v>141</v>
      </c>
      <c r="E826" s="51">
        <v>2531</v>
      </c>
      <c r="F826" s="41">
        <v>215</v>
      </c>
      <c r="G826" s="41"/>
      <c r="H826" s="52">
        <f t="shared" si="128"/>
        <v>2746</v>
      </c>
    </row>
    <row r="827" spans="1:8" s="16" customFormat="1" ht="12" customHeight="1" x14ac:dyDescent="0.2">
      <c r="A827" s="48"/>
      <c r="B827" s="25">
        <v>85513</v>
      </c>
      <c r="C827" s="26"/>
      <c r="D827" s="64" t="s">
        <v>77</v>
      </c>
      <c r="E827" s="52"/>
      <c r="F827" s="52"/>
      <c r="G827" s="52"/>
      <c r="H827" s="52"/>
    </row>
    <row r="828" spans="1:8" s="16" customFormat="1" ht="12" customHeight="1" x14ac:dyDescent="0.2">
      <c r="A828" s="48"/>
      <c r="B828" s="47"/>
      <c r="C828" s="26"/>
      <c r="D828" s="75" t="s">
        <v>78</v>
      </c>
      <c r="E828" s="52"/>
      <c r="F828" s="52"/>
      <c r="G828" s="52"/>
      <c r="H828" s="52"/>
    </row>
    <row r="829" spans="1:8" s="16" customFormat="1" ht="12" customHeight="1" x14ac:dyDescent="0.2">
      <c r="A829" s="48"/>
      <c r="B829" s="25"/>
      <c r="C829" s="26"/>
      <c r="D829" s="50" t="s">
        <v>79</v>
      </c>
      <c r="E829" s="38">
        <v>505836</v>
      </c>
      <c r="F829" s="37">
        <f t="shared" ref="F829:G829" si="129">SUM(F830)</f>
        <v>48468</v>
      </c>
      <c r="G829" s="37">
        <f t="shared" si="129"/>
        <v>0</v>
      </c>
      <c r="H829" s="38">
        <f>SUM(E829+F829-G829)</f>
        <v>554304</v>
      </c>
    </row>
    <row r="830" spans="1:8" s="16" customFormat="1" ht="12" customHeight="1" x14ac:dyDescent="0.2">
      <c r="A830" s="48"/>
      <c r="B830" s="25"/>
      <c r="C830" s="26"/>
      <c r="D830" s="484" t="s">
        <v>210</v>
      </c>
      <c r="E830" s="53">
        <v>505836</v>
      </c>
      <c r="F830" s="480">
        <f>SUM(F831)</f>
        <v>48468</v>
      </c>
      <c r="G830" s="480">
        <f>SUM(G831)</f>
        <v>0</v>
      </c>
      <c r="H830" s="53">
        <f>SUM(E830+F830-G830)</f>
        <v>554304</v>
      </c>
    </row>
    <row r="831" spans="1:8" s="16" customFormat="1" ht="12" customHeight="1" x14ac:dyDescent="0.2">
      <c r="A831" s="48"/>
      <c r="B831" s="48"/>
      <c r="C831" s="55">
        <v>4130</v>
      </c>
      <c r="D831" s="40" t="s">
        <v>169</v>
      </c>
      <c r="E831" s="51">
        <v>505836</v>
      </c>
      <c r="F831" s="52">
        <v>48468</v>
      </c>
      <c r="G831" s="52"/>
      <c r="H831" s="51">
        <f>SUM(E831+F831-G831)</f>
        <v>554304</v>
      </c>
    </row>
    <row r="832" spans="1:8" s="16" customFormat="1" ht="21.75" customHeight="1" thickBot="1" x14ac:dyDescent="0.25">
      <c r="A832" s="158"/>
      <c r="B832" s="25"/>
      <c r="C832" s="55"/>
      <c r="D832" s="29" t="s">
        <v>284</v>
      </c>
      <c r="E832" s="30">
        <v>21764585.649999999</v>
      </c>
      <c r="F832" s="30">
        <f>SUM(F833,F843,F859,F871,F895,F902)</f>
        <v>1037610.03</v>
      </c>
      <c r="G832" s="30">
        <f>SUM(G833,G843,G859,G871,G895,G902)</f>
        <v>526412.19999999995</v>
      </c>
      <c r="H832" s="30">
        <f>SUM(E832+F832-G832)</f>
        <v>22275783.48</v>
      </c>
    </row>
    <row r="833" spans="1:8" s="16" customFormat="1" ht="19.5" customHeight="1" thickTop="1" thickBot="1" x14ac:dyDescent="0.25">
      <c r="A833" s="48">
        <v>700</v>
      </c>
      <c r="B833" s="48"/>
      <c r="C833" s="31"/>
      <c r="D833" s="33" t="s">
        <v>81</v>
      </c>
      <c r="E833" s="30">
        <v>465137</v>
      </c>
      <c r="F833" s="34">
        <f t="shared" ref="F833:G833" si="130">SUM(F834)</f>
        <v>308760</v>
      </c>
      <c r="G833" s="34">
        <f t="shared" si="130"/>
        <v>18160</v>
      </c>
      <c r="H833" s="30">
        <f t="shared" ref="H833:H834" si="131">SUM(E833+F833-G833)</f>
        <v>755737</v>
      </c>
    </row>
    <row r="834" spans="1:8" s="16" customFormat="1" ht="12" customHeight="1" thickTop="1" x14ac:dyDescent="0.2">
      <c r="A834" s="48"/>
      <c r="B834" s="25">
        <v>70005</v>
      </c>
      <c r="C834" s="26"/>
      <c r="D834" s="50" t="s">
        <v>82</v>
      </c>
      <c r="E834" s="38">
        <v>465137</v>
      </c>
      <c r="F834" s="37">
        <f>SUM(F835,F839)</f>
        <v>308760</v>
      </c>
      <c r="G834" s="37">
        <f>SUM(G835,G839)</f>
        <v>18160</v>
      </c>
      <c r="H834" s="38">
        <f t="shared" si="131"/>
        <v>755737</v>
      </c>
    </row>
    <row r="835" spans="1:8" s="16" customFormat="1" ht="12" customHeight="1" x14ac:dyDescent="0.2">
      <c r="A835" s="48"/>
      <c r="B835" s="25"/>
      <c r="C835" s="26"/>
      <c r="D835" s="496" t="s">
        <v>104</v>
      </c>
      <c r="E835" s="478">
        <v>286926</v>
      </c>
      <c r="F835" s="480">
        <f>SUM(F836:F838)</f>
        <v>4950</v>
      </c>
      <c r="G835" s="480">
        <f>SUM(G836:G838)</f>
        <v>18160</v>
      </c>
      <c r="H835" s="53">
        <f>SUM(E835+F835-G835)</f>
        <v>273716</v>
      </c>
    </row>
    <row r="836" spans="1:8" s="16" customFormat="1" ht="12" customHeight="1" x14ac:dyDescent="0.2">
      <c r="A836" s="151"/>
      <c r="B836" s="159"/>
      <c r="C836" s="55">
        <v>4300</v>
      </c>
      <c r="D836" s="40" t="s">
        <v>14</v>
      </c>
      <c r="E836" s="41">
        <v>20179</v>
      </c>
      <c r="F836" s="51">
        <v>1506.05</v>
      </c>
      <c r="G836" s="51"/>
      <c r="H836" s="52">
        <f t="shared" ref="H836:H870" si="132">SUM(E836+F836-G836)</f>
        <v>21685.05</v>
      </c>
    </row>
    <row r="837" spans="1:8" s="16" customFormat="1" ht="23.25" customHeight="1" x14ac:dyDescent="0.2">
      <c r="A837" s="151"/>
      <c r="B837" s="159"/>
      <c r="C837" s="83">
        <v>4390</v>
      </c>
      <c r="D837" s="89" t="s">
        <v>93</v>
      </c>
      <c r="E837" s="41">
        <v>24100</v>
      </c>
      <c r="F837" s="51"/>
      <c r="G837" s="51">
        <v>18160</v>
      </c>
      <c r="H837" s="52">
        <f t="shared" si="132"/>
        <v>5940</v>
      </c>
    </row>
    <row r="838" spans="1:8" s="16" customFormat="1" ht="12" customHeight="1" x14ac:dyDescent="0.2">
      <c r="A838" s="151"/>
      <c r="B838" s="159"/>
      <c r="C838" s="55">
        <v>4610</v>
      </c>
      <c r="D838" s="95" t="s">
        <v>96</v>
      </c>
      <c r="E838" s="41">
        <v>1000</v>
      </c>
      <c r="F838" s="51">
        <v>3443.95</v>
      </c>
      <c r="G838" s="51"/>
      <c r="H838" s="52">
        <f t="shared" si="132"/>
        <v>4443.95</v>
      </c>
    </row>
    <row r="839" spans="1:8" s="16" customFormat="1" ht="12" customHeight="1" x14ac:dyDescent="0.2">
      <c r="A839" s="151"/>
      <c r="B839" s="159"/>
      <c r="C839" s="26"/>
      <c r="D839" s="484" t="s">
        <v>230</v>
      </c>
      <c r="E839" s="53">
        <v>178211</v>
      </c>
      <c r="F839" s="146">
        <f>SUM(F840:F842)</f>
        <v>303810</v>
      </c>
      <c r="G839" s="146">
        <f>SUM(G840:G842)</f>
        <v>0</v>
      </c>
      <c r="H839" s="478">
        <f t="shared" si="132"/>
        <v>482021</v>
      </c>
    </row>
    <row r="840" spans="1:8" s="16" customFormat="1" ht="12" customHeight="1" x14ac:dyDescent="0.2">
      <c r="A840" s="151"/>
      <c r="B840" s="159"/>
      <c r="C840" s="55">
        <v>4010</v>
      </c>
      <c r="D840" s="40" t="s">
        <v>141</v>
      </c>
      <c r="E840" s="51">
        <v>138437</v>
      </c>
      <c r="F840" s="51">
        <v>253938</v>
      </c>
      <c r="G840" s="134"/>
      <c r="H840" s="52">
        <f t="shared" si="132"/>
        <v>392375</v>
      </c>
    </row>
    <row r="841" spans="1:8" s="16" customFormat="1" ht="12" customHeight="1" x14ac:dyDescent="0.2">
      <c r="A841" s="151"/>
      <c r="B841" s="159"/>
      <c r="C841" s="55">
        <v>4110</v>
      </c>
      <c r="D841" s="40" t="s">
        <v>117</v>
      </c>
      <c r="E841" s="51">
        <v>25511</v>
      </c>
      <c r="F841" s="51">
        <v>43651</v>
      </c>
      <c r="G841" s="134"/>
      <c r="H841" s="52">
        <f t="shared" si="132"/>
        <v>69162</v>
      </c>
    </row>
    <row r="842" spans="1:8" s="16" customFormat="1" ht="12" customHeight="1" x14ac:dyDescent="0.2">
      <c r="A842" s="151"/>
      <c r="B842" s="159"/>
      <c r="C842" s="55">
        <v>4120</v>
      </c>
      <c r="D842" s="40" t="s">
        <v>142</v>
      </c>
      <c r="E842" s="51">
        <v>3636</v>
      </c>
      <c r="F842" s="51">
        <v>6221</v>
      </c>
      <c r="G842" s="134"/>
      <c r="H842" s="52">
        <f t="shared" si="132"/>
        <v>9857</v>
      </c>
    </row>
    <row r="843" spans="1:8" s="16" customFormat="1" ht="12" customHeight="1" thickBot="1" x14ac:dyDescent="0.25">
      <c r="A843" s="160">
        <v>710</v>
      </c>
      <c r="B843" s="106"/>
      <c r="C843" s="96"/>
      <c r="D843" s="161" t="s">
        <v>85</v>
      </c>
      <c r="E843" s="30">
        <v>1235200</v>
      </c>
      <c r="F843" s="30">
        <f>SUM(F844,F849)</f>
        <v>23440</v>
      </c>
      <c r="G843" s="30">
        <f>SUM(G844,G849)</f>
        <v>3324</v>
      </c>
      <c r="H843" s="30">
        <f t="shared" si="132"/>
        <v>1255316</v>
      </c>
    </row>
    <row r="844" spans="1:8" s="16" customFormat="1" ht="12" customHeight="1" thickTop="1" x14ac:dyDescent="0.2">
      <c r="A844" s="160"/>
      <c r="B844" s="25">
        <v>71012</v>
      </c>
      <c r="C844" s="55"/>
      <c r="D844" s="50" t="s">
        <v>86</v>
      </c>
      <c r="E844" s="36">
        <v>289000</v>
      </c>
      <c r="F844" s="37">
        <f>SUM(F845)</f>
        <v>12116</v>
      </c>
      <c r="G844" s="37">
        <f>SUM(G845)</f>
        <v>0</v>
      </c>
      <c r="H844" s="38">
        <f t="shared" si="132"/>
        <v>301116</v>
      </c>
    </row>
    <row r="845" spans="1:8" s="16" customFormat="1" ht="12" customHeight="1" x14ac:dyDescent="0.2">
      <c r="A845" s="160"/>
      <c r="B845" s="48"/>
      <c r="C845" s="26"/>
      <c r="D845" s="484" t="s">
        <v>230</v>
      </c>
      <c r="E845" s="53">
        <v>278000</v>
      </c>
      <c r="F845" s="146">
        <f>SUM(F846:F848)</f>
        <v>12116</v>
      </c>
      <c r="G845" s="146">
        <f>SUM(G846:G848)</f>
        <v>0</v>
      </c>
      <c r="H845" s="478">
        <f t="shared" si="132"/>
        <v>290116</v>
      </c>
    </row>
    <row r="846" spans="1:8" s="16" customFormat="1" ht="12" customHeight="1" x14ac:dyDescent="0.2">
      <c r="A846" s="160"/>
      <c r="B846" s="25"/>
      <c r="C846" s="55">
        <v>4010</v>
      </c>
      <c r="D846" s="40" t="s">
        <v>141</v>
      </c>
      <c r="E846" s="51">
        <v>214651</v>
      </c>
      <c r="F846" s="51">
        <v>10128</v>
      </c>
      <c r="G846" s="134"/>
      <c r="H846" s="52">
        <f t="shared" si="132"/>
        <v>224779</v>
      </c>
    </row>
    <row r="847" spans="1:8" s="16" customFormat="1" ht="12" customHeight="1" x14ac:dyDescent="0.2">
      <c r="A847" s="160"/>
      <c r="B847" s="25"/>
      <c r="C847" s="55">
        <v>4110</v>
      </c>
      <c r="D847" s="40" t="s">
        <v>117</v>
      </c>
      <c r="E847" s="51">
        <v>39945</v>
      </c>
      <c r="F847" s="51">
        <v>1740</v>
      </c>
      <c r="G847" s="134"/>
      <c r="H847" s="52">
        <f t="shared" si="132"/>
        <v>41685</v>
      </c>
    </row>
    <row r="848" spans="1:8" s="16" customFormat="1" ht="12" customHeight="1" x14ac:dyDescent="0.2">
      <c r="A848" s="160"/>
      <c r="B848" s="25"/>
      <c r="C848" s="55">
        <v>4120</v>
      </c>
      <c r="D848" s="40" t="s">
        <v>142</v>
      </c>
      <c r="E848" s="51">
        <v>5693</v>
      </c>
      <c r="F848" s="51">
        <v>248</v>
      </c>
      <c r="G848" s="134"/>
      <c r="H848" s="52">
        <f t="shared" si="132"/>
        <v>5941</v>
      </c>
    </row>
    <row r="849" spans="1:8" s="16" customFormat="1" ht="12" customHeight="1" x14ac:dyDescent="0.2">
      <c r="A849" s="48"/>
      <c r="B849" s="96">
        <v>71015</v>
      </c>
      <c r="C849" s="162"/>
      <c r="D849" s="97" t="s">
        <v>87</v>
      </c>
      <c r="E849" s="36">
        <v>946200</v>
      </c>
      <c r="F849" s="37">
        <f>SUM(F850)</f>
        <v>11324</v>
      </c>
      <c r="G849" s="37">
        <f>SUM(G850)</f>
        <v>3324</v>
      </c>
      <c r="H849" s="38">
        <f t="shared" si="132"/>
        <v>954200</v>
      </c>
    </row>
    <row r="850" spans="1:8" s="16" customFormat="1" ht="23.25" customHeight="1" x14ac:dyDescent="0.2">
      <c r="A850" s="48"/>
      <c r="B850" s="100"/>
      <c r="C850" s="96"/>
      <c r="D850" s="503" t="s">
        <v>285</v>
      </c>
      <c r="E850" s="60">
        <v>946200</v>
      </c>
      <c r="F850" s="146">
        <f>SUM(F851:F858)</f>
        <v>11324</v>
      </c>
      <c r="G850" s="146">
        <f>SUM(G851:G858)</f>
        <v>3324</v>
      </c>
      <c r="H850" s="478">
        <f t="shared" si="132"/>
        <v>954200</v>
      </c>
    </row>
    <row r="851" spans="1:8" s="16" customFormat="1" ht="12" customHeight="1" x14ac:dyDescent="0.2">
      <c r="A851" s="48"/>
      <c r="B851" s="100"/>
      <c r="C851" s="55">
        <v>4110</v>
      </c>
      <c r="D851" s="40" t="s">
        <v>117</v>
      </c>
      <c r="E851" s="51">
        <v>114199</v>
      </c>
      <c r="F851" s="52"/>
      <c r="G851" s="52">
        <v>1000</v>
      </c>
      <c r="H851" s="52">
        <f t="shared" si="132"/>
        <v>113199</v>
      </c>
    </row>
    <row r="852" spans="1:8" s="16" customFormat="1" ht="12" customHeight="1" x14ac:dyDescent="0.2">
      <c r="A852" s="48"/>
      <c r="B852" s="55"/>
      <c r="C852" s="55">
        <v>4120</v>
      </c>
      <c r="D852" s="40" t="s">
        <v>142</v>
      </c>
      <c r="E852" s="51">
        <v>8853</v>
      </c>
      <c r="F852" s="51"/>
      <c r="G852" s="51">
        <v>100</v>
      </c>
      <c r="H852" s="52">
        <f t="shared" si="132"/>
        <v>8753</v>
      </c>
    </row>
    <row r="853" spans="1:8" s="16" customFormat="1" ht="12" customHeight="1" x14ac:dyDescent="0.2">
      <c r="A853" s="48"/>
      <c r="B853" s="55"/>
      <c r="C853" s="42" t="s">
        <v>102</v>
      </c>
      <c r="D853" s="43" t="s">
        <v>13</v>
      </c>
      <c r="E853" s="51">
        <v>33518</v>
      </c>
      <c r="F853" s="51">
        <v>8000</v>
      </c>
      <c r="G853" s="51"/>
      <c r="H853" s="52">
        <f t="shared" si="132"/>
        <v>41518</v>
      </c>
    </row>
    <row r="854" spans="1:8" s="16" customFormat="1" ht="12" customHeight="1" x14ac:dyDescent="0.2">
      <c r="A854" s="48"/>
      <c r="B854" s="55"/>
      <c r="C854" s="55">
        <v>4260</v>
      </c>
      <c r="D854" s="40" t="s">
        <v>98</v>
      </c>
      <c r="E854" s="51">
        <v>24547</v>
      </c>
      <c r="F854" s="51">
        <v>3324</v>
      </c>
      <c r="G854" s="51"/>
      <c r="H854" s="52">
        <f t="shared" si="132"/>
        <v>27871</v>
      </c>
    </row>
    <row r="855" spans="1:8" s="16" customFormat="1" ht="12" customHeight="1" x14ac:dyDescent="0.2">
      <c r="A855" s="48"/>
      <c r="B855" s="55"/>
      <c r="C855" s="55">
        <v>4280</v>
      </c>
      <c r="D855" s="40" t="s">
        <v>125</v>
      </c>
      <c r="E855" s="51">
        <v>800</v>
      </c>
      <c r="F855" s="51"/>
      <c r="G855" s="51">
        <v>400</v>
      </c>
      <c r="H855" s="52">
        <f t="shared" si="132"/>
        <v>400</v>
      </c>
    </row>
    <row r="856" spans="1:8" s="16" customFormat="1" ht="12" customHeight="1" x14ac:dyDescent="0.2">
      <c r="A856" s="48"/>
      <c r="B856" s="55"/>
      <c r="C856" s="55">
        <v>4410</v>
      </c>
      <c r="D856" s="43" t="s">
        <v>145</v>
      </c>
      <c r="E856" s="51">
        <v>500</v>
      </c>
      <c r="F856" s="51"/>
      <c r="G856" s="51">
        <v>487</v>
      </c>
      <c r="H856" s="52">
        <f t="shared" si="132"/>
        <v>13</v>
      </c>
    </row>
    <row r="857" spans="1:8" s="16" customFormat="1" ht="12" customHeight="1" x14ac:dyDescent="0.2">
      <c r="A857" s="48"/>
      <c r="B857" s="55"/>
      <c r="C857" s="55">
        <v>4430</v>
      </c>
      <c r="D857" s="40" t="s">
        <v>110</v>
      </c>
      <c r="E857" s="51">
        <v>2900</v>
      </c>
      <c r="F857" s="51"/>
      <c r="G857" s="51">
        <v>887</v>
      </c>
      <c r="H857" s="52">
        <f t="shared" si="132"/>
        <v>2013</v>
      </c>
    </row>
    <row r="858" spans="1:8" s="16" customFormat="1" ht="12" customHeight="1" x14ac:dyDescent="0.2">
      <c r="A858" s="48"/>
      <c r="B858" s="55"/>
      <c r="C858" s="25">
        <v>4550</v>
      </c>
      <c r="D858" s="40" t="s">
        <v>286</v>
      </c>
      <c r="E858" s="51">
        <v>500</v>
      </c>
      <c r="F858" s="51"/>
      <c r="G858" s="51">
        <v>450</v>
      </c>
      <c r="H858" s="52">
        <f t="shared" si="132"/>
        <v>50</v>
      </c>
    </row>
    <row r="859" spans="1:8" s="16" customFormat="1" ht="12" customHeight="1" thickBot="1" x14ac:dyDescent="0.25">
      <c r="A859" s="48">
        <v>752</v>
      </c>
      <c r="B859" s="48"/>
      <c r="C859" s="31"/>
      <c r="D859" s="33" t="s">
        <v>22</v>
      </c>
      <c r="E859" s="30">
        <v>37300</v>
      </c>
      <c r="F859" s="30">
        <f>SUM(F860)</f>
        <v>0</v>
      </c>
      <c r="G859" s="30">
        <f>SUM(G860)</f>
        <v>7997</v>
      </c>
      <c r="H859" s="30">
        <f t="shared" si="132"/>
        <v>29303</v>
      </c>
    </row>
    <row r="860" spans="1:8" s="16" customFormat="1" ht="12" customHeight="1" thickTop="1" x14ac:dyDescent="0.2">
      <c r="A860" s="48"/>
      <c r="B860" s="100">
        <v>75224</v>
      </c>
      <c r="C860" s="96"/>
      <c r="D860" s="97" t="s">
        <v>23</v>
      </c>
      <c r="E860" s="36">
        <v>34800</v>
      </c>
      <c r="F860" s="37">
        <f>SUM(F861)</f>
        <v>0</v>
      </c>
      <c r="G860" s="37">
        <f>SUM(G861)</f>
        <v>7997</v>
      </c>
      <c r="H860" s="38">
        <f t="shared" si="132"/>
        <v>26803</v>
      </c>
    </row>
    <row r="861" spans="1:8" s="16" customFormat="1" ht="12" customHeight="1" x14ac:dyDescent="0.2">
      <c r="A861" s="48"/>
      <c r="B861" s="106"/>
      <c r="C861" s="96"/>
      <c r="D861" s="488" t="s">
        <v>129</v>
      </c>
      <c r="E861" s="60">
        <v>34800</v>
      </c>
      <c r="F861" s="146">
        <f>SUM(F862:F870)</f>
        <v>0</v>
      </c>
      <c r="G861" s="146">
        <f>SUM(G862:G870)</f>
        <v>7997</v>
      </c>
      <c r="H861" s="478">
        <f t="shared" si="132"/>
        <v>26803</v>
      </c>
    </row>
    <row r="862" spans="1:8" s="16" customFormat="1" ht="12" customHeight="1" x14ac:dyDescent="0.2">
      <c r="A862" s="48"/>
      <c r="B862" s="55"/>
      <c r="C862" s="55">
        <v>4110</v>
      </c>
      <c r="D862" s="40" t="s">
        <v>117</v>
      </c>
      <c r="E862" s="51">
        <v>3500</v>
      </c>
      <c r="F862" s="41"/>
      <c r="G862" s="41">
        <v>3500</v>
      </c>
      <c r="H862" s="52">
        <f t="shared" si="132"/>
        <v>0</v>
      </c>
    </row>
    <row r="863" spans="1:8" s="16" customFormat="1" ht="12" customHeight="1" x14ac:dyDescent="0.2">
      <c r="A863" s="78"/>
      <c r="B863" s="101"/>
      <c r="C863" s="101">
        <v>4120</v>
      </c>
      <c r="D863" s="50" t="s">
        <v>142</v>
      </c>
      <c r="E863" s="82">
        <v>500</v>
      </c>
      <c r="F863" s="36"/>
      <c r="G863" s="36">
        <v>500</v>
      </c>
      <c r="H863" s="37">
        <f t="shared" si="132"/>
        <v>0</v>
      </c>
    </row>
    <row r="864" spans="1:8" s="16" customFormat="1" ht="12" customHeight="1" x14ac:dyDescent="0.2">
      <c r="A864" s="48"/>
      <c r="B864" s="55"/>
      <c r="C864" s="55">
        <v>4170</v>
      </c>
      <c r="D864" s="40" t="s">
        <v>124</v>
      </c>
      <c r="E864" s="51">
        <v>15600</v>
      </c>
      <c r="F864" s="41"/>
      <c r="G864" s="41">
        <v>400</v>
      </c>
      <c r="H864" s="52">
        <f t="shared" si="132"/>
        <v>15200</v>
      </c>
    </row>
    <row r="865" spans="1:8" s="16" customFormat="1" ht="12" customHeight="1" x14ac:dyDescent="0.2">
      <c r="A865" s="48"/>
      <c r="B865" s="55"/>
      <c r="C865" s="42" t="s">
        <v>102</v>
      </c>
      <c r="D865" s="43" t="s">
        <v>13</v>
      </c>
      <c r="E865" s="51">
        <v>4000</v>
      </c>
      <c r="F865" s="41"/>
      <c r="G865" s="41">
        <v>1705</v>
      </c>
      <c r="H865" s="52">
        <f t="shared" si="132"/>
        <v>2295</v>
      </c>
    </row>
    <row r="866" spans="1:8" s="16" customFormat="1" ht="12" customHeight="1" x14ac:dyDescent="0.2">
      <c r="A866" s="48"/>
      <c r="B866" s="55"/>
      <c r="C866" s="71" t="s">
        <v>215</v>
      </c>
      <c r="D866" s="135" t="s">
        <v>216</v>
      </c>
      <c r="E866" s="51">
        <v>700</v>
      </c>
      <c r="F866" s="41"/>
      <c r="G866" s="41">
        <v>392</v>
      </c>
      <c r="H866" s="52">
        <f t="shared" si="132"/>
        <v>308</v>
      </c>
    </row>
    <row r="867" spans="1:8" s="16" customFormat="1" ht="12" customHeight="1" x14ac:dyDescent="0.2">
      <c r="A867" s="48"/>
      <c r="B867" s="55"/>
      <c r="C867" s="55">
        <v>4270</v>
      </c>
      <c r="D867" s="40" t="s">
        <v>95</v>
      </c>
      <c r="E867" s="51">
        <v>200</v>
      </c>
      <c r="F867" s="41"/>
      <c r="G867" s="41">
        <v>200</v>
      </c>
      <c r="H867" s="52">
        <f t="shared" si="132"/>
        <v>0</v>
      </c>
    </row>
    <row r="868" spans="1:8" s="16" customFormat="1" ht="12" customHeight="1" x14ac:dyDescent="0.2">
      <c r="A868" s="48"/>
      <c r="B868" s="55"/>
      <c r="C868" s="55">
        <v>4300</v>
      </c>
      <c r="D868" s="40" t="s">
        <v>14</v>
      </c>
      <c r="E868" s="51">
        <v>9800</v>
      </c>
      <c r="F868" s="41"/>
      <c r="G868" s="41">
        <v>800</v>
      </c>
      <c r="H868" s="52">
        <f t="shared" si="132"/>
        <v>9000</v>
      </c>
    </row>
    <row r="869" spans="1:8" s="16" customFormat="1" ht="12" customHeight="1" x14ac:dyDescent="0.2">
      <c r="A869" s="48"/>
      <c r="B869" s="55"/>
      <c r="C869" s="111">
        <v>4360</v>
      </c>
      <c r="D869" s="163" t="s">
        <v>287</v>
      </c>
      <c r="E869" s="51">
        <v>100</v>
      </c>
      <c r="F869" s="41"/>
      <c r="G869" s="41">
        <v>100</v>
      </c>
      <c r="H869" s="52">
        <f t="shared" si="132"/>
        <v>0</v>
      </c>
    </row>
    <row r="870" spans="1:8" s="16" customFormat="1" ht="12" customHeight="1" x14ac:dyDescent="0.2">
      <c r="A870" s="48"/>
      <c r="B870" s="55"/>
      <c r="C870" s="55">
        <v>4710</v>
      </c>
      <c r="D870" s="43" t="s">
        <v>111</v>
      </c>
      <c r="E870" s="51">
        <v>400</v>
      </c>
      <c r="F870" s="41"/>
      <c r="G870" s="41">
        <v>400</v>
      </c>
      <c r="H870" s="52">
        <f t="shared" si="132"/>
        <v>0</v>
      </c>
    </row>
    <row r="871" spans="1:8" s="16" customFormat="1" ht="12" customHeight="1" thickBot="1" x14ac:dyDescent="0.25">
      <c r="A871" s="48">
        <v>754</v>
      </c>
      <c r="B871" s="48"/>
      <c r="C871" s="31"/>
      <c r="D871" s="33" t="s">
        <v>69</v>
      </c>
      <c r="E871" s="30">
        <v>18471075.319999997</v>
      </c>
      <c r="F871" s="34">
        <f t="shared" ref="F871:G872" si="133">SUM(F872)</f>
        <v>689706.03</v>
      </c>
      <c r="G871" s="34">
        <f t="shared" si="133"/>
        <v>490927.19999999995</v>
      </c>
      <c r="H871" s="30">
        <f>SUM(E871+F871-G871)</f>
        <v>18669854.149999999</v>
      </c>
    </row>
    <row r="872" spans="1:8" s="16" customFormat="1" ht="12.75" customHeight="1" thickTop="1" x14ac:dyDescent="0.2">
      <c r="A872" s="151"/>
      <c r="B872" s="55">
        <v>75411</v>
      </c>
      <c r="C872" s="56"/>
      <c r="D872" s="84" t="s">
        <v>89</v>
      </c>
      <c r="E872" s="38">
        <v>18471075.319999997</v>
      </c>
      <c r="F872" s="37">
        <f t="shared" si="133"/>
        <v>689706.03</v>
      </c>
      <c r="G872" s="37">
        <f t="shared" si="133"/>
        <v>490927.19999999995</v>
      </c>
      <c r="H872" s="38">
        <f>SUM(E872+F872-G872)</f>
        <v>18669854.149999999</v>
      </c>
    </row>
    <row r="873" spans="1:8" s="16" customFormat="1" ht="12.6" customHeight="1" x14ac:dyDescent="0.2">
      <c r="A873" s="17"/>
      <c r="B873" s="56"/>
      <c r="C873" s="55"/>
      <c r="D873" s="497" t="s">
        <v>130</v>
      </c>
      <c r="E873" s="478">
        <v>18471075.319999997</v>
      </c>
      <c r="F873" s="478">
        <f>SUM(F874:F894)</f>
        <v>689706.03</v>
      </c>
      <c r="G873" s="478">
        <f>SUM(G874:G894)</f>
        <v>490927.19999999995</v>
      </c>
      <c r="H873" s="53">
        <f>SUM(E873+F873-G873)</f>
        <v>18669854.149999999</v>
      </c>
    </row>
    <row r="874" spans="1:8" s="16" customFormat="1" ht="12" customHeight="1" x14ac:dyDescent="0.2">
      <c r="A874" s="32"/>
      <c r="B874" s="25"/>
      <c r="C874" s="96">
        <v>3020</v>
      </c>
      <c r="D874" s="98" t="s">
        <v>115</v>
      </c>
      <c r="E874" s="51">
        <v>200</v>
      </c>
      <c r="F874" s="51">
        <v>800</v>
      </c>
      <c r="G874" s="51"/>
      <c r="H874" s="52">
        <f t="shared" ref="H874:H894" si="134">SUM(E874+F874-G874)</f>
        <v>1000</v>
      </c>
    </row>
    <row r="875" spans="1:8" s="16" customFormat="1" ht="23.25" customHeight="1" x14ac:dyDescent="0.2">
      <c r="A875" s="32"/>
      <c r="B875" s="25"/>
      <c r="C875" s="83">
        <v>3070</v>
      </c>
      <c r="D875" s="89" t="s">
        <v>288</v>
      </c>
      <c r="E875" s="51">
        <v>562575</v>
      </c>
      <c r="F875" s="51">
        <f>13447+31992.13</f>
        <v>45439.130000000005</v>
      </c>
      <c r="G875" s="51">
        <v>12819</v>
      </c>
      <c r="H875" s="52">
        <f t="shared" si="134"/>
        <v>595195.13</v>
      </c>
    </row>
    <row r="876" spans="1:8" s="16" customFormat="1" ht="12" customHeight="1" x14ac:dyDescent="0.2">
      <c r="A876" s="32"/>
      <c r="B876" s="25"/>
      <c r="C876" s="55">
        <v>4010</v>
      </c>
      <c r="D876" s="40" t="s">
        <v>141</v>
      </c>
      <c r="E876" s="51">
        <v>113560</v>
      </c>
      <c r="F876" s="51">
        <f>2000+1481.36</f>
        <v>3481.3599999999997</v>
      </c>
      <c r="G876" s="51"/>
      <c r="H876" s="52">
        <f t="shared" si="134"/>
        <v>117041.36</v>
      </c>
    </row>
    <row r="877" spans="1:8" s="16" customFormat="1" ht="12" customHeight="1" x14ac:dyDescent="0.2">
      <c r="A877" s="32"/>
      <c r="B877" s="25"/>
      <c r="C877" s="55">
        <v>4020</v>
      </c>
      <c r="D877" s="40" t="s">
        <v>289</v>
      </c>
      <c r="E877" s="51">
        <v>114721</v>
      </c>
      <c r="F877" s="51">
        <f>1000+5195.46</f>
        <v>6195.46</v>
      </c>
      <c r="G877" s="51"/>
      <c r="H877" s="52">
        <f t="shared" si="134"/>
        <v>120916.46</v>
      </c>
    </row>
    <row r="878" spans="1:8" s="16" customFormat="1" ht="12" customHeight="1" x14ac:dyDescent="0.2">
      <c r="A878" s="32"/>
      <c r="B878" s="25"/>
      <c r="C878" s="55">
        <v>4040</v>
      </c>
      <c r="D878" s="40" t="s">
        <v>116</v>
      </c>
      <c r="E878" s="51">
        <v>15941</v>
      </c>
      <c r="F878" s="51"/>
      <c r="G878" s="51">
        <v>3805.1</v>
      </c>
      <c r="H878" s="52">
        <f t="shared" si="134"/>
        <v>12135.9</v>
      </c>
    </row>
    <row r="879" spans="1:8" s="16" customFormat="1" ht="12" customHeight="1" x14ac:dyDescent="0.2">
      <c r="A879" s="32"/>
      <c r="B879" s="25"/>
      <c r="C879" s="55">
        <v>4050</v>
      </c>
      <c r="D879" s="164" t="s">
        <v>290</v>
      </c>
      <c r="E879" s="51">
        <v>11638102</v>
      </c>
      <c r="F879" s="51"/>
      <c r="G879" s="51">
        <f>304403+2871.72</f>
        <v>307274.71999999997</v>
      </c>
      <c r="H879" s="52">
        <f t="shared" si="134"/>
        <v>11330827.279999999</v>
      </c>
    </row>
    <row r="880" spans="1:8" s="16" customFormat="1" ht="21.75" customHeight="1" x14ac:dyDescent="0.2">
      <c r="A880" s="32"/>
      <c r="B880" s="25"/>
      <c r="C880" s="83">
        <v>4060</v>
      </c>
      <c r="D880" s="165" t="s">
        <v>291</v>
      </c>
      <c r="E880" s="51">
        <v>641573</v>
      </c>
      <c r="F880" s="51">
        <f>304403+56972.9+72988</f>
        <v>434363.9</v>
      </c>
      <c r="G880" s="51"/>
      <c r="H880" s="52">
        <f t="shared" si="134"/>
        <v>1075936.8999999999</v>
      </c>
    </row>
    <row r="881" spans="1:8" s="16" customFormat="1" ht="21.75" customHeight="1" x14ac:dyDescent="0.2">
      <c r="A881" s="32"/>
      <c r="B881" s="25"/>
      <c r="C881" s="66">
        <v>4070</v>
      </c>
      <c r="D881" s="166" t="s">
        <v>292</v>
      </c>
      <c r="E881" s="51">
        <v>928049</v>
      </c>
      <c r="F881" s="51"/>
      <c r="G881" s="51">
        <v>56972.9</v>
      </c>
      <c r="H881" s="52">
        <f t="shared" si="134"/>
        <v>871076.1</v>
      </c>
    </row>
    <row r="882" spans="1:8" s="16" customFormat="1" ht="12" customHeight="1" x14ac:dyDescent="0.2">
      <c r="A882" s="32"/>
      <c r="B882" s="25"/>
      <c r="C882" s="55">
        <v>4110</v>
      </c>
      <c r="D882" s="40" t="s">
        <v>117</v>
      </c>
      <c r="E882" s="51">
        <v>39113</v>
      </c>
      <c r="F882" s="51">
        <f>6100+5000</f>
        <v>11100</v>
      </c>
      <c r="G882" s="51"/>
      <c r="H882" s="52">
        <f t="shared" si="134"/>
        <v>50213</v>
      </c>
    </row>
    <row r="883" spans="1:8" s="16" customFormat="1" ht="12" customHeight="1" x14ac:dyDescent="0.2">
      <c r="A883" s="32"/>
      <c r="B883" s="25"/>
      <c r="C883" s="55">
        <v>4120</v>
      </c>
      <c r="D883" s="40" t="s">
        <v>142</v>
      </c>
      <c r="E883" s="51">
        <v>5592</v>
      </c>
      <c r="F883" s="51">
        <v>507</v>
      </c>
      <c r="G883" s="51"/>
      <c r="H883" s="52">
        <f t="shared" si="134"/>
        <v>6099</v>
      </c>
    </row>
    <row r="884" spans="1:8" s="16" customFormat="1" ht="12" customHeight="1" x14ac:dyDescent="0.2">
      <c r="A884" s="32"/>
      <c r="B884" s="25"/>
      <c r="C884" s="55">
        <v>4170</v>
      </c>
      <c r="D884" s="40" t="s">
        <v>124</v>
      </c>
      <c r="E884" s="51">
        <v>12560</v>
      </c>
      <c r="F884" s="51">
        <v>1100</v>
      </c>
      <c r="G884" s="51"/>
      <c r="H884" s="52">
        <f t="shared" si="134"/>
        <v>13660</v>
      </c>
    </row>
    <row r="885" spans="1:8" s="16" customFormat="1" ht="22.5" customHeight="1" x14ac:dyDescent="0.2">
      <c r="A885" s="32"/>
      <c r="B885" s="25"/>
      <c r="C885" s="66">
        <v>4180</v>
      </c>
      <c r="D885" s="62" t="s">
        <v>293</v>
      </c>
      <c r="E885" s="51">
        <v>3512962.58</v>
      </c>
      <c r="F885" s="51">
        <f>92000+205.54</f>
        <v>92205.54</v>
      </c>
      <c r="G885" s="51">
        <f>92472+4973.48</f>
        <v>97445.48</v>
      </c>
      <c r="H885" s="52">
        <f t="shared" si="134"/>
        <v>3507722.64</v>
      </c>
    </row>
    <row r="886" spans="1:8" s="16" customFormat="1" ht="12" customHeight="1" x14ac:dyDescent="0.2">
      <c r="A886" s="32"/>
      <c r="B886" s="25"/>
      <c r="C886" s="42" t="s">
        <v>102</v>
      </c>
      <c r="D886" s="43" t="s">
        <v>13</v>
      </c>
      <c r="E886" s="51">
        <v>302804</v>
      </c>
      <c r="F886" s="51">
        <f>29555+3566.64</f>
        <v>33121.64</v>
      </c>
      <c r="G886" s="51">
        <v>11107</v>
      </c>
      <c r="H886" s="52">
        <f t="shared" si="134"/>
        <v>324818.64</v>
      </c>
    </row>
    <row r="887" spans="1:8" s="16" customFormat="1" ht="12" customHeight="1" x14ac:dyDescent="0.2">
      <c r="A887" s="32"/>
      <c r="B887" s="25"/>
      <c r="C887" s="55">
        <v>4270</v>
      </c>
      <c r="D887" s="40" t="s">
        <v>95</v>
      </c>
      <c r="E887" s="51">
        <v>23000</v>
      </c>
      <c r="F887" s="51">
        <v>21652</v>
      </c>
      <c r="G887" s="51"/>
      <c r="H887" s="52">
        <f t="shared" si="134"/>
        <v>44652</v>
      </c>
    </row>
    <row r="888" spans="1:8" s="16" customFormat="1" ht="12" customHeight="1" x14ac:dyDescent="0.2">
      <c r="A888" s="32"/>
      <c r="B888" s="25"/>
      <c r="C888" s="55">
        <v>4280</v>
      </c>
      <c r="D888" s="40" t="s">
        <v>125</v>
      </c>
      <c r="E888" s="51">
        <v>42000</v>
      </c>
      <c r="F888" s="51">
        <v>3500</v>
      </c>
      <c r="G888" s="51"/>
      <c r="H888" s="52">
        <f t="shared" si="134"/>
        <v>45500</v>
      </c>
    </row>
    <row r="889" spans="1:8" s="16" customFormat="1" ht="12" customHeight="1" x14ac:dyDescent="0.2">
      <c r="A889" s="32"/>
      <c r="B889" s="25"/>
      <c r="C889" s="55">
        <v>4300</v>
      </c>
      <c r="D889" s="40" t="s">
        <v>14</v>
      </c>
      <c r="E889" s="51">
        <v>101736</v>
      </c>
      <c r="F889" s="51">
        <f>21402+2000</f>
        <v>23402</v>
      </c>
      <c r="G889" s="51"/>
      <c r="H889" s="52">
        <f t="shared" si="134"/>
        <v>125138</v>
      </c>
    </row>
    <row r="890" spans="1:8" s="16" customFormat="1" ht="12" customHeight="1" x14ac:dyDescent="0.2">
      <c r="A890" s="32"/>
      <c r="B890" s="25"/>
      <c r="C890" s="111">
        <v>4360</v>
      </c>
      <c r="D890" s="163" t="s">
        <v>287</v>
      </c>
      <c r="E890" s="51">
        <v>12144</v>
      </c>
      <c r="F890" s="51">
        <f>2200+1000</f>
        <v>3200</v>
      </c>
      <c r="G890" s="51"/>
      <c r="H890" s="52">
        <f t="shared" si="134"/>
        <v>15344</v>
      </c>
    </row>
    <row r="891" spans="1:8" s="16" customFormat="1" ht="12" customHeight="1" x14ac:dyDescent="0.2">
      <c r="A891" s="32"/>
      <c r="B891" s="25"/>
      <c r="C891" s="55">
        <v>4410</v>
      </c>
      <c r="D891" s="43" t="s">
        <v>145</v>
      </c>
      <c r="E891" s="51">
        <v>3000</v>
      </c>
      <c r="F891" s="51"/>
      <c r="G891" s="51">
        <v>1000</v>
      </c>
      <c r="H891" s="52">
        <f t="shared" si="134"/>
        <v>2000</v>
      </c>
    </row>
    <row r="892" spans="1:8" s="16" customFormat="1" ht="12" customHeight="1" x14ac:dyDescent="0.2">
      <c r="A892" s="32"/>
      <c r="B892" s="25"/>
      <c r="C892" s="55">
        <v>4440</v>
      </c>
      <c r="D892" s="40" t="s">
        <v>180</v>
      </c>
      <c r="E892" s="51">
        <v>7657.74</v>
      </c>
      <c r="F892" s="51"/>
      <c r="G892" s="51">
        <v>502</v>
      </c>
      <c r="H892" s="52">
        <f t="shared" si="134"/>
        <v>7155.74</v>
      </c>
    </row>
    <row r="893" spans="1:8" s="16" customFormat="1" ht="12" customHeight="1" x14ac:dyDescent="0.2">
      <c r="A893" s="32"/>
      <c r="B893" s="25"/>
      <c r="C893" s="55">
        <v>4480</v>
      </c>
      <c r="D893" s="40" t="s">
        <v>294</v>
      </c>
      <c r="E893" s="51">
        <v>48190</v>
      </c>
      <c r="F893" s="51">
        <f>4819+4819</f>
        <v>9638</v>
      </c>
      <c r="G893" s="51"/>
      <c r="H893" s="52">
        <f t="shared" si="134"/>
        <v>57828</v>
      </c>
    </row>
    <row r="894" spans="1:8" s="16" customFormat="1" ht="12" customHeight="1" x14ac:dyDescent="0.2">
      <c r="A894" s="32"/>
      <c r="B894" s="25"/>
      <c r="C894" s="55">
        <v>4510</v>
      </c>
      <c r="D894" s="40" t="s">
        <v>295</v>
      </c>
      <c r="E894" s="51">
        <v>4800</v>
      </c>
      <c r="F894" s="51"/>
      <c r="G894" s="51">
        <v>1</v>
      </c>
      <c r="H894" s="52">
        <f t="shared" si="134"/>
        <v>4799</v>
      </c>
    </row>
    <row r="895" spans="1:8" s="16" customFormat="1" ht="12" customHeight="1" thickBot="1" x14ac:dyDescent="0.25">
      <c r="A895" s="32">
        <v>852</v>
      </c>
      <c r="B895" s="48"/>
      <c r="C895" s="31"/>
      <c r="D895" s="155" t="s">
        <v>46</v>
      </c>
      <c r="E895" s="30">
        <v>568936</v>
      </c>
      <c r="F895" s="30">
        <f t="shared" ref="F895:G896" si="135">SUM(F896)</f>
        <v>6004</v>
      </c>
      <c r="G895" s="30">
        <f t="shared" si="135"/>
        <v>6004</v>
      </c>
      <c r="H895" s="30">
        <f t="shared" ref="H895:H896" si="136">SUM(E895+F895-G895)</f>
        <v>568936</v>
      </c>
    </row>
    <row r="896" spans="1:8" s="16" customFormat="1" ht="12" customHeight="1" thickTop="1" x14ac:dyDescent="0.2">
      <c r="A896" s="32"/>
      <c r="B896" s="25">
        <v>85205</v>
      </c>
      <c r="C896" s="26"/>
      <c r="D896" s="97" t="s">
        <v>296</v>
      </c>
      <c r="E896" s="36">
        <v>568936</v>
      </c>
      <c r="F896" s="37">
        <f t="shared" si="135"/>
        <v>6004</v>
      </c>
      <c r="G896" s="37">
        <f t="shared" si="135"/>
        <v>6004</v>
      </c>
      <c r="H896" s="38">
        <f t="shared" si="136"/>
        <v>568936</v>
      </c>
    </row>
    <row r="897" spans="1:8" s="16" customFormat="1" ht="23.25" customHeight="1" x14ac:dyDescent="0.2">
      <c r="A897" s="158"/>
      <c r="B897" s="25"/>
      <c r="C897" s="26"/>
      <c r="D897" s="490" t="s">
        <v>297</v>
      </c>
      <c r="E897" s="53">
        <v>536536</v>
      </c>
      <c r="F897" s="480">
        <f>SUM(F898:F901)</f>
        <v>6004</v>
      </c>
      <c r="G897" s="480">
        <f>SUM(G898:G901)</f>
        <v>6004</v>
      </c>
      <c r="H897" s="53">
        <f>SUM(E897+F897-G897)</f>
        <v>536536</v>
      </c>
    </row>
    <row r="898" spans="1:8" s="16" customFormat="1" ht="12" customHeight="1" x14ac:dyDescent="0.2">
      <c r="A898" s="158"/>
      <c r="B898" s="25"/>
      <c r="C898" s="42" t="s">
        <v>102</v>
      </c>
      <c r="D898" s="43" t="s">
        <v>13</v>
      </c>
      <c r="E898" s="41">
        <v>41685</v>
      </c>
      <c r="F898" s="51">
        <v>6004</v>
      </c>
      <c r="G898" s="51"/>
      <c r="H898" s="68">
        <f t="shared" ref="H898:H908" si="137">SUM(E898+F898-G898)</f>
        <v>47689</v>
      </c>
    </row>
    <row r="899" spans="1:8" s="16" customFormat="1" ht="12" customHeight="1" x14ac:dyDescent="0.2">
      <c r="A899" s="158"/>
      <c r="B899" s="25"/>
      <c r="C899" s="55">
        <v>4220</v>
      </c>
      <c r="D899" s="40" t="s">
        <v>211</v>
      </c>
      <c r="E899" s="41">
        <v>9160</v>
      </c>
      <c r="F899" s="51"/>
      <c r="G899" s="51">
        <v>160</v>
      </c>
      <c r="H899" s="68">
        <f t="shared" si="137"/>
        <v>9000</v>
      </c>
    </row>
    <row r="900" spans="1:8" s="16" customFormat="1" ht="12" customHeight="1" x14ac:dyDescent="0.2">
      <c r="A900" s="158"/>
      <c r="B900" s="25"/>
      <c r="C900" s="55">
        <v>4260</v>
      </c>
      <c r="D900" s="40" t="s">
        <v>98</v>
      </c>
      <c r="E900" s="41">
        <v>26315</v>
      </c>
      <c r="F900" s="51"/>
      <c r="G900" s="51">
        <v>5000</v>
      </c>
      <c r="H900" s="68">
        <f t="shared" si="137"/>
        <v>21315</v>
      </c>
    </row>
    <row r="901" spans="1:8" s="16" customFormat="1" ht="12" customHeight="1" x14ac:dyDescent="0.2">
      <c r="A901" s="158"/>
      <c r="B901" s="25"/>
      <c r="C901" s="111">
        <v>4360</v>
      </c>
      <c r="D901" s="163" t="s">
        <v>287</v>
      </c>
      <c r="E901" s="41">
        <v>2292</v>
      </c>
      <c r="F901" s="51"/>
      <c r="G901" s="51">
        <v>844</v>
      </c>
      <c r="H901" s="68">
        <f t="shared" si="137"/>
        <v>1448</v>
      </c>
    </row>
    <row r="902" spans="1:8" s="16" customFormat="1" ht="12" customHeight="1" thickBot="1" x14ac:dyDescent="0.25">
      <c r="A902" s="32">
        <v>853</v>
      </c>
      <c r="B902" s="48"/>
      <c r="C902" s="31"/>
      <c r="D902" s="33" t="s">
        <v>18</v>
      </c>
      <c r="E902" s="30">
        <v>538299</v>
      </c>
      <c r="F902" s="30">
        <f>SUM(F903)</f>
        <v>9700</v>
      </c>
      <c r="G902" s="30">
        <f>SUM(G903)</f>
        <v>0</v>
      </c>
      <c r="H902" s="30">
        <f t="shared" si="137"/>
        <v>547999</v>
      </c>
    </row>
    <row r="903" spans="1:8" s="16" customFormat="1" ht="12" customHeight="1" thickTop="1" x14ac:dyDescent="0.2">
      <c r="A903" s="32"/>
      <c r="B903" s="25">
        <v>85321</v>
      </c>
      <c r="C903" s="26"/>
      <c r="D903" s="50" t="s">
        <v>90</v>
      </c>
      <c r="E903" s="36">
        <v>508500</v>
      </c>
      <c r="F903" s="37">
        <f>SUM(F904)</f>
        <v>9700</v>
      </c>
      <c r="G903" s="37">
        <f>SUM(G904)</f>
        <v>0</v>
      </c>
      <c r="H903" s="38">
        <f t="shared" si="137"/>
        <v>518200</v>
      </c>
    </row>
    <row r="904" spans="1:8" s="16" customFormat="1" ht="12" customHeight="1" x14ac:dyDescent="0.2">
      <c r="A904" s="32"/>
      <c r="B904" s="25"/>
      <c r="C904" s="26"/>
      <c r="D904" s="484" t="s">
        <v>230</v>
      </c>
      <c r="E904" s="60">
        <v>266000</v>
      </c>
      <c r="F904" s="146">
        <f>SUM(F905:F908)</f>
        <v>9700</v>
      </c>
      <c r="G904" s="146">
        <f>SUM(G905:G908)</f>
        <v>0</v>
      </c>
      <c r="H904" s="478">
        <f t="shared" si="137"/>
        <v>275700</v>
      </c>
    </row>
    <row r="905" spans="1:8" s="16" customFormat="1" ht="12" customHeight="1" x14ac:dyDescent="0.2">
      <c r="A905" s="32"/>
      <c r="B905" s="48"/>
      <c r="C905" s="55">
        <v>4010</v>
      </c>
      <c r="D905" s="40" t="s">
        <v>141</v>
      </c>
      <c r="E905" s="51">
        <v>208960</v>
      </c>
      <c r="F905" s="51">
        <v>8190</v>
      </c>
      <c r="G905" s="51"/>
      <c r="H905" s="52">
        <f t="shared" si="137"/>
        <v>217150</v>
      </c>
    </row>
    <row r="906" spans="1:8" s="16" customFormat="1" ht="12" customHeight="1" x14ac:dyDescent="0.2">
      <c r="A906" s="32"/>
      <c r="B906" s="48"/>
      <c r="C906" s="55">
        <v>4110</v>
      </c>
      <c r="D906" s="40" t="s">
        <v>117</v>
      </c>
      <c r="E906" s="51">
        <v>37669</v>
      </c>
      <c r="F906" s="51">
        <v>1200</v>
      </c>
      <c r="G906" s="51"/>
      <c r="H906" s="52">
        <f t="shared" si="137"/>
        <v>38869</v>
      </c>
    </row>
    <row r="907" spans="1:8" s="16" customFormat="1" ht="12" customHeight="1" x14ac:dyDescent="0.2">
      <c r="A907" s="32"/>
      <c r="B907" s="48"/>
      <c r="C907" s="55">
        <v>4120</v>
      </c>
      <c r="D907" s="40" t="s">
        <v>142</v>
      </c>
      <c r="E907" s="51">
        <v>3217</v>
      </c>
      <c r="F907" s="51">
        <v>250</v>
      </c>
      <c r="G907" s="51"/>
      <c r="H907" s="52">
        <f t="shared" si="137"/>
        <v>3467</v>
      </c>
    </row>
    <row r="908" spans="1:8" s="16" customFormat="1" ht="12" customHeight="1" x14ac:dyDescent="0.2">
      <c r="A908" s="167"/>
      <c r="B908" s="168"/>
      <c r="C908" s="55">
        <v>4710</v>
      </c>
      <c r="D908" s="43" t="s">
        <v>111</v>
      </c>
      <c r="E908" s="51">
        <v>430</v>
      </c>
      <c r="F908" s="169">
        <v>60</v>
      </c>
      <c r="G908" s="169"/>
      <c r="H908" s="52">
        <f t="shared" si="137"/>
        <v>490</v>
      </c>
    </row>
    <row r="909" spans="1:8" s="16" customFormat="1" ht="3.75" customHeight="1" x14ac:dyDescent="0.2">
      <c r="A909" s="44"/>
      <c r="B909" s="44"/>
      <c r="C909" s="45"/>
      <c r="D909" s="46"/>
      <c r="E909" s="38"/>
      <c r="F909" s="38"/>
      <c r="G909" s="38"/>
      <c r="H909" s="38"/>
    </row>
    <row r="910" spans="1:8" s="16" customFormat="1" ht="12.95" customHeight="1" x14ac:dyDescent="0.2"/>
    <row r="911" spans="1:8" s="16" customFormat="1" ht="12.95" customHeight="1" x14ac:dyDescent="0.2"/>
    <row r="912" spans="1:8" s="16" customFormat="1" ht="12.95" customHeight="1" x14ac:dyDescent="0.2"/>
    <row r="913" s="16" customFormat="1" ht="12.95" customHeight="1" x14ac:dyDescent="0.2"/>
    <row r="914" s="16" customFormat="1" ht="12.95" customHeight="1" x14ac:dyDescent="0.2"/>
    <row r="915" s="16" customFormat="1" ht="12.95" customHeight="1" x14ac:dyDescent="0.2"/>
    <row r="916" s="16" customFormat="1" ht="12.95" customHeight="1" x14ac:dyDescent="0.2"/>
    <row r="917" s="16" customFormat="1" ht="12.95" customHeight="1" x14ac:dyDescent="0.2"/>
    <row r="918" s="16" customFormat="1" ht="12.95" customHeight="1" x14ac:dyDescent="0.2"/>
    <row r="919" s="16" customFormat="1" ht="12.95" customHeight="1" x14ac:dyDescent="0.2"/>
    <row r="920" s="16" customFormat="1" ht="12.95" customHeight="1" x14ac:dyDescent="0.2"/>
    <row r="921" s="16" customFormat="1" ht="12.95" customHeight="1" x14ac:dyDescent="0.2"/>
    <row r="922" s="16" customFormat="1" ht="12.95" customHeight="1" x14ac:dyDescent="0.2"/>
    <row r="923" s="16" customFormat="1" ht="12.95" customHeight="1" x14ac:dyDescent="0.2"/>
    <row r="924" s="16" customFormat="1" ht="12.95" customHeight="1" x14ac:dyDescent="0.2"/>
    <row r="925" s="16" customFormat="1" ht="12.95" customHeight="1" x14ac:dyDescent="0.2"/>
    <row r="926" s="16" customFormat="1" ht="12.95" customHeight="1" x14ac:dyDescent="0.2"/>
    <row r="927" s="16" customFormat="1" ht="12.95" customHeight="1" x14ac:dyDescent="0.2"/>
    <row r="928" s="16" customFormat="1" ht="12.95" customHeight="1" x14ac:dyDescent="0.2"/>
    <row r="929" s="16" customFormat="1" ht="12.95" customHeight="1" x14ac:dyDescent="0.2"/>
    <row r="930" s="16" customFormat="1" ht="12.95" customHeight="1" x14ac:dyDescent="0.2"/>
    <row r="931" s="16" customFormat="1" ht="12.95" customHeight="1" x14ac:dyDescent="0.2"/>
    <row r="932" s="16" customFormat="1" ht="12.95" customHeight="1" x14ac:dyDescent="0.2"/>
    <row r="933" s="16" customFormat="1" ht="12.95" customHeight="1" x14ac:dyDescent="0.2"/>
    <row r="934" s="16" customFormat="1" ht="12.95" customHeight="1" x14ac:dyDescent="0.2"/>
    <row r="935" s="16" customFormat="1" ht="12.95" customHeight="1" x14ac:dyDescent="0.2"/>
    <row r="936" s="16" customFormat="1" ht="12.95" customHeight="1" x14ac:dyDescent="0.2"/>
    <row r="937" s="16" customFormat="1" ht="12.95" customHeight="1" x14ac:dyDescent="0.2"/>
    <row r="938" s="16" customFormat="1" ht="12.95" customHeight="1" x14ac:dyDescent="0.2"/>
    <row r="939" s="16" customFormat="1" ht="12.95" customHeight="1" x14ac:dyDescent="0.2"/>
    <row r="940" s="16" customFormat="1" ht="12.95" customHeight="1" x14ac:dyDescent="0.2"/>
    <row r="941" s="16" customFormat="1" ht="12.95" customHeight="1" x14ac:dyDescent="0.2"/>
    <row r="942" s="16" customFormat="1" ht="12.95" customHeight="1" x14ac:dyDescent="0.2"/>
    <row r="943" s="16" customFormat="1" ht="12.95" customHeight="1" x14ac:dyDescent="0.2"/>
    <row r="944" s="16" customFormat="1" ht="12.95" customHeight="1" x14ac:dyDescent="0.2"/>
    <row r="945" s="16" customFormat="1" ht="12.95" customHeight="1" x14ac:dyDescent="0.2"/>
    <row r="946" s="16" customFormat="1" ht="12.95" customHeight="1" x14ac:dyDescent="0.2"/>
    <row r="947" s="16" customFormat="1" ht="12.95" customHeight="1" x14ac:dyDescent="0.2"/>
    <row r="948" s="16" customFormat="1" ht="12.95" customHeight="1" x14ac:dyDescent="0.2"/>
    <row r="949" s="16" customFormat="1" ht="12.95" customHeight="1" x14ac:dyDescent="0.2"/>
    <row r="950" s="16" customFormat="1" ht="12.95" customHeight="1" x14ac:dyDescent="0.2"/>
    <row r="951" s="16" customFormat="1" ht="12.95" customHeight="1" x14ac:dyDescent="0.2"/>
    <row r="952" s="16" customFormat="1" ht="12.95" customHeight="1" x14ac:dyDescent="0.2"/>
    <row r="953" s="16" customFormat="1" ht="12.95" customHeight="1" x14ac:dyDescent="0.2"/>
    <row r="954" s="16" customFormat="1" ht="12.95" customHeight="1" x14ac:dyDescent="0.2"/>
    <row r="955" s="16" customFormat="1" ht="12.95" customHeight="1" x14ac:dyDescent="0.2"/>
    <row r="956" s="16" customFormat="1" ht="12.95" customHeight="1" x14ac:dyDescent="0.2"/>
    <row r="957" s="16" customFormat="1" ht="12.95" customHeight="1" x14ac:dyDescent="0.2"/>
    <row r="958" s="16" customFormat="1" ht="12.95" customHeight="1" x14ac:dyDescent="0.2"/>
    <row r="959" s="16" customFormat="1" ht="12.95" customHeight="1" x14ac:dyDescent="0.2"/>
    <row r="960" s="16" customFormat="1" ht="12.95" customHeight="1" x14ac:dyDescent="0.2"/>
    <row r="961" s="16" customFormat="1" ht="12.95" customHeight="1" x14ac:dyDescent="0.2"/>
    <row r="962" s="16" customFormat="1" ht="12.95" customHeight="1" x14ac:dyDescent="0.2"/>
    <row r="963" s="16" customFormat="1" ht="12.95" customHeight="1" x14ac:dyDescent="0.2"/>
    <row r="964" s="16" customFormat="1" ht="12.95" customHeight="1" x14ac:dyDescent="0.2"/>
    <row r="965" s="16" customFormat="1" ht="12.95" customHeight="1" x14ac:dyDescent="0.2"/>
    <row r="966" s="16" customFormat="1" ht="12.95" customHeight="1" x14ac:dyDescent="0.2"/>
    <row r="967" s="16" customFormat="1" ht="12.95" customHeight="1" x14ac:dyDescent="0.2"/>
    <row r="968" s="16" customFormat="1" ht="12.95" customHeight="1" x14ac:dyDescent="0.2"/>
    <row r="969" s="16" customFormat="1" ht="12.95" customHeight="1" x14ac:dyDescent="0.2"/>
    <row r="970" s="16" customFormat="1" ht="12.95" customHeight="1" x14ac:dyDescent="0.2"/>
    <row r="971" s="16" customFormat="1" ht="12.95" customHeight="1" x14ac:dyDescent="0.2"/>
    <row r="972" s="16" customFormat="1" ht="12.95" customHeight="1" x14ac:dyDescent="0.2"/>
    <row r="973" s="16" customFormat="1" ht="12.95" customHeight="1" x14ac:dyDescent="0.2"/>
    <row r="974" s="16" customFormat="1" ht="12.95" customHeight="1" x14ac:dyDescent="0.2"/>
    <row r="975" s="16" customFormat="1" ht="12.95" customHeight="1" x14ac:dyDescent="0.2"/>
    <row r="976" s="16" customFormat="1" ht="12.95" customHeight="1" x14ac:dyDescent="0.2"/>
    <row r="977" customFormat="1" ht="12.95" customHeight="1" x14ac:dyDescent="0.25"/>
    <row r="978" customFormat="1" ht="12.95" customHeight="1" x14ac:dyDescent="0.25"/>
    <row r="979" customFormat="1" ht="12.95" customHeight="1" x14ac:dyDescent="0.25"/>
    <row r="980" customFormat="1" ht="12.95" customHeight="1" x14ac:dyDescent="0.25"/>
    <row r="981" customFormat="1" ht="12.95" customHeight="1" x14ac:dyDescent="0.25"/>
    <row r="982" customFormat="1" ht="12.95" customHeight="1" x14ac:dyDescent="0.25"/>
    <row r="983" customFormat="1" ht="12.95" customHeight="1" x14ac:dyDescent="0.25"/>
    <row r="984" customFormat="1" ht="12.95" customHeight="1" x14ac:dyDescent="0.25"/>
    <row r="985" customFormat="1" ht="12.95" customHeight="1" x14ac:dyDescent="0.25"/>
    <row r="986" customFormat="1" ht="12.95" customHeight="1" x14ac:dyDescent="0.25"/>
    <row r="987" customFormat="1" ht="12.95" customHeight="1" x14ac:dyDescent="0.25"/>
    <row r="988" customFormat="1" ht="12.95" customHeight="1" x14ac:dyDescent="0.25"/>
    <row r="989" customFormat="1" ht="12.75" customHeight="1" x14ac:dyDescent="0.25"/>
    <row r="990" customFormat="1" ht="12.75" customHeight="1" x14ac:dyDescent="0.25"/>
    <row r="991" customFormat="1" ht="12.75" customHeight="1" x14ac:dyDescent="0.25"/>
    <row r="992" customFormat="1" ht="12.75" customHeight="1" x14ac:dyDescent="0.25"/>
    <row r="993" customFormat="1" ht="12.75" customHeight="1" x14ac:dyDescent="0.25"/>
    <row r="994" customFormat="1" ht="12.75" customHeight="1" x14ac:dyDescent="0.25"/>
    <row r="995" customFormat="1" ht="12.75" customHeight="1" x14ac:dyDescent="0.25"/>
    <row r="996" customFormat="1" ht="12.75" customHeight="1" x14ac:dyDescent="0.25"/>
    <row r="997" customFormat="1" ht="12.75" customHeight="1" x14ac:dyDescent="0.25"/>
    <row r="998" customFormat="1" ht="12.75" customHeight="1" x14ac:dyDescent="0.25"/>
    <row r="999" customFormat="1" ht="12.75" customHeight="1" x14ac:dyDescent="0.25"/>
    <row r="1000" customFormat="1" ht="12.75" customHeight="1" x14ac:dyDescent="0.25"/>
    <row r="1001" customFormat="1" ht="12.75" customHeight="1" x14ac:dyDescent="0.25"/>
    <row r="1002" customFormat="1" ht="12.75" customHeight="1" x14ac:dyDescent="0.25"/>
    <row r="1003" customFormat="1" ht="12.75" customHeight="1" x14ac:dyDescent="0.25"/>
    <row r="1004" customFormat="1" ht="12.75" customHeight="1" x14ac:dyDescent="0.25"/>
    <row r="1005" customFormat="1" ht="12.75" customHeight="1" x14ac:dyDescent="0.25"/>
    <row r="1006" customFormat="1" ht="12.75" customHeight="1" x14ac:dyDescent="0.25"/>
    <row r="1007" customFormat="1" ht="12.75" customHeight="1" x14ac:dyDescent="0.25"/>
    <row r="1008" customFormat="1" ht="12.75" customHeight="1" x14ac:dyDescent="0.25"/>
    <row r="1009" customFormat="1" ht="12.75" customHeight="1" x14ac:dyDescent="0.25"/>
    <row r="1010" customFormat="1" ht="12.75" customHeight="1" x14ac:dyDescent="0.25"/>
    <row r="1011" customFormat="1" ht="12.75" customHeight="1" x14ac:dyDescent="0.25"/>
    <row r="1012" customFormat="1" ht="12.75" customHeight="1" x14ac:dyDescent="0.25"/>
    <row r="1013" customFormat="1" ht="12.75" customHeight="1" x14ac:dyDescent="0.25"/>
    <row r="1014" customFormat="1" ht="12.75" customHeight="1" x14ac:dyDescent="0.25"/>
    <row r="1015" customFormat="1" ht="12.75" customHeight="1" x14ac:dyDescent="0.25"/>
    <row r="1016" customFormat="1" ht="12.75" customHeight="1" x14ac:dyDescent="0.25"/>
    <row r="1017" customFormat="1" ht="12.75" customHeight="1" x14ac:dyDescent="0.25"/>
    <row r="1018" customFormat="1" ht="12.75" customHeight="1" x14ac:dyDescent="0.25"/>
    <row r="1019" customFormat="1" ht="12.75" customHeight="1" x14ac:dyDescent="0.25"/>
    <row r="1020" customFormat="1" ht="12.75" customHeight="1" x14ac:dyDescent="0.25"/>
    <row r="1021" customFormat="1" ht="12.75" customHeight="1" x14ac:dyDescent="0.25"/>
    <row r="1022" customFormat="1" ht="12.75" customHeight="1" x14ac:dyDescent="0.25"/>
    <row r="1023" customFormat="1" ht="12.75" customHeight="1" x14ac:dyDescent="0.25"/>
    <row r="1024" customFormat="1" ht="12.75" customHeight="1" x14ac:dyDescent="0.25"/>
    <row r="1025" customFormat="1" ht="12.75" customHeight="1" x14ac:dyDescent="0.25"/>
    <row r="1026" customFormat="1" ht="12.75" customHeight="1" x14ac:dyDescent="0.25"/>
    <row r="1027" customFormat="1" ht="12.75" customHeight="1" x14ac:dyDescent="0.25"/>
    <row r="1028" customFormat="1" ht="12.75" customHeight="1" x14ac:dyDescent="0.25"/>
    <row r="1029" customFormat="1" ht="12.75" customHeight="1" x14ac:dyDescent="0.25"/>
    <row r="1030" customFormat="1" ht="12.75" customHeight="1" x14ac:dyDescent="0.25"/>
    <row r="1031" customFormat="1" ht="12.75" customHeight="1" x14ac:dyDescent="0.25"/>
    <row r="1032" customFormat="1" ht="12.75" customHeight="1" x14ac:dyDescent="0.25"/>
    <row r="1033" customFormat="1" ht="12.75" customHeight="1" x14ac:dyDescent="0.25"/>
    <row r="1034" customFormat="1" ht="12.75" customHeight="1" x14ac:dyDescent="0.25"/>
    <row r="1035" customFormat="1" ht="12.75" customHeight="1" x14ac:dyDescent="0.25"/>
    <row r="1036" customFormat="1" ht="12.75" customHeight="1" x14ac:dyDescent="0.25"/>
    <row r="1037" customFormat="1" ht="12.75" customHeight="1" x14ac:dyDescent="0.25"/>
    <row r="1038" customFormat="1" ht="12.75" customHeight="1" x14ac:dyDescent="0.25"/>
    <row r="1039" customFormat="1" ht="12.75" customHeight="1" x14ac:dyDescent="0.25"/>
    <row r="1040" customFormat="1" ht="12.75" customHeight="1" x14ac:dyDescent="0.25"/>
    <row r="1041" customFormat="1" ht="12.75" customHeight="1" x14ac:dyDescent="0.25"/>
    <row r="1042" customFormat="1" ht="12.75" customHeight="1" x14ac:dyDescent="0.25"/>
    <row r="1043" customFormat="1" ht="12.75" customHeight="1" x14ac:dyDescent="0.25"/>
    <row r="1044" customFormat="1" ht="12.75" customHeight="1" x14ac:dyDescent="0.25"/>
    <row r="1045" customFormat="1" ht="12.75" customHeight="1" x14ac:dyDescent="0.25"/>
    <row r="1046" customFormat="1" ht="12.75" customHeight="1" x14ac:dyDescent="0.25"/>
    <row r="1047" customFormat="1" ht="12.75" customHeight="1" x14ac:dyDescent="0.25"/>
    <row r="1048" customFormat="1" ht="12.75" customHeight="1" x14ac:dyDescent="0.25"/>
    <row r="1049" customFormat="1" ht="12.75" customHeight="1" x14ac:dyDescent="0.25"/>
    <row r="1050" customFormat="1" ht="12.75" customHeight="1" x14ac:dyDescent="0.25"/>
    <row r="1051" customFormat="1" ht="12.75" customHeight="1" x14ac:dyDescent="0.25"/>
    <row r="1052" customFormat="1" ht="12.75" customHeight="1" x14ac:dyDescent="0.25"/>
    <row r="1053" customFormat="1" ht="12.75" customHeight="1" x14ac:dyDescent="0.25"/>
    <row r="1054" customFormat="1" ht="12.75" customHeight="1" x14ac:dyDescent="0.25"/>
    <row r="1055" customFormat="1" ht="12.75" customHeight="1" x14ac:dyDescent="0.25"/>
    <row r="1056" customFormat="1" ht="12.75" customHeight="1" x14ac:dyDescent="0.25"/>
    <row r="1057" customFormat="1" ht="12.75" customHeight="1" x14ac:dyDescent="0.25"/>
    <row r="1058" customFormat="1" ht="12.75" customHeight="1" x14ac:dyDescent="0.25"/>
    <row r="1059" customFormat="1" ht="12.75" customHeight="1" x14ac:dyDescent="0.25"/>
    <row r="1060" customFormat="1" ht="12.75" customHeight="1" x14ac:dyDescent="0.25"/>
    <row r="1061" customFormat="1" ht="12.75" customHeight="1" x14ac:dyDescent="0.25"/>
    <row r="1062" customFormat="1" ht="12.75" customHeight="1" x14ac:dyDescent="0.25"/>
    <row r="1063" customFormat="1" ht="12.75" customHeight="1" x14ac:dyDescent="0.25"/>
    <row r="1064" customFormat="1" ht="12.75" customHeight="1" x14ac:dyDescent="0.25"/>
    <row r="1065" customFormat="1" ht="12.75" customHeight="1" x14ac:dyDescent="0.25"/>
    <row r="1066" customFormat="1" ht="12.75" customHeight="1" x14ac:dyDescent="0.25"/>
    <row r="1067" customFormat="1" ht="12.75" customHeight="1" x14ac:dyDescent="0.25"/>
    <row r="1068" customFormat="1" ht="12.75" customHeight="1" x14ac:dyDescent="0.25"/>
    <row r="1069" customFormat="1" ht="12.75" customHeight="1" x14ac:dyDescent="0.25"/>
    <row r="1070" customFormat="1" ht="12.75" customHeight="1" x14ac:dyDescent="0.25"/>
    <row r="1071" customFormat="1" ht="12.75" customHeight="1" x14ac:dyDescent="0.25"/>
    <row r="1072" customFormat="1" ht="12.75" customHeight="1" x14ac:dyDescent="0.25"/>
    <row r="1073" customFormat="1" ht="12.75" customHeight="1" x14ac:dyDescent="0.25"/>
    <row r="1074" customFormat="1" ht="12.75" customHeight="1" x14ac:dyDescent="0.25"/>
    <row r="1075" customFormat="1" ht="12.75" customHeight="1" x14ac:dyDescent="0.25"/>
    <row r="1076" customFormat="1" ht="12.75" customHeight="1" x14ac:dyDescent="0.25"/>
    <row r="1077" customFormat="1" ht="12.75" customHeight="1" x14ac:dyDescent="0.25"/>
    <row r="1078" customFormat="1" ht="12.75" customHeight="1" x14ac:dyDescent="0.25"/>
    <row r="1079" customFormat="1" ht="12.75" customHeight="1" x14ac:dyDescent="0.25"/>
    <row r="1080" customFormat="1" ht="12.75" customHeight="1" x14ac:dyDescent="0.25"/>
    <row r="1081" customFormat="1" ht="12.75" customHeight="1" x14ac:dyDescent="0.25"/>
    <row r="1082" customFormat="1" ht="12.75" customHeight="1" x14ac:dyDescent="0.25"/>
    <row r="1083" customFormat="1" ht="12.75" customHeight="1" x14ac:dyDescent="0.25"/>
    <row r="1084" customFormat="1" ht="12.75" customHeight="1" x14ac:dyDescent="0.25"/>
    <row r="1085" customFormat="1" ht="12.75" customHeight="1" x14ac:dyDescent="0.25"/>
    <row r="1086" customFormat="1" ht="12.75" customHeight="1" x14ac:dyDescent="0.25"/>
    <row r="1087" customFormat="1" ht="12.75" customHeight="1" x14ac:dyDescent="0.25"/>
    <row r="1088" customFormat="1" ht="12.75" customHeight="1" x14ac:dyDescent="0.25"/>
    <row r="1089" customFormat="1" ht="12.75" customHeight="1" x14ac:dyDescent="0.25"/>
    <row r="1090" customFormat="1" ht="12.75" customHeight="1" x14ac:dyDescent="0.25"/>
    <row r="1091" customFormat="1" ht="12.75" customHeight="1" x14ac:dyDescent="0.25"/>
    <row r="1092" customFormat="1" ht="12.75" customHeight="1" x14ac:dyDescent="0.25"/>
    <row r="1093" customFormat="1" ht="12.75" customHeight="1" x14ac:dyDescent="0.25"/>
    <row r="1094" customFormat="1" ht="12.75" customHeight="1" x14ac:dyDescent="0.25"/>
    <row r="1095" customFormat="1" ht="12.75" customHeight="1" x14ac:dyDescent="0.25"/>
    <row r="1096" customFormat="1" ht="12.75" customHeight="1" x14ac:dyDescent="0.25"/>
    <row r="1097" customFormat="1" ht="12.75" customHeight="1" x14ac:dyDescent="0.25"/>
    <row r="1098" customFormat="1" ht="12.75" customHeight="1" x14ac:dyDescent="0.25"/>
    <row r="1099" customFormat="1" ht="12.75" customHeight="1" x14ac:dyDescent="0.25"/>
    <row r="1100" customFormat="1" ht="12.75" customHeight="1" x14ac:dyDescent="0.25"/>
    <row r="1101" customFormat="1" ht="12.75" customHeight="1" x14ac:dyDescent="0.25"/>
    <row r="1102" customFormat="1" ht="12.75" customHeight="1" x14ac:dyDescent="0.25"/>
    <row r="1103" customFormat="1" ht="12.75" customHeight="1" x14ac:dyDescent="0.25"/>
    <row r="1104" customFormat="1" ht="12.75" customHeight="1" x14ac:dyDescent="0.25"/>
    <row r="1105" customFormat="1" ht="12.75" customHeight="1" x14ac:dyDescent="0.25"/>
    <row r="1106" customFormat="1" ht="12.75" customHeight="1" x14ac:dyDescent="0.25"/>
    <row r="1107" customFormat="1" ht="12.75" customHeight="1" x14ac:dyDescent="0.25"/>
    <row r="1108" customFormat="1" ht="12.75" customHeight="1" x14ac:dyDescent="0.25"/>
    <row r="1109" customFormat="1" ht="12.75" customHeight="1" x14ac:dyDescent="0.25"/>
    <row r="1110" customFormat="1" ht="12.75" customHeight="1" x14ac:dyDescent="0.25"/>
    <row r="1111" customFormat="1" ht="12.75" customHeight="1" x14ac:dyDescent="0.25"/>
    <row r="1112" customFormat="1" ht="12.75" customHeight="1" x14ac:dyDescent="0.25"/>
    <row r="1113" customFormat="1" ht="12.75" customHeight="1" x14ac:dyDescent="0.25"/>
    <row r="1114" customFormat="1" ht="12.75" customHeight="1" x14ac:dyDescent="0.25"/>
    <row r="1115" customFormat="1" ht="12.75" customHeight="1" x14ac:dyDescent="0.25"/>
    <row r="1116" customFormat="1" ht="12.75" customHeight="1" x14ac:dyDescent="0.25"/>
    <row r="1117" customFormat="1" ht="12.75" customHeight="1" x14ac:dyDescent="0.25"/>
    <row r="1118" customFormat="1" ht="12.75" customHeight="1" x14ac:dyDescent="0.25"/>
    <row r="1119" customFormat="1" ht="12.75" customHeight="1" x14ac:dyDescent="0.25"/>
    <row r="1120" customFormat="1" ht="12.75" customHeight="1" x14ac:dyDescent="0.25"/>
    <row r="1121" customFormat="1" ht="12.75" customHeight="1" x14ac:dyDescent="0.25"/>
    <row r="1122" customFormat="1" ht="12.75" customHeight="1" x14ac:dyDescent="0.25"/>
    <row r="1123" customFormat="1" ht="12.75" customHeight="1" x14ac:dyDescent="0.25"/>
    <row r="1124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12" manualBreakCount="12">
    <brk id="76" max="7" man="1"/>
    <brk id="162" max="7" man="1"/>
    <brk id="219" max="7" man="1"/>
    <brk id="264" max="7" man="1"/>
    <brk id="308" max="7" man="1"/>
    <brk id="358" max="7" man="1"/>
    <brk id="405" max="7" man="1"/>
    <brk id="558" max="7" man="1"/>
    <brk id="612" max="7" man="1"/>
    <brk id="665" max="7" man="1"/>
    <brk id="715" max="7" man="1"/>
    <brk id="7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53DB-363C-48C4-8736-B102F0A81900}">
  <sheetPr>
    <tabColor rgb="FF669900"/>
  </sheetPr>
  <dimension ref="A1:BV21"/>
  <sheetViews>
    <sheetView zoomScale="130" zoomScaleNormal="130" workbookViewId="0"/>
  </sheetViews>
  <sheetFormatPr defaultRowHeight="12.75" x14ac:dyDescent="0.2"/>
  <cols>
    <col min="1" max="1" width="4.28515625" style="504" customWidth="1"/>
    <col min="2" max="2" width="8.7109375" style="504" customWidth="1"/>
    <col min="3" max="3" width="5.28515625" style="504" customWidth="1"/>
    <col min="4" max="4" width="11.85546875" style="504" customWidth="1"/>
    <col min="5" max="5" width="12" style="504" customWidth="1"/>
    <col min="6" max="6" width="11.5703125" style="504" customWidth="1"/>
    <col min="7" max="7" width="14" style="504" customWidth="1"/>
    <col min="8" max="8" width="12.85546875" style="505" customWidth="1"/>
    <col min="9" max="9" width="10.5703125" style="505" customWidth="1"/>
    <col min="10" max="74" width="9.140625" style="505"/>
    <col min="75" max="256" width="9.140625" style="504"/>
    <col min="257" max="257" width="4.28515625" style="504" customWidth="1"/>
    <col min="258" max="258" width="8.7109375" style="504" customWidth="1"/>
    <col min="259" max="259" width="5.5703125" style="504" customWidth="1"/>
    <col min="260" max="260" width="11.85546875" style="504" customWidth="1"/>
    <col min="261" max="261" width="12" style="504" customWidth="1"/>
    <col min="262" max="262" width="11.5703125" style="504" customWidth="1"/>
    <col min="263" max="263" width="14" style="504" customWidth="1"/>
    <col min="264" max="264" width="12.85546875" style="504" customWidth="1"/>
    <col min="265" max="265" width="10.5703125" style="504" customWidth="1"/>
    <col min="266" max="512" width="9.140625" style="504"/>
    <col min="513" max="513" width="4.28515625" style="504" customWidth="1"/>
    <col min="514" max="514" width="8.7109375" style="504" customWidth="1"/>
    <col min="515" max="515" width="5.5703125" style="504" customWidth="1"/>
    <col min="516" max="516" width="11.85546875" style="504" customWidth="1"/>
    <col min="517" max="517" width="12" style="504" customWidth="1"/>
    <col min="518" max="518" width="11.5703125" style="504" customWidth="1"/>
    <col min="519" max="519" width="14" style="504" customWidth="1"/>
    <col min="520" max="520" width="12.85546875" style="504" customWidth="1"/>
    <col min="521" max="521" width="10.5703125" style="504" customWidth="1"/>
    <col min="522" max="768" width="9.140625" style="504"/>
    <col min="769" max="769" width="4.28515625" style="504" customWidth="1"/>
    <col min="770" max="770" width="8.7109375" style="504" customWidth="1"/>
    <col min="771" max="771" width="5.5703125" style="504" customWidth="1"/>
    <col min="772" max="772" width="11.85546875" style="504" customWidth="1"/>
    <col min="773" max="773" width="12" style="504" customWidth="1"/>
    <col min="774" max="774" width="11.5703125" style="504" customWidth="1"/>
    <col min="775" max="775" width="14" style="504" customWidth="1"/>
    <col min="776" max="776" width="12.85546875" style="504" customWidth="1"/>
    <col min="777" max="777" width="10.5703125" style="504" customWidth="1"/>
    <col min="778" max="1024" width="9.140625" style="504"/>
    <col min="1025" max="1025" width="4.28515625" style="504" customWidth="1"/>
    <col min="1026" max="1026" width="8.7109375" style="504" customWidth="1"/>
    <col min="1027" max="1027" width="5.5703125" style="504" customWidth="1"/>
    <col min="1028" max="1028" width="11.85546875" style="504" customWidth="1"/>
    <col min="1029" max="1029" width="12" style="504" customWidth="1"/>
    <col min="1030" max="1030" width="11.5703125" style="504" customWidth="1"/>
    <col min="1031" max="1031" width="14" style="504" customWidth="1"/>
    <col min="1032" max="1032" width="12.85546875" style="504" customWidth="1"/>
    <col min="1033" max="1033" width="10.5703125" style="504" customWidth="1"/>
    <col min="1034" max="1280" width="9.140625" style="504"/>
    <col min="1281" max="1281" width="4.28515625" style="504" customWidth="1"/>
    <col min="1282" max="1282" width="8.7109375" style="504" customWidth="1"/>
    <col min="1283" max="1283" width="5.5703125" style="504" customWidth="1"/>
    <col min="1284" max="1284" width="11.85546875" style="504" customWidth="1"/>
    <col min="1285" max="1285" width="12" style="504" customWidth="1"/>
    <col min="1286" max="1286" width="11.5703125" style="504" customWidth="1"/>
    <col min="1287" max="1287" width="14" style="504" customWidth="1"/>
    <col min="1288" max="1288" width="12.85546875" style="504" customWidth="1"/>
    <col min="1289" max="1289" width="10.5703125" style="504" customWidth="1"/>
    <col min="1290" max="1536" width="9.140625" style="504"/>
    <col min="1537" max="1537" width="4.28515625" style="504" customWidth="1"/>
    <col min="1538" max="1538" width="8.7109375" style="504" customWidth="1"/>
    <col min="1539" max="1539" width="5.5703125" style="504" customWidth="1"/>
    <col min="1540" max="1540" width="11.85546875" style="504" customWidth="1"/>
    <col min="1541" max="1541" width="12" style="504" customWidth="1"/>
    <col min="1542" max="1542" width="11.5703125" style="504" customWidth="1"/>
    <col min="1543" max="1543" width="14" style="504" customWidth="1"/>
    <col min="1544" max="1544" width="12.85546875" style="504" customWidth="1"/>
    <col min="1545" max="1545" width="10.5703125" style="504" customWidth="1"/>
    <col min="1546" max="1792" width="9.140625" style="504"/>
    <col min="1793" max="1793" width="4.28515625" style="504" customWidth="1"/>
    <col min="1794" max="1794" width="8.7109375" style="504" customWidth="1"/>
    <col min="1795" max="1795" width="5.5703125" style="504" customWidth="1"/>
    <col min="1796" max="1796" width="11.85546875" style="504" customWidth="1"/>
    <col min="1797" max="1797" width="12" style="504" customWidth="1"/>
    <col min="1798" max="1798" width="11.5703125" style="504" customWidth="1"/>
    <col min="1799" max="1799" width="14" style="504" customWidth="1"/>
    <col min="1800" max="1800" width="12.85546875" style="504" customWidth="1"/>
    <col min="1801" max="1801" width="10.5703125" style="504" customWidth="1"/>
    <col min="1802" max="2048" width="9.140625" style="504"/>
    <col min="2049" max="2049" width="4.28515625" style="504" customWidth="1"/>
    <col min="2050" max="2050" width="8.7109375" style="504" customWidth="1"/>
    <col min="2051" max="2051" width="5.5703125" style="504" customWidth="1"/>
    <col min="2052" max="2052" width="11.85546875" style="504" customWidth="1"/>
    <col min="2053" max="2053" width="12" style="504" customWidth="1"/>
    <col min="2054" max="2054" width="11.5703125" style="504" customWidth="1"/>
    <col min="2055" max="2055" width="14" style="504" customWidth="1"/>
    <col min="2056" max="2056" width="12.85546875" style="504" customWidth="1"/>
    <col min="2057" max="2057" width="10.5703125" style="504" customWidth="1"/>
    <col min="2058" max="2304" width="9.140625" style="504"/>
    <col min="2305" max="2305" width="4.28515625" style="504" customWidth="1"/>
    <col min="2306" max="2306" width="8.7109375" style="504" customWidth="1"/>
    <col min="2307" max="2307" width="5.5703125" style="504" customWidth="1"/>
    <col min="2308" max="2308" width="11.85546875" style="504" customWidth="1"/>
    <col min="2309" max="2309" width="12" style="504" customWidth="1"/>
    <col min="2310" max="2310" width="11.5703125" style="504" customWidth="1"/>
    <col min="2311" max="2311" width="14" style="504" customWidth="1"/>
    <col min="2312" max="2312" width="12.85546875" style="504" customWidth="1"/>
    <col min="2313" max="2313" width="10.5703125" style="504" customWidth="1"/>
    <col min="2314" max="2560" width="9.140625" style="504"/>
    <col min="2561" max="2561" width="4.28515625" style="504" customWidth="1"/>
    <col min="2562" max="2562" width="8.7109375" style="504" customWidth="1"/>
    <col min="2563" max="2563" width="5.5703125" style="504" customWidth="1"/>
    <col min="2564" max="2564" width="11.85546875" style="504" customWidth="1"/>
    <col min="2565" max="2565" width="12" style="504" customWidth="1"/>
    <col min="2566" max="2566" width="11.5703125" style="504" customWidth="1"/>
    <col min="2567" max="2567" width="14" style="504" customWidth="1"/>
    <col min="2568" max="2568" width="12.85546875" style="504" customWidth="1"/>
    <col min="2569" max="2569" width="10.5703125" style="504" customWidth="1"/>
    <col min="2570" max="2816" width="9.140625" style="504"/>
    <col min="2817" max="2817" width="4.28515625" style="504" customWidth="1"/>
    <col min="2818" max="2818" width="8.7109375" style="504" customWidth="1"/>
    <col min="2819" max="2819" width="5.5703125" style="504" customWidth="1"/>
    <col min="2820" max="2820" width="11.85546875" style="504" customWidth="1"/>
    <col min="2821" max="2821" width="12" style="504" customWidth="1"/>
    <col min="2822" max="2822" width="11.5703125" style="504" customWidth="1"/>
    <col min="2823" max="2823" width="14" style="504" customWidth="1"/>
    <col min="2824" max="2824" width="12.85546875" style="504" customWidth="1"/>
    <col min="2825" max="2825" width="10.5703125" style="504" customWidth="1"/>
    <col min="2826" max="3072" width="9.140625" style="504"/>
    <col min="3073" max="3073" width="4.28515625" style="504" customWidth="1"/>
    <col min="3074" max="3074" width="8.7109375" style="504" customWidth="1"/>
    <col min="3075" max="3075" width="5.5703125" style="504" customWidth="1"/>
    <col min="3076" max="3076" width="11.85546875" style="504" customWidth="1"/>
    <col min="3077" max="3077" width="12" style="504" customWidth="1"/>
    <col min="3078" max="3078" width="11.5703125" style="504" customWidth="1"/>
    <col min="3079" max="3079" width="14" style="504" customWidth="1"/>
    <col min="3080" max="3080" width="12.85546875" style="504" customWidth="1"/>
    <col min="3081" max="3081" width="10.5703125" style="504" customWidth="1"/>
    <col min="3082" max="3328" width="9.140625" style="504"/>
    <col min="3329" max="3329" width="4.28515625" style="504" customWidth="1"/>
    <col min="3330" max="3330" width="8.7109375" style="504" customWidth="1"/>
    <col min="3331" max="3331" width="5.5703125" style="504" customWidth="1"/>
    <col min="3332" max="3332" width="11.85546875" style="504" customWidth="1"/>
    <col min="3333" max="3333" width="12" style="504" customWidth="1"/>
    <col min="3334" max="3334" width="11.5703125" style="504" customWidth="1"/>
    <col min="3335" max="3335" width="14" style="504" customWidth="1"/>
    <col min="3336" max="3336" width="12.85546875" style="504" customWidth="1"/>
    <col min="3337" max="3337" width="10.5703125" style="504" customWidth="1"/>
    <col min="3338" max="3584" width="9.140625" style="504"/>
    <col min="3585" max="3585" width="4.28515625" style="504" customWidth="1"/>
    <col min="3586" max="3586" width="8.7109375" style="504" customWidth="1"/>
    <col min="3587" max="3587" width="5.5703125" style="504" customWidth="1"/>
    <col min="3588" max="3588" width="11.85546875" style="504" customWidth="1"/>
    <col min="3589" max="3589" width="12" style="504" customWidth="1"/>
    <col min="3590" max="3590" width="11.5703125" style="504" customWidth="1"/>
    <col min="3591" max="3591" width="14" style="504" customWidth="1"/>
    <col min="3592" max="3592" width="12.85546875" style="504" customWidth="1"/>
    <col min="3593" max="3593" width="10.5703125" style="504" customWidth="1"/>
    <col min="3594" max="3840" width="9.140625" style="504"/>
    <col min="3841" max="3841" width="4.28515625" style="504" customWidth="1"/>
    <col min="3842" max="3842" width="8.7109375" style="504" customWidth="1"/>
    <col min="3843" max="3843" width="5.5703125" style="504" customWidth="1"/>
    <col min="3844" max="3844" width="11.85546875" style="504" customWidth="1"/>
    <col min="3845" max="3845" width="12" style="504" customWidth="1"/>
    <col min="3846" max="3846" width="11.5703125" style="504" customWidth="1"/>
    <col min="3847" max="3847" width="14" style="504" customWidth="1"/>
    <col min="3848" max="3848" width="12.85546875" style="504" customWidth="1"/>
    <col min="3849" max="3849" width="10.5703125" style="504" customWidth="1"/>
    <col min="3850" max="4096" width="9.140625" style="504"/>
    <col min="4097" max="4097" width="4.28515625" style="504" customWidth="1"/>
    <col min="4098" max="4098" width="8.7109375" style="504" customWidth="1"/>
    <col min="4099" max="4099" width="5.5703125" style="504" customWidth="1"/>
    <col min="4100" max="4100" width="11.85546875" style="504" customWidth="1"/>
    <col min="4101" max="4101" width="12" style="504" customWidth="1"/>
    <col min="4102" max="4102" width="11.5703125" style="504" customWidth="1"/>
    <col min="4103" max="4103" width="14" style="504" customWidth="1"/>
    <col min="4104" max="4104" width="12.85546875" style="504" customWidth="1"/>
    <col min="4105" max="4105" width="10.5703125" style="504" customWidth="1"/>
    <col min="4106" max="4352" width="9.140625" style="504"/>
    <col min="4353" max="4353" width="4.28515625" style="504" customWidth="1"/>
    <col min="4354" max="4354" width="8.7109375" style="504" customWidth="1"/>
    <col min="4355" max="4355" width="5.5703125" style="504" customWidth="1"/>
    <col min="4356" max="4356" width="11.85546875" style="504" customWidth="1"/>
    <col min="4357" max="4357" width="12" style="504" customWidth="1"/>
    <col min="4358" max="4358" width="11.5703125" style="504" customWidth="1"/>
    <col min="4359" max="4359" width="14" style="504" customWidth="1"/>
    <col min="4360" max="4360" width="12.85546875" style="504" customWidth="1"/>
    <col min="4361" max="4361" width="10.5703125" style="504" customWidth="1"/>
    <col min="4362" max="4608" width="9.140625" style="504"/>
    <col min="4609" max="4609" width="4.28515625" style="504" customWidth="1"/>
    <col min="4610" max="4610" width="8.7109375" style="504" customWidth="1"/>
    <col min="4611" max="4611" width="5.5703125" style="504" customWidth="1"/>
    <col min="4612" max="4612" width="11.85546875" style="504" customWidth="1"/>
    <col min="4613" max="4613" width="12" style="504" customWidth="1"/>
    <col min="4614" max="4614" width="11.5703125" style="504" customWidth="1"/>
    <col min="4615" max="4615" width="14" style="504" customWidth="1"/>
    <col min="4616" max="4616" width="12.85546875" style="504" customWidth="1"/>
    <col min="4617" max="4617" width="10.5703125" style="504" customWidth="1"/>
    <col min="4618" max="4864" width="9.140625" style="504"/>
    <col min="4865" max="4865" width="4.28515625" style="504" customWidth="1"/>
    <col min="4866" max="4866" width="8.7109375" style="504" customWidth="1"/>
    <col min="4867" max="4867" width="5.5703125" style="504" customWidth="1"/>
    <col min="4868" max="4868" width="11.85546875" style="504" customWidth="1"/>
    <col min="4869" max="4869" width="12" style="504" customWidth="1"/>
    <col min="4870" max="4870" width="11.5703125" style="504" customWidth="1"/>
    <col min="4871" max="4871" width="14" style="504" customWidth="1"/>
    <col min="4872" max="4872" width="12.85546875" style="504" customWidth="1"/>
    <col min="4873" max="4873" width="10.5703125" style="504" customWidth="1"/>
    <col min="4874" max="5120" width="9.140625" style="504"/>
    <col min="5121" max="5121" width="4.28515625" style="504" customWidth="1"/>
    <col min="5122" max="5122" width="8.7109375" style="504" customWidth="1"/>
    <col min="5123" max="5123" width="5.5703125" style="504" customWidth="1"/>
    <col min="5124" max="5124" width="11.85546875" style="504" customWidth="1"/>
    <col min="5125" max="5125" width="12" style="504" customWidth="1"/>
    <col min="5126" max="5126" width="11.5703125" style="504" customWidth="1"/>
    <col min="5127" max="5127" width="14" style="504" customWidth="1"/>
    <col min="5128" max="5128" width="12.85546875" style="504" customWidth="1"/>
    <col min="5129" max="5129" width="10.5703125" style="504" customWidth="1"/>
    <col min="5130" max="5376" width="9.140625" style="504"/>
    <col min="5377" max="5377" width="4.28515625" style="504" customWidth="1"/>
    <col min="5378" max="5378" width="8.7109375" style="504" customWidth="1"/>
    <col min="5379" max="5379" width="5.5703125" style="504" customWidth="1"/>
    <col min="5380" max="5380" width="11.85546875" style="504" customWidth="1"/>
    <col min="5381" max="5381" width="12" style="504" customWidth="1"/>
    <col min="5382" max="5382" width="11.5703125" style="504" customWidth="1"/>
    <col min="5383" max="5383" width="14" style="504" customWidth="1"/>
    <col min="5384" max="5384" width="12.85546875" style="504" customWidth="1"/>
    <col min="5385" max="5385" width="10.5703125" style="504" customWidth="1"/>
    <col min="5386" max="5632" width="9.140625" style="504"/>
    <col min="5633" max="5633" width="4.28515625" style="504" customWidth="1"/>
    <col min="5634" max="5634" width="8.7109375" style="504" customWidth="1"/>
    <col min="5635" max="5635" width="5.5703125" style="504" customWidth="1"/>
    <col min="5636" max="5636" width="11.85546875" style="504" customWidth="1"/>
    <col min="5637" max="5637" width="12" style="504" customWidth="1"/>
    <col min="5638" max="5638" width="11.5703125" style="504" customWidth="1"/>
    <col min="5639" max="5639" width="14" style="504" customWidth="1"/>
    <col min="5640" max="5640" width="12.85546875" style="504" customWidth="1"/>
    <col min="5641" max="5641" width="10.5703125" style="504" customWidth="1"/>
    <col min="5642" max="5888" width="9.140625" style="504"/>
    <col min="5889" max="5889" width="4.28515625" style="504" customWidth="1"/>
    <col min="5890" max="5890" width="8.7109375" style="504" customWidth="1"/>
    <col min="5891" max="5891" width="5.5703125" style="504" customWidth="1"/>
    <col min="5892" max="5892" width="11.85546875" style="504" customWidth="1"/>
    <col min="5893" max="5893" width="12" style="504" customWidth="1"/>
    <col min="5894" max="5894" width="11.5703125" style="504" customWidth="1"/>
    <col min="5895" max="5895" width="14" style="504" customWidth="1"/>
    <col min="5896" max="5896" width="12.85546875" style="504" customWidth="1"/>
    <col min="5897" max="5897" width="10.5703125" style="504" customWidth="1"/>
    <col min="5898" max="6144" width="9.140625" style="504"/>
    <col min="6145" max="6145" width="4.28515625" style="504" customWidth="1"/>
    <col min="6146" max="6146" width="8.7109375" style="504" customWidth="1"/>
    <col min="6147" max="6147" width="5.5703125" style="504" customWidth="1"/>
    <col min="6148" max="6148" width="11.85546875" style="504" customWidth="1"/>
    <col min="6149" max="6149" width="12" style="504" customWidth="1"/>
    <col min="6150" max="6150" width="11.5703125" style="504" customWidth="1"/>
    <col min="6151" max="6151" width="14" style="504" customWidth="1"/>
    <col min="6152" max="6152" width="12.85546875" style="504" customWidth="1"/>
    <col min="6153" max="6153" width="10.5703125" style="504" customWidth="1"/>
    <col min="6154" max="6400" width="9.140625" style="504"/>
    <col min="6401" max="6401" width="4.28515625" style="504" customWidth="1"/>
    <col min="6402" max="6402" width="8.7109375" style="504" customWidth="1"/>
    <col min="6403" max="6403" width="5.5703125" style="504" customWidth="1"/>
    <col min="6404" max="6404" width="11.85546875" style="504" customWidth="1"/>
    <col min="6405" max="6405" width="12" style="504" customWidth="1"/>
    <col min="6406" max="6406" width="11.5703125" style="504" customWidth="1"/>
    <col min="6407" max="6407" width="14" style="504" customWidth="1"/>
    <col min="6408" max="6408" width="12.85546875" style="504" customWidth="1"/>
    <col min="6409" max="6409" width="10.5703125" style="504" customWidth="1"/>
    <col min="6410" max="6656" width="9.140625" style="504"/>
    <col min="6657" max="6657" width="4.28515625" style="504" customWidth="1"/>
    <col min="6658" max="6658" width="8.7109375" style="504" customWidth="1"/>
    <col min="6659" max="6659" width="5.5703125" style="504" customWidth="1"/>
    <col min="6660" max="6660" width="11.85546875" style="504" customWidth="1"/>
    <col min="6661" max="6661" width="12" style="504" customWidth="1"/>
    <col min="6662" max="6662" width="11.5703125" style="504" customWidth="1"/>
    <col min="6663" max="6663" width="14" style="504" customWidth="1"/>
    <col min="6664" max="6664" width="12.85546875" style="504" customWidth="1"/>
    <col min="6665" max="6665" width="10.5703125" style="504" customWidth="1"/>
    <col min="6666" max="6912" width="9.140625" style="504"/>
    <col min="6913" max="6913" width="4.28515625" style="504" customWidth="1"/>
    <col min="6914" max="6914" width="8.7109375" style="504" customWidth="1"/>
    <col min="6915" max="6915" width="5.5703125" style="504" customWidth="1"/>
    <col min="6916" max="6916" width="11.85546875" style="504" customWidth="1"/>
    <col min="6917" max="6917" width="12" style="504" customWidth="1"/>
    <col min="6918" max="6918" width="11.5703125" style="504" customWidth="1"/>
    <col min="6919" max="6919" width="14" style="504" customWidth="1"/>
    <col min="6920" max="6920" width="12.85546875" style="504" customWidth="1"/>
    <col min="6921" max="6921" width="10.5703125" style="504" customWidth="1"/>
    <col min="6922" max="7168" width="9.140625" style="504"/>
    <col min="7169" max="7169" width="4.28515625" style="504" customWidth="1"/>
    <col min="7170" max="7170" width="8.7109375" style="504" customWidth="1"/>
    <col min="7171" max="7171" width="5.5703125" style="504" customWidth="1"/>
    <col min="7172" max="7172" width="11.85546875" style="504" customWidth="1"/>
    <col min="7173" max="7173" width="12" style="504" customWidth="1"/>
    <col min="7174" max="7174" width="11.5703125" style="504" customWidth="1"/>
    <col min="7175" max="7175" width="14" style="504" customWidth="1"/>
    <col min="7176" max="7176" width="12.85546875" style="504" customWidth="1"/>
    <col min="7177" max="7177" width="10.5703125" style="504" customWidth="1"/>
    <col min="7178" max="7424" width="9.140625" style="504"/>
    <col min="7425" max="7425" width="4.28515625" style="504" customWidth="1"/>
    <col min="7426" max="7426" width="8.7109375" style="504" customWidth="1"/>
    <col min="7427" max="7427" width="5.5703125" style="504" customWidth="1"/>
    <col min="7428" max="7428" width="11.85546875" style="504" customWidth="1"/>
    <col min="7429" max="7429" width="12" style="504" customWidth="1"/>
    <col min="7430" max="7430" width="11.5703125" style="504" customWidth="1"/>
    <col min="7431" max="7431" width="14" style="504" customWidth="1"/>
    <col min="7432" max="7432" width="12.85546875" style="504" customWidth="1"/>
    <col min="7433" max="7433" width="10.5703125" style="504" customWidth="1"/>
    <col min="7434" max="7680" width="9.140625" style="504"/>
    <col min="7681" max="7681" width="4.28515625" style="504" customWidth="1"/>
    <col min="7682" max="7682" width="8.7109375" style="504" customWidth="1"/>
    <col min="7683" max="7683" width="5.5703125" style="504" customWidth="1"/>
    <col min="7684" max="7684" width="11.85546875" style="504" customWidth="1"/>
    <col min="7685" max="7685" width="12" style="504" customWidth="1"/>
    <col min="7686" max="7686" width="11.5703125" style="504" customWidth="1"/>
    <col min="7687" max="7687" width="14" style="504" customWidth="1"/>
    <col min="7688" max="7688" width="12.85546875" style="504" customWidth="1"/>
    <col min="7689" max="7689" width="10.5703125" style="504" customWidth="1"/>
    <col min="7690" max="7936" width="9.140625" style="504"/>
    <col min="7937" max="7937" width="4.28515625" style="504" customWidth="1"/>
    <col min="7938" max="7938" width="8.7109375" style="504" customWidth="1"/>
    <col min="7939" max="7939" width="5.5703125" style="504" customWidth="1"/>
    <col min="7940" max="7940" width="11.85546875" style="504" customWidth="1"/>
    <col min="7941" max="7941" width="12" style="504" customWidth="1"/>
    <col min="7942" max="7942" width="11.5703125" style="504" customWidth="1"/>
    <col min="7943" max="7943" width="14" style="504" customWidth="1"/>
    <col min="7944" max="7944" width="12.85546875" style="504" customWidth="1"/>
    <col min="7945" max="7945" width="10.5703125" style="504" customWidth="1"/>
    <col min="7946" max="8192" width="9.140625" style="504"/>
    <col min="8193" max="8193" width="4.28515625" style="504" customWidth="1"/>
    <col min="8194" max="8194" width="8.7109375" style="504" customWidth="1"/>
    <col min="8195" max="8195" width="5.5703125" style="504" customWidth="1"/>
    <col min="8196" max="8196" width="11.85546875" style="504" customWidth="1"/>
    <col min="8197" max="8197" width="12" style="504" customWidth="1"/>
    <col min="8198" max="8198" width="11.5703125" style="504" customWidth="1"/>
    <col min="8199" max="8199" width="14" style="504" customWidth="1"/>
    <col min="8200" max="8200" width="12.85546875" style="504" customWidth="1"/>
    <col min="8201" max="8201" width="10.5703125" style="504" customWidth="1"/>
    <col min="8202" max="8448" width="9.140625" style="504"/>
    <col min="8449" max="8449" width="4.28515625" style="504" customWidth="1"/>
    <col min="8450" max="8450" width="8.7109375" style="504" customWidth="1"/>
    <col min="8451" max="8451" width="5.5703125" style="504" customWidth="1"/>
    <col min="8452" max="8452" width="11.85546875" style="504" customWidth="1"/>
    <col min="8453" max="8453" width="12" style="504" customWidth="1"/>
    <col min="8454" max="8454" width="11.5703125" style="504" customWidth="1"/>
    <col min="8455" max="8455" width="14" style="504" customWidth="1"/>
    <col min="8456" max="8456" width="12.85546875" style="504" customWidth="1"/>
    <col min="8457" max="8457" width="10.5703125" style="504" customWidth="1"/>
    <col min="8458" max="8704" width="9.140625" style="504"/>
    <col min="8705" max="8705" width="4.28515625" style="504" customWidth="1"/>
    <col min="8706" max="8706" width="8.7109375" style="504" customWidth="1"/>
    <col min="8707" max="8707" width="5.5703125" style="504" customWidth="1"/>
    <col min="8708" max="8708" width="11.85546875" style="504" customWidth="1"/>
    <col min="8709" max="8709" width="12" style="504" customWidth="1"/>
    <col min="8710" max="8710" width="11.5703125" style="504" customWidth="1"/>
    <col min="8711" max="8711" width="14" style="504" customWidth="1"/>
    <col min="8712" max="8712" width="12.85546875" style="504" customWidth="1"/>
    <col min="8713" max="8713" width="10.5703125" style="504" customWidth="1"/>
    <col min="8714" max="8960" width="9.140625" style="504"/>
    <col min="8961" max="8961" width="4.28515625" style="504" customWidth="1"/>
    <col min="8962" max="8962" width="8.7109375" style="504" customWidth="1"/>
    <col min="8963" max="8963" width="5.5703125" style="504" customWidth="1"/>
    <col min="8964" max="8964" width="11.85546875" style="504" customWidth="1"/>
    <col min="8965" max="8965" width="12" style="504" customWidth="1"/>
    <col min="8966" max="8966" width="11.5703125" style="504" customWidth="1"/>
    <col min="8967" max="8967" width="14" style="504" customWidth="1"/>
    <col min="8968" max="8968" width="12.85546875" style="504" customWidth="1"/>
    <col min="8969" max="8969" width="10.5703125" style="504" customWidth="1"/>
    <col min="8970" max="9216" width="9.140625" style="504"/>
    <col min="9217" max="9217" width="4.28515625" style="504" customWidth="1"/>
    <col min="9218" max="9218" width="8.7109375" style="504" customWidth="1"/>
    <col min="9219" max="9219" width="5.5703125" style="504" customWidth="1"/>
    <col min="9220" max="9220" width="11.85546875" style="504" customWidth="1"/>
    <col min="9221" max="9221" width="12" style="504" customWidth="1"/>
    <col min="9222" max="9222" width="11.5703125" style="504" customWidth="1"/>
    <col min="9223" max="9223" width="14" style="504" customWidth="1"/>
    <col min="9224" max="9224" width="12.85546875" style="504" customWidth="1"/>
    <col min="9225" max="9225" width="10.5703125" style="504" customWidth="1"/>
    <col min="9226" max="9472" width="9.140625" style="504"/>
    <col min="9473" max="9473" width="4.28515625" style="504" customWidth="1"/>
    <col min="9474" max="9474" width="8.7109375" style="504" customWidth="1"/>
    <col min="9475" max="9475" width="5.5703125" style="504" customWidth="1"/>
    <col min="9476" max="9476" width="11.85546875" style="504" customWidth="1"/>
    <col min="9477" max="9477" width="12" style="504" customWidth="1"/>
    <col min="9478" max="9478" width="11.5703125" style="504" customWidth="1"/>
    <col min="9479" max="9479" width="14" style="504" customWidth="1"/>
    <col min="9480" max="9480" width="12.85546875" style="504" customWidth="1"/>
    <col min="9481" max="9481" width="10.5703125" style="504" customWidth="1"/>
    <col min="9482" max="9728" width="9.140625" style="504"/>
    <col min="9729" max="9729" width="4.28515625" style="504" customWidth="1"/>
    <col min="9730" max="9730" width="8.7109375" style="504" customWidth="1"/>
    <col min="9731" max="9731" width="5.5703125" style="504" customWidth="1"/>
    <col min="9732" max="9732" width="11.85546875" style="504" customWidth="1"/>
    <col min="9733" max="9733" width="12" style="504" customWidth="1"/>
    <col min="9734" max="9734" width="11.5703125" style="504" customWidth="1"/>
    <col min="9735" max="9735" width="14" style="504" customWidth="1"/>
    <col min="9736" max="9736" width="12.85546875" style="504" customWidth="1"/>
    <col min="9737" max="9737" width="10.5703125" style="504" customWidth="1"/>
    <col min="9738" max="9984" width="9.140625" style="504"/>
    <col min="9985" max="9985" width="4.28515625" style="504" customWidth="1"/>
    <col min="9986" max="9986" width="8.7109375" style="504" customWidth="1"/>
    <col min="9987" max="9987" width="5.5703125" style="504" customWidth="1"/>
    <col min="9988" max="9988" width="11.85546875" style="504" customWidth="1"/>
    <col min="9989" max="9989" width="12" style="504" customWidth="1"/>
    <col min="9990" max="9990" width="11.5703125" style="504" customWidth="1"/>
    <col min="9991" max="9991" width="14" style="504" customWidth="1"/>
    <col min="9992" max="9992" width="12.85546875" style="504" customWidth="1"/>
    <col min="9993" max="9993" width="10.5703125" style="504" customWidth="1"/>
    <col min="9994" max="10240" width="9.140625" style="504"/>
    <col min="10241" max="10241" width="4.28515625" style="504" customWidth="1"/>
    <col min="10242" max="10242" width="8.7109375" style="504" customWidth="1"/>
    <col min="10243" max="10243" width="5.5703125" style="504" customWidth="1"/>
    <col min="10244" max="10244" width="11.85546875" style="504" customWidth="1"/>
    <col min="10245" max="10245" width="12" style="504" customWidth="1"/>
    <col min="10246" max="10246" width="11.5703125" style="504" customWidth="1"/>
    <col min="10247" max="10247" width="14" style="504" customWidth="1"/>
    <col min="10248" max="10248" width="12.85546875" style="504" customWidth="1"/>
    <col min="10249" max="10249" width="10.5703125" style="504" customWidth="1"/>
    <col min="10250" max="10496" width="9.140625" style="504"/>
    <col min="10497" max="10497" width="4.28515625" style="504" customWidth="1"/>
    <col min="10498" max="10498" width="8.7109375" style="504" customWidth="1"/>
    <col min="10499" max="10499" width="5.5703125" style="504" customWidth="1"/>
    <col min="10500" max="10500" width="11.85546875" style="504" customWidth="1"/>
    <col min="10501" max="10501" width="12" style="504" customWidth="1"/>
    <col min="10502" max="10502" width="11.5703125" style="504" customWidth="1"/>
    <col min="10503" max="10503" width="14" style="504" customWidth="1"/>
    <col min="10504" max="10504" width="12.85546875" style="504" customWidth="1"/>
    <col min="10505" max="10505" width="10.5703125" style="504" customWidth="1"/>
    <col min="10506" max="10752" width="9.140625" style="504"/>
    <col min="10753" max="10753" width="4.28515625" style="504" customWidth="1"/>
    <col min="10754" max="10754" width="8.7109375" style="504" customWidth="1"/>
    <col min="10755" max="10755" width="5.5703125" style="504" customWidth="1"/>
    <col min="10756" max="10756" width="11.85546875" style="504" customWidth="1"/>
    <col min="10757" max="10757" width="12" style="504" customWidth="1"/>
    <col min="10758" max="10758" width="11.5703125" style="504" customWidth="1"/>
    <col min="10759" max="10759" width="14" style="504" customWidth="1"/>
    <col min="10760" max="10760" width="12.85546875" style="504" customWidth="1"/>
    <col min="10761" max="10761" width="10.5703125" style="504" customWidth="1"/>
    <col min="10762" max="11008" width="9.140625" style="504"/>
    <col min="11009" max="11009" width="4.28515625" style="504" customWidth="1"/>
    <col min="11010" max="11010" width="8.7109375" style="504" customWidth="1"/>
    <col min="11011" max="11011" width="5.5703125" style="504" customWidth="1"/>
    <col min="11012" max="11012" width="11.85546875" style="504" customWidth="1"/>
    <col min="11013" max="11013" width="12" style="504" customWidth="1"/>
    <col min="11014" max="11014" width="11.5703125" style="504" customWidth="1"/>
    <col min="11015" max="11015" width="14" style="504" customWidth="1"/>
    <col min="11016" max="11016" width="12.85546875" style="504" customWidth="1"/>
    <col min="11017" max="11017" width="10.5703125" style="504" customWidth="1"/>
    <col min="11018" max="11264" width="9.140625" style="504"/>
    <col min="11265" max="11265" width="4.28515625" style="504" customWidth="1"/>
    <col min="11266" max="11266" width="8.7109375" style="504" customWidth="1"/>
    <col min="11267" max="11267" width="5.5703125" style="504" customWidth="1"/>
    <col min="11268" max="11268" width="11.85546875" style="504" customWidth="1"/>
    <col min="11269" max="11269" width="12" style="504" customWidth="1"/>
    <col min="11270" max="11270" width="11.5703125" style="504" customWidth="1"/>
    <col min="11271" max="11271" width="14" style="504" customWidth="1"/>
    <col min="11272" max="11272" width="12.85546875" style="504" customWidth="1"/>
    <col min="11273" max="11273" width="10.5703125" style="504" customWidth="1"/>
    <col min="11274" max="11520" width="9.140625" style="504"/>
    <col min="11521" max="11521" width="4.28515625" style="504" customWidth="1"/>
    <col min="11522" max="11522" width="8.7109375" style="504" customWidth="1"/>
    <col min="11523" max="11523" width="5.5703125" style="504" customWidth="1"/>
    <col min="11524" max="11524" width="11.85546875" style="504" customWidth="1"/>
    <col min="11525" max="11525" width="12" style="504" customWidth="1"/>
    <col min="11526" max="11526" width="11.5703125" style="504" customWidth="1"/>
    <col min="11527" max="11527" width="14" style="504" customWidth="1"/>
    <col min="11528" max="11528" width="12.85546875" style="504" customWidth="1"/>
    <col min="11529" max="11529" width="10.5703125" style="504" customWidth="1"/>
    <col min="11530" max="11776" width="9.140625" style="504"/>
    <col min="11777" max="11777" width="4.28515625" style="504" customWidth="1"/>
    <col min="11778" max="11778" width="8.7109375" style="504" customWidth="1"/>
    <col min="11779" max="11779" width="5.5703125" style="504" customWidth="1"/>
    <col min="11780" max="11780" width="11.85546875" style="504" customWidth="1"/>
    <col min="11781" max="11781" width="12" style="504" customWidth="1"/>
    <col min="11782" max="11782" width="11.5703125" style="504" customWidth="1"/>
    <col min="11783" max="11783" width="14" style="504" customWidth="1"/>
    <col min="11784" max="11784" width="12.85546875" style="504" customWidth="1"/>
    <col min="11785" max="11785" width="10.5703125" style="504" customWidth="1"/>
    <col min="11786" max="12032" width="9.140625" style="504"/>
    <col min="12033" max="12033" width="4.28515625" style="504" customWidth="1"/>
    <col min="12034" max="12034" width="8.7109375" style="504" customWidth="1"/>
    <col min="12035" max="12035" width="5.5703125" style="504" customWidth="1"/>
    <col min="12036" max="12036" width="11.85546875" style="504" customWidth="1"/>
    <col min="12037" max="12037" width="12" style="504" customWidth="1"/>
    <col min="12038" max="12038" width="11.5703125" style="504" customWidth="1"/>
    <col min="12039" max="12039" width="14" style="504" customWidth="1"/>
    <col min="12040" max="12040" width="12.85546875" style="504" customWidth="1"/>
    <col min="12041" max="12041" width="10.5703125" style="504" customWidth="1"/>
    <col min="12042" max="12288" width="9.140625" style="504"/>
    <col min="12289" max="12289" width="4.28515625" style="504" customWidth="1"/>
    <col min="12290" max="12290" width="8.7109375" style="504" customWidth="1"/>
    <col min="12291" max="12291" width="5.5703125" style="504" customWidth="1"/>
    <col min="12292" max="12292" width="11.85546875" style="504" customWidth="1"/>
    <col min="12293" max="12293" width="12" style="504" customWidth="1"/>
    <col min="12294" max="12294" width="11.5703125" style="504" customWidth="1"/>
    <col min="12295" max="12295" width="14" style="504" customWidth="1"/>
    <col min="12296" max="12296" width="12.85546875" style="504" customWidth="1"/>
    <col min="12297" max="12297" width="10.5703125" style="504" customWidth="1"/>
    <col min="12298" max="12544" width="9.140625" style="504"/>
    <col min="12545" max="12545" width="4.28515625" style="504" customWidth="1"/>
    <col min="12546" max="12546" width="8.7109375" style="504" customWidth="1"/>
    <col min="12547" max="12547" width="5.5703125" style="504" customWidth="1"/>
    <col min="12548" max="12548" width="11.85546875" style="504" customWidth="1"/>
    <col min="12549" max="12549" width="12" style="504" customWidth="1"/>
    <col min="12550" max="12550" width="11.5703125" style="504" customWidth="1"/>
    <col min="12551" max="12551" width="14" style="504" customWidth="1"/>
    <col min="12552" max="12552" width="12.85546875" style="504" customWidth="1"/>
    <col min="12553" max="12553" width="10.5703125" style="504" customWidth="1"/>
    <col min="12554" max="12800" width="9.140625" style="504"/>
    <col min="12801" max="12801" width="4.28515625" style="504" customWidth="1"/>
    <col min="12802" max="12802" width="8.7109375" style="504" customWidth="1"/>
    <col min="12803" max="12803" width="5.5703125" style="504" customWidth="1"/>
    <col min="12804" max="12804" width="11.85546875" style="504" customWidth="1"/>
    <col min="12805" max="12805" width="12" style="504" customWidth="1"/>
    <col min="12806" max="12806" width="11.5703125" style="504" customWidth="1"/>
    <col min="12807" max="12807" width="14" style="504" customWidth="1"/>
    <col min="12808" max="12808" width="12.85546875" style="504" customWidth="1"/>
    <col min="12809" max="12809" width="10.5703125" style="504" customWidth="1"/>
    <col min="12810" max="13056" width="9.140625" style="504"/>
    <col min="13057" max="13057" width="4.28515625" style="504" customWidth="1"/>
    <col min="13058" max="13058" width="8.7109375" style="504" customWidth="1"/>
    <col min="13059" max="13059" width="5.5703125" style="504" customWidth="1"/>
    <col min="13060" max="13060" width="11.85546875" style="504" customWidth="1"/>
    <col min="13061" max="13061" width="12" style="504" customWidth="1"/>
    <col min="13062" max="13062" width="11.5703125" style="504" customWidth="1"/>
    <col min="13063" max="13063" width="14" style="504" customWidth="1"/>
    <col min="13064" max="13064" width="12.85546875" style="504" customWidth="1"/>
    <col min="13065" max="13065" width="10.5703125" style="504" customWidth="1"/>
    <col min="13066" max="13312" width="9.140625" style="504"/>
    <col min="13313" max="13313" width="4.28515625" style="504" customWidth="1"/>
    <col min="13314" max="13314" width="8.7109375" style="504" customWidth="1"/>
    <col min="13315" max="13315" width="5.5703125" style="504" customWidth="1"/>
    <col min="13316" max="13316" width="11.85546875" style="504" customWidth="1"/>
    <col min="13317" max="13317" width="12" style="504" customWidth="1"/>
    <col min="13318" max="13318" width="11.5703125" style="504" customWidth="1"/>
    <col min="13319" max="13319" width="14" style="504" customWidth="1"/>
    <col min="13320" max="13320" width="12.85546875" style="504" customWidth="1"/>
    <col min="13321" max="13321" width="10.5703125" style="504" customWidth="1"/>
    <col min="13322" max="13568" width="9.140625" style="504"/>
    <col min="13569" max="13569" width="4.28515625" style="504" customWidth="1"/>
    <col min="13570" max="13570" width="8.7109375" style="504" customWidth="1"/>
    <col min="13571" max="13571" width="5.5703125" style="504" customWidth="1"/>
    <col min="13572" max="13572" width="11.85546875" style="504" customWidth="1"/>
    <col min="13573" max="13573" width="12" style="504" customWidth="1"/>
    <col min="13574" max="13574" width="11.5703125" style="504" customWidth="1"/>
    <col min="13575" max="13575" width="14" style="504" customWidth="1"/>
    <col min="13576" max="13576" width="12.85546875" style="504" customWidth="1"/>
    <col min="13577" max="13577" width="10.5703125" style="504" customWidth="1"/>
    <col min="13578" max="13824" width="9.140625" style="504"/>
    <col min="13825" max="13825" width="4.28515625" style="504" customWidth="1"/>
    <col min="13826" max="13826" width="8.7109375" style="504" customWidth="1"/>
    <col min="13827" max="13827" width="5.5703125" style="504" customWidth="1"/>
    <col min="13828" max="13828" width="11.85546875" style="504" customWidth="1"/>
    <col min="13829" max="13829" width="12" style="504" customWidth="1"/>
    <col min="13830" max="13830" width="11.5703125" style="504" customWidth="1"/>
    <col min="13831" max="13831" width="14" style="504" customWidth="1"/>
    <col min="13832" max="13832" width="12.85546875" style="504" customWidth="1"/>
    <col min="13833" max="13833" width="10.5703125" style="504" customWidth="1"/>
    <col min="13834" max="14080" width="9.140625" style="504"/>
    <col min="14081" max="14081" width="4.28515625" style="504" customWidth="1"/>
    <col min="14082" max="14082" width="8.7109375" style="504" customWidth="1"/>
    <col min="14083" max="14083" width="5.5703125" style="504" customWidth="1"/>
    <col min="14084" max="14084" width="11.85546875" style="504" customWidth="1"/>
    <col min="14085" max="14085" width="12" style="504" customWidth="1"/>
    <col min="14086" max="14086" width="11.5703125" style="504" customWidth="1"/>
    <col min="14087" max="14087" width="14" style="504" customWidth="1"/>
    <col min="14088" max="14088" width="12.85546875" style="504" customWidth="1"/>
    <col min="14089" max="14089" width="10.5703125" style="504" customWidth="1"/>
    <col min="14090" max="14336" width="9.140625" style="504"/>
    <col min="14337" max="14337" width="4.28515625" style="504" customWidth="1"/>
    <col min="14338" max="14338" width="8.7109375" style="504" customWidth="1"/>
    <col min="14339" max="14339" width="5.5703125" style="504" customWidth="1"/>
    <col min="14340" max="14340" width="11.85546875" style="504" customWidth="1"/>
    <col min="14341" max="14341" width="12" style="504" customWidth="1"/>
    <col min="14342" max="14342" width="11.5703125" style="504" customWidth="1"/>
    <col min="14343" max="14343" width="14" style="504" customWidth="1"/>
    <col min="14344" max="14344" width="12.85546875" style="504" customWidth="1"/>
    <col min="14345" max="14345" width="10.5703125" style="504" customWidth="1"/>
    <col min="14346" max="14592" width="9.140625" style="504"/>
    <col min="14593" max="14593" width="4.28515625" style="504" customWidth="1"/>
    <col min="14594" max="14594" width="8.7109375" style="504" customWidth="1"/>
    <col min="14595" max="14595" width="5.5703125" style="504" customWidth="1"/>
    <col min="14596" max="14596" width="11.85546875" style="504" customWidth="1"/>
    <col min="14597" max="14597" width="12" style="504" customWidth="1"/>
    <col min="14598" max="14598" width="11.5703125" style="504" customWidth="1"/>
    <col min="14599" max="14599" width="14" style="504" customWidth="1"/>
    <col min="14600" max="14600" width="12.85546875" style="504" customWidth="1"/>
    <col min="14601" max="14601" width="10.5703125" style="504" customWidth="1"/>
    <col min="14602" max="14848" width="9.140625" style="504"/>
    <col min="14849" max="14849" width="4.28515625" style="504" customWidth="1"/>
    <col min="14850" max="14850" width="8.7109375" style="504" customWidth="1"/>
    <col min="14851" max="14851" width="5.5703125" style="504" customWidth="1"/>
    <col min="14852" max="14852" width="11.85546875" style="504" customWidth="1"/>
    <col min="14853" max="14853" width="12" style="504" customWidth="1"/>
    <col min="14854" max="14854" width="11.5703125" style="504" customWidth="1"/>
    <col min="14855" max="14855" width="14" style="504" customWidth="1"/>
    <col min="14856" max="14856" width="12.85546875" style="504" customWidth="1"/>
    <col min="14857" max="14857" width="10.5703125" style="504" customWidth="1"/>
    <col min="14858" max="15104" width="9.140625" style="504"/>
    <col min="15105" max="15105" width="4.28515625" style="504" customWidth="1"/>
    <col min="15106" max="15106" width="8.7109375" style="504" customWidth="1"/>
    <col min="15107" max="15107" width="5.5703125" style="504" customWidth="1"/>
    <col min="15108" max="15108" width="11.85546875" style="504" customWidth="1"/>
    <col min="15109" max="15109" width="12" style="504" customWidth="1"/>
    <col min="15110" max="15110" width="11.5703125" style="504" customWidth="1"/>
    <col min="15111" max="15111" width="14" style="504" customWidth="1"/>
    <col min="15112" max="15112" width="12.85546875" style="504" customWidth="1"/>
    <col min="15113" max="15113" width="10.5703125" style="504" customWidth="1"/>
    <col min="15114" max="15360" width="9.140625" style="504"/>
    <col min="15361" max="15361" width="4.28515625" style="504" customWidth="1"/>
    <col min="15362" max="15362" width="8.7109375" style="504" customWidth="1"/>
    <col min="15363" max="15363" width="5.5703125" style="504" customWidth="1"/>
    <col min="15364" max="15364" width="11.85546875" style="504" customWidth="1"/>
    <col min="15365" max="15365" width="12" style="504" customWidth="1"/>
    <col min="15366" max="15366" width="11.5703125" style="504" customWidth="1"/>
    <col min="15367" max="15367" width="14" style="504" customWidth="1"/>
    <col min="15368" max="15368" width="12.85546875" style="504" customWidth="1"/>
    <col min="15369" max="15369" width="10.5703125" style="504" customWidth="1"/>
    <col min="15370" max="15616" width="9.140625" style="504"/>
    <col min="15617" max="15617" width="4.28515625" style="504" customWidth="1"/>
    <col min="15618" max="15618" width="8.7109375" style="504" customWidth="1"/>
    <col min="15619" max="15619" width="5.5703125" style="504" customWidth="1"/>
    <col min="15620" max="15620" width="11.85546875" style="504" customWidth="1"/>
    <col min="15621" max="15621" width="12" style="504" customWidth="1"/>
    <col min="15622" max="15622" width="11.5703125" style="504" customWidth="1"/>
    <col min="15623" max="15623" width="14" style="504" customWidth="1"/>
    <col min="15624" max="15624" width="12.85546875" style="504" customWidth="1"/>
    <col min="15625" max="15625" width="10.5703125" style="504" customWidth="1"/>
    <col min="15626" max="15872" width="9.140625" style="504"/>
    <col min="15873" max="15873" width="4.28515625" style="504" customWidth="1"/>
    <col min="15874" max="15874" width="8.7109375" style="504" customWidth="1"/>
    <col min="15875" max="15875" width="5.5703125" style="504" customWidth="1"/>
    <col min="15876" max="15876" width="11.85546875" style="504" customWidth="1"/>
    <col min="15877" max="15877" width="12" style="504" customWidth="1"/>
    <col min="15878" max="15878" width="11.5703125" style="504" customWidth="1"/>
    <col min="15879" max="15879" width="14" style="504" customWidth="1"/>
    <col min="15880" max="15880" width="12.85546875" style="504" customWidth="1"/>
    <col min="15881" max="15881" width="10.5703125" style="504" customWidth="1"/>
    <col min="15882" max="16128" width="9.140625" style="504"/>
    <col min="16129" max="16129" width="4.28515625" style="504" customWidth="1"/>
    <col min="16130" max="16130" width="8.7109375" style="504" customWidth="1"/>
    <col min="16131" max="16131" width="5.5703125" style="504" customWidth="1"/>
    <col min="16132" max="16132" width="11.85546875" style="504" customWidth="1"/>
    <col min="16133" max="16133" width="12" style="504" customWidth="1"/>
    <col min="16134" max="16134" width="11.5703125" style="504" customWidth="1"/>
    <col min="16135" max="16135" width="14" style="504" customWidth="1"/>
    <col min="16136" max="16136" width="12.85546875" style="504" customWidth="1"/>
    <col min="16137" max="16137" width="10.5703125" style="504" customWidth="1"/>
    <col min="16138" max="16384" width="9.140625" style="504"/>
  </cols>
  <sheetData>
    <row r="1" spans="1:74" x14ac:dyDescent="0.2">
      <c r="G1" s="170"/>
      <c r="H1" s="171" t="s">
        <v>300</v>
      </c>
    </row>
    <row r="2" spans="1:74" x14ac:dyDescent="0.2">
      <c r="G2" s="170"/>
      <c r="H2" s="3" t="s">
        <v>298</v>
      </c>
    </row>
    <row r="3" spans="1:74" x14ac:dyDescent="0.2">
      <c r="G3" s="170"/>
      <c r="H3" s="3" t="s">
        <v>0</v>
      </c>
    </row>
    <row r="4" spans="1:74" x14ac:dyDescent="0.2">
      <c r="G4" s="170"/>
      <c r="H4" s="3" t="s">
        <v>299</v>
      </c>
    </row>
    <row r="5" spans="1:74" x14ac:dyDescent="0.2">
      <c r="H5" s="172"/>
    </row>
    <row r="7" spans="1:74" ht="35.25" customHeight="1" x14ac:dyDescent="0.2">
      <c r="A7" s="173" t="s">
        <v>301</v>
      </c>
      <c r="B7" s="173"/>
      <c r="C7" s="173"/>
      <c r="D7" s="173"/>
      <c r="E7" s="173"/>
      <c r="F7" s="173"/>
      <c r="G7" s="173"/>
      <c r="H7" s="173"/>
      <c r="I7" s="173"/>
    </row>
    <row r="8" spans="1:74" ht="18" customHeight="1" x14ac:dyDescent="0.2">
      <c r="A8" s="174"/>
      <c r="B8" s="174"/>
      <c r="C8" s="174"/>
      <c r="D8" s="174"/>
      <c r="E8" s="174"/>
      <c r="F8" s="174"/>
      <c r="G8" s="174"/>
      <c r="H8" s="174"/>
      <c r="I8" s="174"/>
    </row>
    <row r="9" spans="1:74" ht="13.5" customHeight="1" x14ac:dyDescent="0.2">
      <c r="I9" s="175" t="s">
        <v>1</v>
      </c>
    </row>
    <row r="10" spans="1:74" ht="13.5" customHeight="1" x14ac:dyDescent="0.2">
      <c r="A10" s="176"/>
      <c r="B10" s="176"/>
      <c r="C10" s="176"/>
      <c r="D10" s="177"/>
      <c r="E10" s="177"/>
      <c r="F10" s="178" t="s">
        <v>302</v>
      </c>
      <c r="G10" s="179"/>
      <c r="H10" s="179"/>
      <c r="I10" s="180"/>
    </row>
    <row r="11" spans="1:74" ht="33.75" customHeight="1" x14ac:dyDescent="0.2">
      <c r="A11" s="181" t="s">
        <v>303</v>
      </c>
      <c r="B11" s="181" t="s">
        <v>304</v>
      </c>
      <c r="C11" s="181" t="s">
        <v>5</v>
      </c>
      <c r="D11" s="182" t="s">
        <v>305</v>
      </c>
      <c r="E11" s="182" t="s">
        <v>306</v>
      </c>
      <c r="F11" s="177"/>
      <c r="G11" s="178" t="s">
        <v>307</v>
      </c>
      <c r="H11" s="180"/>
      <c r="I11" s="177"/>
    </row>
    <row r="12" spans="1:74" ht="39.75" customHeight="1" x14ac:dyDescent="0.2">
      <c r="A12" s="183"/>
      <c r="B12" s="183"/>
      <c r="C12" s="183"/>
      <c r="D12" s="183"/>
      <c r="E12" s="184"/>
      <c r="F12" s="185" t="s">
        <v>308</v>
      </c>
      <c r="G12" s="186" t="s">
        <v>309</v>
      </c>
      <c r="H12" s="186" t="s">
        <v>310</v>
      </c>
      <c r="I12" s="185" t="s">
        <v>311</v>
      </c>
    </row>
    <row r="13" spans="1:74" ht="10.5" customHeight="1" x14ac:dyDescent="0.2">
      <c r="A13" s="187">
        <v>1</v>
      </c>
      <c r="B13" s="187">
        <v>2</v>
      </c>
      <c r="C13" s="187">
        <v>3</v>
      </c>
      <c r="D13" s="187">
        <v>4</v>
      </c>
      <c r="E13" s="187">
        <v>5</v>
      </c>
      <c r="F13" s="187">
        <v>6</v>
      </c>
      <c r="G13" s="187">
        <v>7</v>
      </c>
      <c r="H13" s="187">
        <v>8</v>
      </c>
      <c r="I13" s="187">
        <v>9</v>
      </c>
    </row>
    <row r="14" spans="1:74" s="191" customFormat="1" ht="20.25" customHeight="1" x14ac:dyDescent="0.2">
      <c r="A14" s="188">
        <v>710</v>
      </c>
      <c r="B14" s="188">
        <v>71035</v>
      </c>
      <c r="C14" s="188">
        <v>2020</v>
      </c>
      <c r="D14" s="189">
        <f>20000+45000+20000</f>
        <v>85000</v>
      </c>
      <c r="E14" s="189">
        <f t="shared" ref="E14:E19" si="0">SUM(F14,I14)</f>
        <v>85000</v>
      </c>
      <c r="F14" s="189">
        <f>20000+45000+20000</f>
        <v>85000</v>
      </c>
      <c r="G14" s="189">
        <v>0</v>
      </c>
      <c r="H14" s="189">
        <v>0</v>
      </c>
      <c r="I14" s="189">
        <v>0</v>
      </c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</row>
    <row r="15" spans="1:74" s="191" customFormat="1" ht="20.25" customHeight="1" x14ac:dyDescent="0.2">
      <c r="A15" s="188">
        <v>750</v>
      </c>
      <c r="B15" s="188">
        <v>75023</v>
      </c>
      <c r="C15" s="192">
        <v>2020</v>
      </c>
      <c r="D15" s="193">
        <f>657370-3.09</f>
        <v>657366.91</v>
      </c>
      <c r="E15" s="189">
        <f t="shared" si="0"/>
        <v>657366.91</v>
      </c>
      <c r="F15" s="189">
        <f>657370-3.09</f>
        <v>657366.91</v>
      </c>
      <c r="G15" s="189">
        <f>42370-126.09+123</f>
        <v>42366.91</v>
      </c>
      <c r="H15" s="189">
        <v>0</v>
      </c>
      <c r="I15" s="189">
        <v>0</v>
      </c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</row>
    <row r="16" spans="1:74" s="191" customFormat="1" ht="20.25" customHeight="1" x14ac:dyDescent="0.2">
      <c r="A16" s="188">
        <v>752</v>
      </c>
      <c r="B16" s="188">
        <v>75224</v>
      </c>
      <c r="C16" s="192">
        <v>2120</v>
      </c>
      <c r="D16" s="193">
        <f>42500+2500-5900</f>
        <v>39100</v>
      </c>
      <c r="E16" s="189">
        <f t="shared" si="0"/>
        <v>39100</v>
      </c>
      <c r="F16" s="189">
        <f>42500+2500-5900</f>
        <v>39100</v>
      </c>
      <c r="G16" s="189">
        <f>42500+2500-6800-5900</f>
        <v>32300</v>
      </c>
      <c r="H16" s="189">
        <v>0</v>
      </c>
      <c r="I16" s="189">
        <v>0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</row>
    <row r="17" spans="1:74" s="191" customFormat="1" ht="20.25" customHeight="1" x14ac:dyDescent="0.2">
      <c r="A17" s="188">
        <v>801</v>
      </c>
      <c r="B17" s="188">
        <v>80146</v>
      </c>
      <c r="C17" s="192">
        <v>2120</v>
      </c>
      <c r="D17" s="193">
        <f>328000+65007+15200+3500</f>
        <v>411707</v>
      </c>
      <c r="E17" s="189">
        <f t="shared" si="0"/>
        <v>411707</v>
      </c>
      <c r="F17" s="189">
        <f>328000+65007+15200+3500</f>
        <v>411707</v>
      </c>
      <c r="G17" s="189">
        <f>313530+12000+307+50000+120+880+5200+294+2000</f>
        <v>384331</v>
      </c>
      <c r="H17" s="189">
        <v>0</v>
      </c>
      <c r="I17" s="189">
        <v>0</v>
      </c>
      <c r="J17" s="190"/>
      <c r="K17" s="194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</row>
    <row r="18" spans="1:74" s="191" customFormat="1" ht="20.25" customHeight="1" x14ac:dyDescent="0.2">
      <c r="A18" s="188">
        <v>801</v>
      </c>
      <c r="B18" s="188">
        <v>80195</v>
      </c>
      <c r="C18" s="192">
        <v>2020</v>
      </c>
      <c r="D18" s="193">
        <v>15000</v>
      </c>
      <c r="E18" s="189">
        <f t="shared" si="0"/>
        <v>15000</v>
      </c>
      <c r="F18" s="189">
        <v>15000</v>
      </c>
      <c r="G18" s="189">
        <v>0</v>
      </c>
      <c r="H18" s="189">
        <v>0</v>
      </c>
      <c r="I18" s="189">
        <v>0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</row>
    <row r="19" spans="1:74" s="191" customFormat="1" ht="20.25" customHeight="1" x14ac:dyDescent="0.2">
      <c r="A19" s="188">
        <v>801</v>
      </c>
      <c r="B19" s="188">
        <v>80195</v>
      </c>
      <c r="C19" s="192">
        <v>2120</v>
      </c>
      <c r="D19" s="193">
        <f>349074+27630.4</f>
        <v>376704.4</v>
      </c>
      <c r="E19" s="189">
        <f t="shared" si="0"/>
        <v>376704.4</v>
      </c>
      <c r="F19" s="189">
        <f>349074+27630.4</f>
        <v>376704.4</v>
      </c>
      <c r="G19" s="189">
        <f>317340-3500</f>
        <v>313840</v>
      </c>
      <c r="H19" s="189">
        <v>0</v>
      </c>
      <c r="I19" s="189">
        <v>0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</row>
    <row r="20" spans="1:74" s="191" customFormat="1" ht="23.25" customHeight="1" x14ac:dyDescent="0.2">
      <c r="A20" s="534" t="s">
        <v>312</v>
      </c>
      <c r="B20" s="535"/>
      <c r="C20" s="536"/>
      <c r="D20" s="506">
        <f t="shared" ref="D20:I20" si="1">SUM(D14:D19)</f>
        <v>1584878.31</v>
      </c>
      <c r="E20" s="506">
        <f t="shared" si="1"/>
        <v>1584878.31</v>
      </c>
      <c r="F20" s="506">
        <f t="shared" si="1"/>
        <v>1584878.31</v>
      </c>
      <c r="G20" s="506">
        <f t="shared" si="1"/>
        <v>772837.91</v>
      </c>
      <c r="H20" s="506">
        <f t="shared" si="1"/>
        <v>0</v>
      </c>
      <c r="I20" s="506">
        <f t="shared" si="1"/>
        <v>0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</row>
    <row r="21" spans="1:74" ht="12" customHeight="1" x14ac:dyDescent="0.2"/>
  </sheetData>
  <mergeCells count="1">
    <mergeCell ref="A20:C20"/>
  </mergeCells>
  <pageMargins left="0.55118110236220474" right="0.55118110236220474" top="0.74803149606299213" bottom="0.74803149606299213" header="0.31496062992125984" footer="0.31496062992125984"/>
  <pageSetup paperSize="9" firstPageNumber="41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E752-8ABB-45F2-A3D3-B6E9403195B1}">
  <sheetPr>
    <tabColor rgb="FF00FFFF"/>
  </sheetPr>
  <dimension ref="A1:H216"/>
  <sheetViews>
    <sheetView zoomScale="140" zoomScaleNormal="140" workbookViewId="0"/>
  </sheetViews>
  <sheetFormatPr defaultRowHeight="12" x14ac:dyDescent="0.2"/>
  <cols>
    <col min="1" max="1" width="4.42578125" style="190" customWidth="1"/>
    <col min="2" max="2" width="5.7109375" style="190" customWidth="1"/>
    <col min="3" max="3" width="8.42578125" style="190" customWidth="1"/>
    <col min="4" max="4" width="5.7109375" style="195" customWidth="1"/>
    <col min="5" max="5" width="47.42578125" style="190" customWidth="1"/>
    <col min="6" max="6" width="21.42578125" style="190" customWidth="1"/>
    <col min="7" max="7" width="9.140625" style="190"/>
    <col min="8" max="8" width="12.28515625" style="190" customWidth="1"/>
    <col min="9" max="256" width="9.140625" style="190"/>
    <col min="257" max="257" width="4.42578125" style="190" customWidth="1"/>
    <col min="258" max="258" width="5.7109375" style="190" customWidth="1"/>
    <col min="259" max="259" width="8.42578125" style="190" customWidth="1"/>
    <col min="260" max="260" width="6.5703125" style="190" customWidth="1"/>
    <col min="261" max="261" width="47.42578125" style="190" customWidth="1"/>
    <col min="262" max="262" width="21.42578125" style="190" customWidth="1"/>
    <col min="263" max="263" width="9.140625" style="190"/>
    <col min="264" max="264" width="12.28515625" style="190" customWidth="1"/>
    <col min="265" max="512" width="9.140625" style="190"/>
    <col min="513" max="513" width="4.42578125" style="190" customWidth="1"/>
    <col min="514" max="514" width="5.7109375" style="190" customWidth="1"/>
    <col min="515" max="515" width="8.42578125" style="190" customWidth="1"/>
    <col min="516" max="516" width="6.5703125" style="190" customWidth="1"/>
    <col min="517" max="517" width="47.42578125" style="190" customWidth="1"/>
    <col min="518" max="518" width="21.42578125" style="190" customWidth="1"/>
    <col min="519" max="519" width="9.140625" style="190"/>
    <col min="520" max="520" width="12.28515625" style="190" customWidth="1"/>
    <col min="521" max="768" width="9.140625" style="190"/>
    <col min="769" max="769" width="4.42578125" style="190" customWidth="1"/>
    <col min="770" max="770" width="5.7109375" style="190" customWidth="1"/>
    <col min="771" max="771" width="8.42578125" style="190" customWidth="1"/>
    <col min="772" max="772" width="6.5703125" style="190" customWidth="1"/>
    <col min="773" max="773" width="47.42578125" style="190" customWidth="1"/>
    <col min="774" max="774" width="21.42578125" style="190" customWidth="1"/>
    <col min="775" max="775" width="9.140625" style="190"/>
    <col min="776" max="776" width="12.28515625" style="190" customWidth="1"/>
    <col min="777" max="1024" width="9.140625" style="190"/>
    <col min="1025" max="1025" width="4.42578125" style="190" customWidth="1"/>
    <col min="1026" max="1026" width="5.7109375" style="190" customWidth="1"/>
    <col min="1027" max="1027" width="8.42578125" style="190" customWidth="1"/>
    <col min="1028" max="1028" width="6.5703125" style="190" customWidth="1"/>
    <col min="1029" max="1029" width="47.42578125" style="190" customWidth="1"/>
    <col min="1030" max="1030" width="21.42578125" style="190" customWidth="1"/>
    <col min="1031" max="1031" width="9.140625" style="190"/>
    <col min="1032" max="1032" width="12.28515625" style="190" customWidth="1"/>
    <col min="1033" max="1280" width="9.140625" style="190"/>
    <col min="1281" max="1281" width="4.42578125" style="190" customWidth="1"/>
    <col min="1282" max="1282" width="5.7109375" style="190" customWidth="1"/>
    <col min="1283" max="1283" width="8.42578125" style="190" customWidth="1"/>
    <col min="1284" max="1284" width="6.5703125" style="190" customWidth="1"/>
    <col min="1285" max="1285" width="47.42578125" style="190" customWidth="1"/>
    <col min="1286" max="1286" width="21.42578125" style="190" customWidth="1"/>
    <col min="1287" max="1287" width="9.140625" style="190"/>
    <col min="1288" max="1288" width="12.28515625" style="190" customWidth="1"/>
    <col min="1289" max="1536" width="9.140625" style="190"/>
    <col min="1537" max="1537" width="4.42578125" style="190" customWidth="1"/>
    <col min="1538" max="1538" width="5.7109375" style="190" customWidth="1"/>
    <col min="1539" max="1539" width="8.42578125" style="190" customWidth="1"/>
    <col min="1540" max="1540" width="6.5703125" style="190" customWidth="1"/>
    <col min="1541" max="1541" width="47.42578125" style="190" customWidth="1"/>
    <col min="1542" max="1542" width="21.42578125" style="190" customWidth="1"/>
    <col min="1543" max="1543" width="9.140625" style="190"/>
    <col min="1544" max="1544" width="12.28515625" style="190" customWidth="1"/>
    <col min="1545" max="1792" width="9.140625" style="190"/>
    <col min="1793" max="1793" width="4.42578125" style="190" customWidth="1"/>
    <col min="1794" max="1794" width="5.7109375" style="190" customWidth="1"/>
    <col min="1795" max="1795" width="8.42578125" style="190" customWidth="1"/>
    <col min="1796" max="1796" width="6.5703125" style="190" customWidth="1"/>
    <col min="1797" max="1797" width="47.42578125" style="190" customWidth="1"/>
    <col min="1798" max="1798" width="21.42578125" style="190" customWidth="1"/>
    <col min="1799" max="1799" width="9.140625" style="190"/>
    <col min="1800" max="1800" width="12.28515625" style="190" customWidth="1"/>
    <col min="1801" max="2048" width="9.140625" style="190"/>
    <col min="2049" max="2049" width="4.42578125" style="190" customWidth="1"/>
    <col min="2050" max="2050" width="5.7109375" style="190" customWidth="1"/>
    <col min="2051" max="2051" width="8.42578125" style="190" customWidth="1"/>
    <col min="2052" max="2052" width="6.5703125" style="190" customWidth="1"/>
    <col min="2053" max="2053" width="47.42578125" style="190" customWidth="1"/>
    <col min="2054" max="2054" width="21.42578125" style="190" customWidth="1"/>
    <col min="2055" max="2055" width="9.140625" style="190"/>
    <col min="2056" max="2056" width="12.28515625" style="190" customWidth="1"/>
    <col min="2057" max="2304" width="9.140625" style="190"/>
    <col min="2305" max="2305" width="4.42578125" style="190" customWidth="1"/>
    <col min="2306" max="2306" width="5.7109375" style="190" customWidth="1"/>
    <col min="2307" max="2307" width="8.42578125" style="190" customWidth="1"/>
    <col min="2308" max="2308" width="6.5703125" style="190" customWidth="1"/>
    <col min="2309" max="2309" width="47.42578125" style="190" customWidth="1"/>
    <col min="2310" max="2310" width="21.42578125" style="190" customWidth="1"/>
    <col min="2311" max="2311" width="9.140625" style="190"/>
    <col min="2312" max="2312" width="12.28515625" style="190" customWidth="1"/>
    <col min="2313" max="2560" width="9.140625" style="190"/>
    <col min="2561" max="2561" width="4.42578125" style="190" customWidth="1"/>
    <col min="2562" max="2562" width="5.7109375" style="190" customWidth="1"/>
    <col min="2563" max="2563" width="8.42578125" style="190" customWidth="1"/>
    <col min="2564" max="2564" width="6.5703125" style="190" customWidth="1"/>
    <col min="2565" max="2565" width="47.42578125" style="190" customWidth="1"/>
    <col min="2566" max="2566" width="21.42578125" style="190" customWidth="1"/>
    <col min="2567" max="2567" width="9.140625" style="190"/>
    <col min="2568" max="2568" width="12.28515625" style="190" customWidth="1"/>
    <col min="2569" max="2816" width="9.140625" style="190"/>
    <col min="2817" max="2817" width="4.42578125" style="190" customWidth="1"/>
    <col min="2818" max="2818" width="5.7109375" style="190" customWidth="1"/>
    <col min="2819" max="2819" width="8.42578125" style="190" customWidth="1"/>
    <col min="2820" max="2820" width="6.5703125" style="190" customWidth="1"/>
    <col min="2821" max="2821" width="47.42578125" style="190" customWidth="1"/>
    <col min="2822" max="2822" width="21.42578125" style="190" customWidth="1"/>
    <col min="2823" max="2823" width="9.140625" style="190"/>
    <col min="2824" max="2824" width="12.28515625" style="190" customWidth="1"/>
    <col min="2825" max="3072" width="9.140625" style="190"/>
    <col min="3073" max="3073" width="4.42578125" style="190" customWidth="1"/>
    <col min="3074" max="3074" width="5.7109375" style="190" customWidth="1"/>
    <col min="3075" max="3075" width="8.42578125" style="190" customWidth="1"/>
    <col min="3076" max="3076" width="6.5703125" style="190" customWidth="1"/>
    <col min="3077" max="3077" width="47.42578125" style="190" customWidth="1"/>
    <col min="3078" max="3078" width="21.42578125" style="190" customWidth="1"/>
    <col min="3079" max="3079" width="9.140625" style="190"/>
    <col min="3080" max="3080" width="12.28515625" style="190" customWidth="1"/>
    <col min="3081" max="3328" width="9.140625" style="190"/>
    <col min="3329" max="3329" width="4.42578125" style="190" customWidth="1"/>
    <col min="3330" max="3330" width="5.7109375" style="190" customWidth="1"/>
    <col min="3331" max="3331" width="8.42578125" style="190" customWidth="1"/>
    <col min="3332" max="3332" width="6.5703125" style="190" customWidth="1"/>
    <col min="3333" max="3333" width="47.42578125" style="190" customWidth="1"/>
    <col min="3334" max="3334" width="21.42578125" style="190" customWidth="1"/>
    <col min="3335" max="3335" width="9.140625" style="190"/>
    <col min="3336" max="3336" width="12.28515625" style="190" customWidth="1"/>
    <col min="3337" max="3584" width="9.140625" style="190"/>
    <col min="3585" max="3585" width="4.42578125" style="190" customWidth="1"/>
    <col min="3586" max="3586" width="5.7109375" style="190" customWidth="1"/>
    <col min="3587" max="3587" width="8.42578125" style="190" customWidth="1"/>
    <col min="3588" max="3588" width="6.5703125" style="190" customWidth="1"/>
    <col min="3589" max="3589" width="47.42578125" style="190" customWidth="1"/>
    <col min="3590" max="3590" width="21.42578125" style="190" customWidth="1"/>
    <col min="3591" max="3591" width="9.140625" style="190"/>
    <col min="3592" max="3592" width="12.28515625" style="190" customWidth="1"/>
    <col min="3593" max="3840" width="9.140625" style="190"/>
    <col min="3841" max="3841" width="4.42578125" style="190" customWidth="1"/>
    <col min="3842" max="3842" width="5.7109375" style="190" customWidth="1"/>
    <col min="3843" max="3843" width="8.42578125" style="190" customWidth="1"/>
    <col min="3844" max="3844" width="6.5703125" style="190" customWidth="1"/>
    <col min="3845" max="3845" width="47.42578125" style="190" customWidth="1"/>
    <col min="3846" max="3846" width="21.42578125" style="190" customWidth="1"/>
    <col min="3847" max="3847" width="9.140625" style="190"/>
    <col min="3848" max="3848" width="12.28515625" style="190" customWidth="1"/>
    <col min="3849" max="4096" width="9.140625" style="190"/>
    <col min="4097" max="4097" width="4.42578125" style="190" customWidth="1"/>
    <col min="4098" max="4098" width="5.7109375" style="190" customWidth="1"/>
    <col min="4099" max="4099" width="8.42578125" style="190" customWidth="1"/>
    <col min="4100" max="4100" width="6.5703125" style="190" customWidth="1"/>
    <col min="4101" max="4101" width="47.42578125" style="190" customWidth="1"/>
    <col min="4102" max="4102" width="21.42578125" style="190" customWidth="1"/>
    <col min="4103" max="4103" width="9.140625" style="190"/>
    <col min="4104" max="4104" width="12.28515625" style="190" customWidth="1"/>
    <col min="4105" max="4352" width="9.140625" style="190"/>
    <col min="4353" max="4353" width="4.42578125" style="190" customWidth="1"/>
    <col min="4354" max="4354" width="5.7109375" style="190" customWidth="1"/>
    <col min="4355" max="4355" width="8.42578125" style="190" customWidth="1"/>
    <col min="4356" max="4356" width="6.5703125" style="190" customWidth="1"/>
    <col min="4357" max="4357" width="47.42578125" style="190" customWidth="1"/>
    <col min="4358" max="4358" width="21.42578125" style="190" customWidth="1"/>
    <col min="4359" max="4359" width="9.140625" style="190"/>
    <col min="4360" max="4360" width="12.28515625" style="190" customWidth="1"/>
    <col min="4361" max="4608" width="9.140625" style="190"/>
    <col min="4609" max="4609" width="4.42578125" style="190" customWidth="1"/>
    <col min="4610" max="4610" width="5.7109375" style="190" customWidth="1"/>
    <col min="4611" max="4611" width="8.42578125" style="190" customWidth="1"/>
    <col min="4612" max="4612" width="6.5703125" style="190" customWidth="1"/>
    <col min="4613" max="4613" width="47.42578125" style="190" customWidth="1"/>
    <col min="4614" max="4614" width="21.42578125" style="190" customWidth="1"/>
    <col min="4615" max="4615" width="9.140625" style="190"/>
    <col min="4616" max="4616" width="12.28515625" style="190" customWidth="1"/>
    <col min="4617" max="4864" width="9.140625" style="190"/>
    <col min="4865" max="4865" width="4.42578125" style="190" customWidth="1"/>
    <col min="4866" max="4866" width="5.7109375" style="190" customWidth="1"/>
    <col min="4867" max="4867" width="8.42578125" style="190" customWidth="1"/>
    <col min="4868" max="4868" width="6.5703125" style="190" customWidth="1"/>
    <col min="4869" max="4869" width="47.42578125" style="190" customWidth="1"/>
    <col min="4870" max="4870" width="21.42578125" style="190" customWidth="1"/>
    <col min="4871" max="4871" width="9.140625" style="190"/>
    <col min="4872" max="4872" width="12.28515625" style="190" customWidth="1"/>
    <col min="4873" max="5120" width="9.140625" style="190"/>
    <col min="5121" max="5121" width="4.42578125" style="190" customWidth="1"/>
    <col min="5122" max="5122" width="5.7109375" style="190" customWidth="1"/>
    <col min="5123" max="5123" width="8.42578125" style="190" customWidth="1"/>
    <col min="5124" max="5124" width="6.5703125" style="190" customWidth="1"/>
    <col min="5125" max="5125" width="47.42578125" style="190" customWidth="1"/>
    <col min="5126" max="5126" width="21.42578125" style="190" customWidth="1"/>
    <col min="5127" max="5127" width="9.140625" style="190"/>
    <col min="5128" max="5128" width="12.28515625" style="190" customWidth="1"/>
    <col min="5129" max="5376" width="9.140625" style="190"/>
    <col min="5377" max="5377" width="4.42578125" style="190" customWidth="1"/>
    <col min="5378" max="5378" width="5.7109375" style="190" customWidth="1"/>
    <col min="5379" max="5379" width="8.42578125" style="190" customWidth="1"/>
    <col min="5380" max="5380" width="6.5703125" style="190" customWidth="1"/>
    <col min="5381" max="5381" width="47.42578125" style="190" customWidth="1"/>
    <col min="5382" max="5382" width="21.42578125" style="190" customWidth="1"/>
    <col min="5383" max="5383" width="9.140625" style="190"/>
    <col min="5384" max="5384" width="12.28515625" style="190" customWidth="1"/>
    <col min="5385" max="5632" width="9.140625" style="190"/>
    <col min="5633" max="5633" width="4.42578125" style="190" customWidth="1"/>
    <col min="5634" max="5634" width="5.7109375" style="190" customWidth="1"/>
    <col min="5635" max="5635" width="8.42578125" style="190" customWidth="1"/>
    <col min="5636" max="5636" width="6.5703125" style="190" customWidth="1"/>
    <col min="5637" max="5637" width="47.42578125" style="190" customWidth="1"/>
    <col min="5638" max="5638" width="21.42578125" style="190" customWidth="1"/>
    <col min="5639" max="5639" width="9.140625" style="190"/>
    <col min="5640" max="5640" width="12.28515625" style="190" customWidth="1"/>
    <col min="5641" max="5888" width="9.140625" style="190"/>
    <col min="5889" max="5889" width="4.42578125" style="190" customWidth="1"/>
    <col min="5890" max="5890" width="5.7109375" style="190" customWidth="1"/>
    <col min="5891" max="5891" width="8.42578125" style="190" customWidth="1"/>
    <col min="5892" max="5892" width="6.5703125" style="190" customWidth="1"/>
    <col min="5893" max="5893" width="47.42578125" style="190" customWidth="1"/>
    <col min="5894" max="5894" width="21.42578125" style="190" customWidth="1"/>
    <col min="5895" max="5895" width="9.140625" style="190"/>
    <col min="5896" max="5896" width="12.28515625" style="190" customWidth="1"/>
    <col min="5897" max="6144" width="9.140625" style="190"/>
    <col min="6145" max="6145" width="4.42578125" style="190" customWidth="1"/>
    <col min="6146" max="6146" width="5.7109375" style="190" customWidth="1"/>
    <col min="6147" max="6147" width="8.42578125" style="190" customWidth="1"/>
    <col min="6148" max="6148" width="6.5703125" style="190" customWidth="1"/>
    <col min="6149" max="6149" width="47.42578125" style="190" customWidth="1"/>
    <col min="6150" max="6150" width="21.42578125" style="190" customWidth="1"/>
    <col min="6151" max="6151" width="9.140625" style="190"/>
    <col min="6152" max="6152" width="12.28515625" style="190" customWidth="1"/>
    <col min="6153" max="6400" width="9.140625" style="190"/>
    <col min="6401" max="6401" width="4.42578125" style="190" customWidth="1"/>
    <col min="6402" max="6402" width="5.7109375" style="190" customWidth="1"/>
    <col min="6403" max="6403" width="8.42578125" style="190" customWidth="1"/>
    <col min="6404" max="6404" width="6.5703125" style="190" customWidth="1"/>
    <col min="6405" max="6405" width="47.42578125" style="190" customWidth="1"/>
    <col min="6406" max="6406" width="21.42578125" style="190" customWidth="1"/>
    <col min="6407" max="6407" width="9.140625" style="190"/>
    <col min="6408" max="6408" width="12.28515625" style="190" customWidth="1"/>
    <col min="6409" max="6656" width="9.140625" style="190"/>
    <col min="6657" max="6657" width="4.42578125" style="190" customWidth="1"/>
    <col min="6658" max="6658" width="5.7109375" style="190" customWidth="1"/>
    <col min="6659" max="6659" width="8.42578125" style="190" customWidth="1"/>
    <col min="6660" max="6660" width="6.5703125" style="190" customWidth="1"/>
    <col min="6661" max="6661" width="47.42578125" style="190" customWidth="1"/>
    <col min="6662" max="6662" width="21.42578125" style="190" customWidth="1"/>
    <col min="6663" max="6663" width="9.140625" style="190"/>
    <col min="6664" max="6664" width="12.28515625" style="190" customWidth="1"/>
    <col min="6665" max="6912" width="9.140625" style="190"/>
    <col min="6913" max="6913" width="4.42578125" style="190" customWidth="1"/>
    <col min="6914" max="6914" width="5.7109375" style="190" customWidth="1"/>
    <col min="6915" max="6915" width="8.42578125" style="190" customWidth="1"/>
    <col min="6916" max="6916" width="6.5703125" style="190" customWidth="1"/>
    <col min="6917" max="6917" width="47.42578125" style="190" customWidth="1"/>
    <col min="6918" max="6918" width="21.42578125" style="190" customWidth="1"/>
    <col min="6919" max="6919" width="9.140625" style="190"/>
    <col min="6920" max="6920" width="12.28515625" style="190" customWidth="1"/>
    <col min="6921" max="7168" width="9.140625" style="190"/>
    <col min="7169" max="7169" width="4.42578125" style="190" customWidth="1"/>
    <col min="7170" max="7170" width="5.7109375" style="190" customWidth="1"/>
    <col min="7171" max="7171" width="8.42578125" style="190" customWidth="1"/>
    <col min="7172" max="7172" width="6.5703125" style="190" customWidth="1"/>
    <col min="7173" max="7173" width="47.42578125" style="190" customWidth="1"/>
    <col min="7174" max="7174" width="21.42578125" style="190" customWidth="1"/>
    <col min="7175" max="7175" width="9.140625" style="190"/>
    <col min="7176" max="7176" width="12.28515625" style="190" customWidth="1"/>
    <col min="7177" max="7424" width="9.140625" style="190"/>
    <col min="7425" max="7425" width="4.42578125" style="190" customWidth="1"/>
    <col min="7426" max="7426" width="5.7109375" style="190" customWidth="1"/>
    <col min="7427" max="7427" width="8.42578125" style="190" customWidth="1"/>
    <col min="7428" max="7428" width="6.5703125" style="190" customWidth="1"/>
    <col min="7429" max="7429" width="47.42578125" style="190" customWidth="1"/>
    <col min="7430" max="7430" width="21.42578125" style="190" customWidth="1"/>
    <col min="7431" max="7431" width="9.140625" style="190"/>
    <col min="7432" max="7432" width="12.28515625" style="190" customWidth="1"/>
    <col min="7433" max="7680" width="9.140625" style="190"/>
    <col min="7681" max="7681" width="4.42578125" style="190" customWidth="1"/>
    <col min="7682" max="7682" width="5.7109375" style="190" customWidth="1"/>
    <col min="7683" max="7683" width="8.42578125" style="190" customWidth="1"/>
    <col min="7684" max="7684" width="6.5703125" style="190" customWidth="1"/>
    <col min="7685" max="7685" width="47.42578125" style="190" customWidth="1"/>
    <col min="7686" max="7686" width="21.42578125" style="190" customWidth="1"/>
    <col min="7687" max="7687" width="9.140625" style="190"/>
    <col min="7688" max="7688" width="12.28515625" style="190" customWidth="1"/>
    <col min="7689" max="7936" width="9.140625" style="190"/>
    <col min="7937" max="7937" width="4.42578125" style="190" customWidth="1"/>
    <col min="7938" max="7938" width="5.7109375" style="190" customWidth="1"/>
    <col min="7939" max="7939" width="8.42578125" style="190" customWidth="1"/>
    <col min="7940" max="7940" width="6.5703125" style="190" customWidth="1"/>
    <col min="7941" max="7941" width="47.42578125" style="190" customWidth="1"/>
    <col min="7942" max="7942" width="21.42578125" style="190" customWidth="1"/>
    <col min="7943" max="7943" width="9.140625" style="190"/>
    <col min="7944" max="7944" width="12.28515625" style="190" customWidth="1"/>
    <col min="7945" max="8192" width="9.140625" style="190"/>
    <col min="8193" max="8193" width="4.42578125" style="190" customWidth="1"/>
    <col min="8194" max="8194" width="5.7109375" style="190" customWidth="1"/>
    <col min="8195" max="8195" width="8.42578125" style="190" customWidth="1"/>
    <col min="8196" max="8196" width="6.5703125" style="190" customWidth="1"/>
    <col min="8197" max="8197" width="47.42578125" style="190" customWidth="1"/>
    <col min="8198" max="8198" width="21.42578125" style="190" customWidth="1"/>
    <col min="8199" max="8199" width="9.140625" style="190"/>
    <col min="8200" max="8200" width="12.28515625" style="190" customWidth="1"/>
    <col min="8201" max="8448" width="9.140625" style="190"/>
    <col min="8449" max="8449" width="4.42578125" style="190" customWidth="1"/>
    <col min="8450" max="8450" width="5.7109375" style="190" customWidth="1"/>
    <col min="8451" max="8451" width="8.42578125" style="190" customWidth="1"/>
    <col min="8452" max="8452" width="6.5703125" style="190" customWidth="1"/>
    <col min="8453" max="8453" width="47.42578125" style="190" customWidth="1"/>
    <col min="8454" max="8454" width="21.42578125" style="190" customWidth="1"/>
    <col min="8455" max="8455" width="9.140625" style="190"/>
    <col min="8456" max="8456" width="12.28515625" style="190" customWidth="1"/>
    <col min="8457" max="8704" width="9.140625" style="190"/>
    <col min="8705" max="8705" width="4.42578125" style="190" customWidth="1"/>
    <col min="8706" max="8706" width="5.7109375" style="190" customWidth="1"/>
    <col min="8707" max="8707" width="8.42578125" style="190" customWidth="1"/>
    <col min="8708" max="8708" width="6.5703125" style="190" customWidth="1"/>
    <col min="8709" max="8709" width="47.42578125" style="190" customWidth="1"/>
    <col min="8710" max="8710" width="21.42578125" style="190" customWidth="1"/>
    <col min="8711" max="8711" width="9.140625" style="190"/>
    <col min="8712" max="8712" width="12.28515625" style="190" customWidth="1"/>
    <col min="8713" max="8960" width="9.140625" style="190"/>
    <col min="8961" max="8961" width="4.42578125" style="190" customWidth="1"/>
    <col min="8962" max="8962" width="5.7109375" style="190" customWidth="1"/>
    <col min="8963" max="8963" width="8.42578125" style="190" customWidth="1"/>
    <col min="8964" max="8964" width="6.5703125" style="190" customWidth="1"/>
    <col min="8965" max="8965" width="47.42578125" style="190" customWidth="1"/>
    <col min="8966" max="8966" width="21.42578125" style="190" customWidth="1"/>
    <col min="8967" max="8967" width="9.140625" style="190"/>
    <col min="8968" max="8968" width="12.28515625" style="190" customWidth="1"/>
    <col min="8969" max="9216" width="9.140625" style="190"/>
    <col min="9217" max="9217" width="4.42578125" style="190" customWidth="1"/>
    <col min="9218" max="9218" width="5.7109375" style="190" customWidth="1"/>
    <col min="9219" max="9219" width="8.42578125" style="190" customWidth="1"/>
    <col min="9220" max="9220" width="6.5703125" style="190" customWidth="1"/>
    <col min="9221" max="9221" width="47.42578125" style="190" customWidth="1"/>
    <col min="9222" max="9222" width="21.42578125" style="190" customWidth="1"/>
    <col min="9223" max="9223" width="9.140625" style="190"/>
    <col min="9224" max="9224" width="12.28515625" style="190" customWidth="1"/>
    <col min="9225" max="9472" width="9.140625" style="190"/>
    <col min="9473" max="9473" width="4.42578125" style="190" customWidth="1"/>
    <col min="9474" max="9474" width="5.7109375" style="190" customWidth="1"/>
    <col min="9475" max="9475" width="8.42578125" style="190" customWidth="1"/>
    <col min="9476" max="9476" width="6.5703125" style="190" customWidth="1"/>
    <col min="9477" max="9477" width="47.42578125" style="190" customWidth="1"/>
    <col min="9478" max="9478" width="21.42578125" style="190" customWidth="1"/>
    <col min="9479" max="9479" width="9.140625" style="190"/>
    <col min="9480" max="9480" width="12.28515625" style="190" customWidth="1"/>
    <col min="9481" max="9728" width="9.140625" style="190"/>
    <col min="9729" max="9729" width="4.42578125" style="190" customWidth="1"/>
    <col min="9730" max="9730" width="5.7109375" style="190" customWidth="1"/>
    <col min="9731" max="9731" width="8.42578125" style="190" customWidth="1"/>
    <col min="9732" max="9732" width="6.5703125" style="190" customWidth="1"/>
    <col min="9733" max="9733" width="47.42578125" style="190" customWidth="1"/>
    <col min="9734" max="9734" width="21.42578125" style="190" customWidth="1"/>
    <col min="9735" max="9735" width="9.140625" style="190"/>
    <col min="9736" max="9736" width="12.28515625" style="190" customWidth="1"/>
    <col min="9737" max="9984" width="9.140625" style="190"/>
    <col min="9985" max="9985" width="4.42578125" style="190" customWidth="1"/>
    <col min="9986" max="9986" width="5.7109375" style="190" customWidth="1"/>
    <col min="9987" max="9987" width="8.42578125" style="190" customWidth="1"/>
    <col min="9988" max="9988" width="6.5703125" style="190" customWidth="1"/>
    <col min="9989" max="9989" width="47.42578125" style="190" customWidth="1"/>
    <col min="9990" max="9990" width="21.42578125" style="190" customWidth="1"/>
    <col min="9991" max="9991" width="9.140625" style="190"/>
    <col min="9992" max="9992" width="12.28515625" style="190" customWidth="1"/>
    <col min="9993" max="10240" width="9.140625" style="190"/>
    <col min="10241" max="10241" width="4.42578125" style="190" customWidth="1"/>
    <col min="10242" max="10242" width="5.7109375" style="190" customWidth="1"/>
    <col min="10243" max="10243" width="8.42578125" style="190" customWidth="1"/>
    <col min="10244" max="10244" width="6.5703125" style="190" customWidth="1"/>
    <col min="10245" max="10245" width="47.42578125" style="190" customWidth="1"/>
    <col min="10246" max="10246" width="21.42578125" style="190" customWidth="1"/>
    <col min="10247" max="10247" width="9.140625" style="190"/>
    <col min="10248" max="10248" width="12.28515625" style="190" customWidth="1"/>
    <col min="10249" max="10496" width="9.140625" style="190"/>
    <col min="10497" max="10497" width="4.42578125" style="190" customWidth="1"/>
    <col min="10498" max="10498" width="5.7109375" style="190" customWidth="1"/>
    <col min="10499" max="10499" width="8.42578125" style="190" customWidth="1"/>
    <col min="10500" max="10500" width="6.5703125" style="190" customWidth="1"/>
    <col min="10501" max="10501" width="47.42578125" style="190" customWidth="1"/>
    <col min="10502" max="10502" width="21.42578125" style="190" customWidth="1"/>
    <col min="10503" max="10503" width="9.140625" style="190"/>
    <col min="10504" max="10504" width="12.28515625" style="190" customWidth="1"/>
    <col min="10505" max="10752" width="9.140625" style="190"/>
    <col min="10753" max="10753" width="4.42578125" style="190" customWidth="1"/>
    <col min="10754" max="10754" width="5.7109375" style="190" customWidth="1"/>
    <col min="10755" max="10755" width="8.42578125" style="190" customWidth="1"/>
    <col min="10756" max="10756" width="6.5703125" style="190" customWidth="1"/>
    <col min="10757" max="10757" width="47.42578125" style="190" customWidth="1"/>
    <col min="10758" max="10758" width="21.42578125" style="190" customWidth="1"/>
    <col min="10759" max="10759" width="9.140625" style="190"/>
    <col min="10760" max="10760" width="12.28515625" style="190" customWidth="1"/>
    <col min="10761" max="11008" width="9.140625" style="190"/>
    <col min="11009" max="11009" width="4.42578125" style="190" customWidth="1"/>
    <col min="11010" max="11010" width="5.7109375" style="190" customWidth="1"/>
    <col min="11011" max="11011" width="8.42578125" style="190" customWidth="1"/>
    <col min="11012" max="11012" width="6.5703125" style="190" customWidth="1"/>
    <col min="11013" max="11013" width="47.42578125" style="190" customWidth="1"/>
    <col min="11014" max="11014" width="21.42578125" style="190" customWidth="1"/>
    <col min="11015" max="11015" width="9.140625" style="190"/>
    <col min="11016" max="11016" width="12.28515625" style="190" customWidth="1"/>
    <col min="11017" max="11264" width="9.140625" style="190"/>
    <col min="11265" max="11265" width="4.42578125" style="190" customWidth="1"/>
    <col min="11266" max="11266" width="5.7109375" style="190" customWidth="1"/>
    <col min="11267" max="11267" width="8.42578125" style="190" customWidth="1"/>
    <col min="11268" max="11268" width="6.5703125" style="190" customWidth="1"/>
    <col min="11269" max="11269" width="47.42578125" style="190" customWidth="1"/>
    <col min="11270" max="11270" width="21.42578125" style="190" customWidth="1"/>
    <col min="11271" max="11271" width="9.140625" style="190"/>
    <col min="11272" max="11272" width="12.28515625" style="190" customWidth="1"/>
    <col min="11273" max="11520" width="9.140625" style="190"/>
    <col min="11521" max="11521" width="4.42578125" style="190" customWidth="1"/>
    <col min="11522" max="11522" width="5.7109375" style="190" customWidth="1"/>
    <col min="11523" max="11523" width="8.42578125" style="190" customWidth="1"/>
    <col min="11524" max="11524" width="6.5703125" style="190" customWidth="1"/>
    <col min="11525" max="11525" width="47.42578125" style="190" customWidth="1"/>
    <col min="11526" max="11526" width="21.42578125" style="190" customWidth="1"/>
    <col min="11527" max="11527" width="9.140625" style="190"/>
    <col min="11528" max="11528" width="12.28515625" style="190" customWidth="1"/>
    <col min="11529" max="11776" width="9.140625" style="190"/>
    <col min="11777" max="11777" width="4.42578125" style="190" customWidth="1"/>
    <col min="11778" max="11778" width="5.7109375" style="190" customWidth="1"/>
    <col min="11779" max="11779" width="8.42578125" style="190" customWidth="1"/>
    <col min="11780" max="11780" width="6.5703125" style="190" customWidth="1"/>
    <col min="11781" max="11781" width="47.42578125" style="190" customWidth="1"/>
    <col min="11782" max="11782" width="21.42578125" style="190" customWidth="1"/>
    <col min="11783" max="11783" width="9.140625" style="190"/>
    <col min="11784" max="11784" width="12.28515625" style="190" customWidth="1"/>
    <col min="11785" max="12032" width="9.140625" style="190"/>
    <col min="12033" max="12033" width="4.42578125" style="190" customWidth="1"/>
    <col min="12034" max="12034" width="5.7109375" style="190" customWidth="1"/>
    <col min="12035" max="12035" width="8.42578125" style="190" customWidth="1"/>
    <col min="12036" max="12036" width="6.5703125" style="190" customWidth="1"/>
    <col min="12037" max="12037" width="47.42578125" style="190" customWidth="1"/>
    <col min="12038" max="12038" width="21.42578125" style="190" customWidth="1"/>
    <col min="12039" max="12039" width="9.140625" style="190"/>
    <col min="12040" max="12040" width="12.28515625" style="190" customWidth="1"/>
    <col min="12041" max="12288" width="9.140625" style="190"/>
    <col min="12289" max="12289" width="4.42578125" style="190" customWidth="1"/>
    <col min="12290" max="12290" width="5.7109375" style="190" customWidth="1"/>
    <col min="12291" max="12291" width="8.42578125" style="190" customWidth="1"/>
    <col min="12292" max="12292" width="6.5703125" style="190" customWidth="1"/>
    <col min="12293" max="12293" width="47.42578125" style="190" customWidth="1"/>
    <col min="12294" max="12294" width="21.42578125" style="190" customWidth="1"/>
    <col min="12295" max="12295" width="9.140625" style="190"/>
    <col min="12296" max="12296" width="12.28515625" style="190" customWidth="1"/>
    <col min="12297" max="12544" width="9.140625" style="190"/>
    <col min="12545" max="12545" width="4.42578125" style="190" customWidth="1"/>
    <col min="12546" max="12546" width="5.7109375" style="190" customWidth="1"/>
    <col min="12547" max="12547" width="8.42578125" style="190" customWidth="1"/>
    <col min="12548" max="12548" width="6.5703125" style="190" customWidth="1"/>
    <col min="12549" max="12549" width="47.42578125" style="190" customWidth="1"/>
    <col min="12550" max="12550" width="21.42578125" style="190" customWidth="1"/>
    <col min="12551" max="12551" width="9.140625" style="190"/>
    <col min="12552" max="12552" width="12.28515625" style="190" customWidth="1"/>
    <col min="12553" max="12800" width="9.140625" style="190"/>
    <col min="12801" max="12801" width="4.42578125" style="190" customWidth="1"/>
    <col min="12802" max="12802" width="5.7109375" style="190" customWidth="1"/>
    <col min="12803" max="12803" width="8.42578125" style="190" customWidth="1"/>
    <col min="12804" max="12804" width="6.5703125" style="190" customWidth="1"/>
    <col min="12805" max="12805" width="47.42578125" style="190" customWidth="1"/>
    <col min="12806" max="12806" width="21.42578125" style="190" customWidth="1"/>
    <col min="12807" max="12807" width="9.140625" style="190"/>
    <col min="12808" max="12808" width="12.28515625" style="190" customWidth="1"/>
    <col min="12809" max="13056" width="9.140625" style="190"/>
    <col min="13057" max="13057" width="4.42578125" style="190" customWidth="1"/>
    <col min="13058" max="13058" width="5.7109375" style="190" customWidth="1"/>
    <col min="13059" max="13059" width="8.42578125" style="190" customWidth="1"/>
    <col min="13060" max="13060" width="6.5703125" style="190" customWidth="1"/>
    <col min="13061" max="13061" width="47.42578125" style="190" customWidth="1"/>
    <col min="13062" max="13062" width="21.42578125" style="190" customWidth="1"/>
    <col min="13063" max="13063" width="9.140625" style="190"/>
    <col min="13064" max="13064" width="12.28515625" style="190" customWidth="1"/>
    <col min="13065" max="13312" width="9.140625" style="190"/>
    <col min="13313" max="13313" width="4.42578125" style="190" customWidth="1"/>
    <col min="13314" max="13314" width="5.7109375" style="190" customWidth="1"/>
    <col min="13315" max="13315" width="8.42578125" style="190" customWidth="1"/>
    <col min="13316" max="13316" width="6.5703125" style="190" customWidth="1"/>
    <col min="13317" max="13317" width="47.42578125" style="190" customWidth="1"/>
    <col min="13318" max="13318" width="21.42578125" style="190" customWidth="1"/>
    <col min="13319" max="13319" width="9.140625" style="190"/>
    <col min="13320" max="13320" width="12.28515625" style="190" customWidth="1"/>
    <col min="13321" max="13568" width="9.140625" style="190"/>
    <col min="13569" max="13569" width="4.42578125" style="190" customWidth="1"/>
    <col min="13570" max="13570" width="5.7109375" style="190" customWidth="1"/>
    <col min="13571" max="13571" width="8.42578125" style="190" customWidth="1"/>
    <col min="13572" max="13572" width="6.5703125" style="190" customWidth="1"/>
    <col min="13573" max="13573" width="47.42578125" style="190" customWidth="1"/>
    <col min="13574" max="13574" width="21.42578125" style="190" customWidth="1"/>
    <col min="13575" max="13575" width="9.140625" style="190"/>
    <col min="13576" max="13576" width="12.28515625" style="190" customWidth="1"/>
    <col min="13577" max="13824" width="9.140625" style="190"/>
    <col min="13825" max="13825" width="4.42578125" style="190" customWidth="1"/>
    <col min="13826" max="13826" width="5.7109375" style="190" customWidth="1"/>
    <col min="13827" max="13827" width="8.42578125" style="190" customWidth="1"/>
    <col min="13828" max="13828" width="6.5703125" style="190" customWidth="1"/>
    <col min="13829" max="13829" width="47.42578125" style="190" customWidth="1"/>
    <col min="13830" max="13830" width="21.42578125" style="190" customWidth="1"/>
    <col min="13831" max="13831" width="9.140625" style="190"/>
    <col min="13832" max="13832" width="12.28515625" style="190" customWidth="1"/>
    <col min="13833" max="14080" width="9.140625" style="190"/>
    <col min="14081" max="14081" width="4.42578125" style="190" customWidth="1"/>
    <col min="14082" max="14082" width="5.7109375" style="190" customWidth="1"/>
    <col min="14083" max="14083" width="8.42578125" style="190" customWidth="1"/>
    <col min="14084" max="14084" width="6.5703125" style="190" customWidth="1"/>
    <col min="14085" max="14085" width="47.42578125" style="190" customWidth="1"/>
    <col min="14086" max="14086" width="21.42578125" style="190" customWidth="1"/>
    <col min="14087" max="14087" width="9.140625" style="190"/>
    <col min="14088" max="14088" width="12.28515625" style="190" customWidth="1"/>
    <col min="14089" max="14336" width="9.140625" style="190"/>
    <col min="14337" max="14337" width="4.42578125" style="190" customWidth="1"/>
    <col min="14338" max="14338" width="5.7109375" style="190" customWidth="1"/>
    <col min="14339" max="14339" width="8.42578125" style="190" customWidth="1"/>
    <col min="14340" max="14340" width="6.5703125" style="190" customWidth="1"/>
    <col min="14341" max="14341" width="47.42578125" style="190" customWidth="1"/>
    <col min="14342" max="14342" width="21.42578125" style="190" customWidth="1"/>
    <col min="14343" max="14343" width="9.140625" style="190"/>
    <col min="14344" max="14344" width="12.28515625" style="190" customWidth="1"/>
    <col min="14345" max="14592" width="9.140625" style="190"/>
    <col min="14593" max="14593" width="4.42578125" style="190" customWidth="1"/>
    <col min="14594" max="14594" width="5.7109375" style="190" customWidth="1"/>
    <col min="14595" max="14595" width="8.42578125" style="190" customWidth="1"/>
    <col min="14596" max="14596" width="6.5703125" style="190" customWidth="1"/>
    <col min="14597" max="14597" width="47.42578125" style="190" customWidth="1"/>
    <col min="14598" max="14598" width="21.42578125" style="190" customWidth="1"/>
    <col min="14599" max="14599" width="9.140625" style="190"/>
    <col min="14600" max="14600" width="12.28515625" style="190" customWidth="1"/>
    <col min="14601" max="14848" width="9.140625" style="190"/>
    <col min="14849" max="14849" width="4.42578125" style="190" customWidth="1"/>
    <col min="14850" max="14850" width="5.7109375" style="190" customWidth="1"/>
    <col min="14851" max="14851" width="8.42578125" style="190" customWidth="1"/>
    <col min="14852" max="14852" width="6.5703125" style="190" customWidth="1"/>
    <col min="14853" max="14853" width="47.42578125" style="190" customWidth="1"/>
    <col min="14854" max="14854" width="21.42578125" style="190" customWidth="1"/>
    <col min="14855" max="14855" width="9.140625" style="190"/>
    <col min="14856" max="14856" width="12.28515625" style="190" customWidth="1"/>
    <col min="14857" max="15104" width="9.140625" style="190"/>
    <col min="15105" max="15105" width="4.42578125" style="190" customWidth="1"/>
    <col min="15106" max="15106" width="5.7109375" style="190" customWidth="1"/>
    <col min="15107" max="15107" width="8.42578125" style="190" customWidth="1"/>
    <col min="15108" max="15108" width="6.5703125" style="190" customWidth="1"/>
    <col min="15109" max="15109" width="47.42578125" style="190" customWidth="1"/>
    <col min="15110" max="15110" width="21.42578125" style="190" customWidth="1"/>
    <col min="15111" max="15111" width="9.140625" style="190"/>
    <col min="15112" max="15112" width="12.28515625" style="190" customWidth="1"/>
    <col min="15113" max="15360" width="9.140625" style="190"/>
    <col min="15361" max="15361" width="4.42578125" style="190" customWidth="1"/>
    <col min="15362" max="15362" width="5.7109375" style="190" customWidth="1"/>
    <col min="15363" max="15363" width="8.42578125" style="190" customWidth="1"/>
    <col min="15364" max="15364" width="6.5703125" style="190" customWidth="1"/>
    <col min="15365" max="15365" width="47.42578125" style="190" customWidth="1"/>
    <col min="15366" max="15366" width="21.42578125" style="190" customWidth="1"/>
    <col min="15367" max="15367" width="9.140625" style="190"/>
    <col min="15368" max="15368" width="12.28515625" style="190" customWidth="1"/>
    <col min="15369" max="15616" width="9.140625" style="190"/>
    <col min="15617" max="15617" width="4.42578125" style="190" customWidth="1"/>
    <col min="15618" max="15618" width="5.7109375" style="190" customWidth="1"/>
    <col min="15619" max="15619" width="8.42578125" style="190" customWidth="1"/>
    <col min="15620" max="15620" width="6.5703125" style="190" customWidth="1"/>
    <col min="15621" max="15621" width="47.42578125" style="190" customWidth="1"/>
    <col min="15622" max="15622" width="21.42578125" style="190" customWidth="1"/>
    <col min="15623" max="15623" width="9.140625" style="190"/>
    <col min="15624" max="15624" width="12.28515625" style="190" customWidth="1"/>
    <col min="15625" max="15872" width="9.140625" style="190"/>
    <col min="15873" max="15873" width="4.42578125" style="190" customWidth="1"/>
    <col min="15874" max="15874" width="5.7109375" style="190" customWidth="1"/>
    <col min="15875" max="15875" width="8.42578125" style="190" customWidth="1"/>
    <col min="15876" max="15876" width="6.5703125" style="190" customWidth="1"/>
    <col min="15877" max="15877" width="47.42578125" style="190" customWidth="1"/>
    <col min="15878" max="15878" width="21.42578125" style="190" customWidth="1"/>
    <col min="15879" max="15879" width="9.140625" style="190"/>
    <col min="15880" max="15880" width="12.28515625" style="190" customWidth="1"/>
    <col min="15881" max="16128" width="9.140625" style="190"/>
    <col min="16129" max="16129" width="4.42578125" style="190" customWidth="1"/>
    <col min="16130" max="16130" width="5.7109375" style="190" customWidth="1"/>
    <col min="16131" max="16131" width="8.42578125" style="190" customWidth="1"/>
    <col min="16132" max="16132" width="6.5703125" style="190" customWidth="1"/>
    <col min="16133" max="16133" width="47.42578125" style="190" customWidth="1"/>
    <col min="16134" max="16134" width="21.42578125" style="190" customWidth="1"/>
    <col min="16135" max="16135" width="9.140625" style="190"/>
    <col min="16136" max="16136" width="12.28515625" style="190" customWidth="1"/>
    <col min="16137" max="16384" width="9.140625" style="190"/>
  </cols>
  <sheetData>
    <row r="1" spans="1:8" ht="13.5" customHeight="1" x14ac:dyDescent="0.2">
      <c r="E1" s="172"/>
      <c r="F1" s="196" t="s">
        <v>313</v>
      </c>
    </row>
    <row r="2" spans="1:8" x14ac:dyDescent="0.2">
      <c r="E2" s="172"/>
      <c r="F2" s="3" t="s">
        <v>298</v>
      </c>
    </row>
    <row r="3" spans="1:8" x14ac:dyDescent="0.2">
      <c r="E3" s="172"/>
      <c r="F3" s="3" t="s">
        <v>0</v>
      </c>
    </row>
    <row r="4" spans="1:8" x14ac:dyDescent="0.2">
      <c r="E4" s="172"/>
      <c r="F4" s="3" t="s">
        <v>299</v>
      </c>
    </row>
    <row r="5" spans="1:8" ht="18.75" customHeight="1" x14ac:dyDescent="0.2">
      <c r="E5" s="197"/>
    </row>
    <row r="6" spans="1:8" ht="13.5" customHeight="1" x14ac:dyDescent="0.2">
      <c r="A6" s="198" t="s">
        <v>314</v>
      </c>
      <c r="B6" s="198"/>
      <c r="C6" s="198"/>
      <c r="D6" s="199"/>
      <c r="E6" s="198"/>
      <c r="F6" s="198"/>
    </row>
    <row r="7" spans="1:8" ht="14.25" customHeight="1" x14ac:dyDescent="0.2">
      <c r="A7" s="198" t="s">
        <v>315</v>
      </c>
      <c r="B7" s="198"/>
      <c r="C7" s="198"/>
      <c r="D7" s="199"/>
      <c r="E7" s="198"/>
      <c r="F7" s="198"/>
    </row>
    <row r="8" spans="1:8" ht="17.25" customHeight="1" x14ac:dyDescent="0.2">
      <c r="A8" s="200"/>
      <c r="B8" s="200"/>
      <c r="C8" s="200"/>
      <c r="D8" s="201"/>
      <c r="E8" s="200"/>
      <c r="F8" s="202" t="s">
        <v>1</v>
      </c>
    </row>
    <row r="9" spans="1:8" ht="20.25" customHeight="1" x14ac:dyDescent="0.2">
      <c r="A9" s="203" t="s">
        <v>316</v>
      </c>
      <c r="B9" s="203" t="s">
        <v>303</v>
      </c>
      <c r="C9" s="203" t="s">
        <v>304</v>
      </c>
      <c r="D9" s="204" t="s">
        <v>317</v>
      </c>
      <c r="E9" s="205" t="s">
        <v>318</v>
      </c>
      <c r="F9" s="203" t="s">
        <v>319</v>
      </c>
    </row>
    <row r="10" spans="1:8" s="209" customFormat="1" ht="9.75" customHeight="1" x14ac:dyDescent="0.2">
      <c r="A10" s="206">
        <v>1</v>
      </c>
      <c r="B10" s="206">
        <v>2</v>
      </c>
      <c r="C10" s="206">
        <v>3</v>
      </c>
      <c r="D10" s="207">
        <v>4</v>
      </c>
      <c r="E10" s="208">
        <v>5</v>
      </c>
      <c r="F10" s="206">
        <v>6</v>
      </c>
    </row>
    <row r="11" spans="1:8" ht="17.25" customHeight="1" x14ac:dyDescent="0.2">
      <c r="A11" s="507" t="s">
        <v>320</v>
      </c>
      <c r="B11" s="508"/>
      <c r="C11" s="508"/>
      <c r="D11" s="210"/>
      <c r="E11" s="508"/>
      <c r="F11" s="509"/>
    </row>
    <row r="12" spans="1:8" ht="24" customHeight="1" x14ac:dyDescent="0.2">
      <c r="A12" s="211">
        <v>1</v>
      </c>
      <c r="B12" s="211">
        <v>600</v>
      </c>
      <c r="C12" s="211">
        <v>60095</v>
      </c>
      <c r="D12" s="212">
        <v>6230</v>
      </c>
      <c r="E12" s="213" t="s">
        <v>321</v>
      </c>
      <c r="F12" s="214">
        <v>200000</v>
      </c>
    </row>
    <row r="13" spans="1:8" ht="17.25" customHeight="1" x14ac:dyDescent="0.2">
      <c r="A13" s="211">
        <v>2</v>
      </c>
      <c r="B13" s="211">
        <v>700</v>
      </c>
      <c r="C13" s="211">
        <v>70095</v>
      </c>
      <c r="D13" s="215">
        <v>6230</v>
      </c>
      <c r="E13" s="216" t="s">
        <v>322</v>
      </c>
      <c r="F13" s="217">
        <v>1500000</v>
      </c>
      <c r="G13" s="218"/>
    </row>
    <row r="14" spans="1:8" ht="26.25" customHeight="1" x14ac:dyDescent="0.2">
      <c r="A14" s="219">
        <v>3</v>
      </c>
      <c r="B14" s="219">
        <v>750</v>
      </c>
      <c r="C14" s="219">
        <v>75095</v>
      </c>
      <c r="D14" s="220">
        <v>2820</v>
      </c>
      <c r="E14" s="221" t="s">
        <v>323</v>
      </c>
      <c r="F14" s="222">
        <v>90000</v>
      </c>
      <c r="H14" s="194"/>
    </row>
    <row r="15" spans="1:8" ht="26.25" customHeight="1" x14ac:dyDescent="0.2">
      <c r="A15" s="219">
        <v>4</v>
      </c>
      <c r="B15" s="219">
        <v>750</v>
      </c>
      <c r="C15" s="219">
        <v>75095</v>
      </c>
      <c r="D15" s="223" t="s">
        <v>324</v>
      </c>
      <c r="E15" s="224" t="s">
        <v>325</v>
      </c>
      <c r="F15" s="222">
        <f>20033.52+113523.25</f>
        <v>133556.76999999999</v>
      </c>
      <c r="H15" s="194"/>
    </row>
    <row r="16" spans="1:8" ht="15.75" customHeight="1" x14ac:dyDescent="0.2">
      <c r="A16" s="219">
        <v>5</v>
      </c>
      <c r="B16" s="219">
        <v>755</v>
      </c>
      <c r="C16" s="219">
        <v>75515</v>
      </c>
      <c r="D16" s="220">
        <v>2360</v>
      </c>
      <c r="E16" s="221" t="s">
        <v>326</v>
      </c>
      <c r="F16" s="217">
        <f>128040+128040-128040</f>
        <v>128040</v>
      </c>
      <c r="H16" s="194"/>
    </row>
    <row r="17" spans="1:8" ht="35.25" customHeight="1" x14ac:dyDescent="0.2">
      <c r="A17" s="225">
        <v>6</v>
      </c>
      <c r="B17" s="225">
        <v>801</v>
      </c>
      <c r="C17" s="225">
        <v>80101</v>
      </c>
      <c r="D17" s="226" t="s">
        <v>327</v>
      </c>
      <c r="E17" s="227" t="s">
        <v>136</v>
      </c>
      <c r="F17" s="228">
        <f>1182.91+1343.84+1213.79+1344+1300+1344+1300+1344+114750+1343+642.6-5024.7+1285</f>
        <v>123368.44000000002</v>
      </c>
      <c r="H17" s="194"/>
    </row>
    <row r="18" spans="1:8" ht="22.5" customHeight="1" x14ac:dyDescent="0.2">
      <c r="A18" s="229"/>
      <c r="B18" s="230"/>
      <c r="C18" s="231"/>
      <c r="D18" s="232"/>
      <c r="E18" s="233" t="s">
        <v>328</v>
      </c>
      <c r="F18" s="234"/>
      <c r="H18" s="194"/>
    </row>
    <row r="19" spans="1:8" ht="23.25" customHeight="1" x14ac:dyDescent="0.2">
      <c r="A19" s="235"/>
      <c r="B19" s="236"/>
      <c r="C19" s="237"/>
      <c r="D19" s="238"/>
      <c r="E19" s="239" t="s">
        <v>329</v>
      </c>
      <c r="F19" s="240"/>
      <c r="H19" s="194"/>
    </row>
    <row r="20" spans="1:8" ht="23.25" customHeight="1" x14ac:dyDescent="0.2">
      <c r="A20" s="235"/>
      <c r="B20" s="236"/>
      <c r="C20" s="237"/>
      <c r="D20" s="238"/>
      <c r="E20" s="241" t="s">
        <v>330</v>
      </c>
      <c r="F20" s="240"/>
      <c r="H20" s="194"/>
    </row>
    <row r="21" spans="1:8" ht="17.25" customHeight="1" x14ac:dyDescent="0.2">
      <c r="A21" s="235"/>
      <c r="B21" s="236"/>
      <c r="C21" s="237"/>
      <c r="D21" s="238"/>
      <c r="E21" s="239" t="s">
        <v>331</v>
      </c>
      <c r="F21" s="240"/>
      <c r="H21" s="194"/>
    </row>
    <row r="22" spans="1:8" ht="16.5" customHeight="1" x14ac:dyDescent="0.2">
      <c r="A22" s="235"/>
      <c r="B22" s="236"/>
      <c r="C22" s="237"/>
      <c r="D22" s="238"/>
      <c r="E22" s="239" t="s">
        <v>332</v>
      </c>
      <c r="F22" s="240"/>
      <c r="H22" s="194"/>
    </row>
    <row r="23" spans="1:8" ht="18.75" customHeight="1" x14ac:dyDescent="0.2">
      <c r="A23" s="235"/>
      <c r="B23" s="236"/>
      <c r="C23" s="242"/>
      <c r="D23" s="243"/>
      <c r="E23" s="241" t="s">
        <v>333</v>
      </c>
      <c r="F23" s="244"/>
      <c r="H23" s="194"/>
    </row>
    <row r="24" spans="1:8" ht="34.5" customHeight="1" x14ac:dyDescent="0.2">
      <c r="A24" s="225">
        <v>7</v>
      </c>
      <c r="B24" s="225">
        <v>801</v>
      </c>
      <c r="C24" s="227">
        <v>80104</v>
      </c>
      <c r="D24" s="245" t="s">
        <v>334</v>
      </c>
      <c r="E24" s="227" t="s">
        <v>161</v>
      </c>
      <c r="F24" s="228">
        <f>10372.44+5081.41+5625+5444+5625+5991+5598+112500+6138+4897-2049.3-9504.45+5524</f>
        <v>161242.1</v>
      </c>
      <c r="H24" s="194"/>
    </row>
    <row r="25" spans="1:8" ht="15.75" customHeight="1" x14ac:dyDescent="0.2">
      <c r="A25" s="229"/>
      <c r="B25" s="230"/>
      <c r="C25" s="230"/>
      <c r="D25" s="246"/>
      <c r="E25" s="247" t="s">
        <v>335</v>
      </c>
      <c r="F25" s="234"/>
      <c r="H25" s="194"/>
    </row>
    <row r="26" spans="1:8" ht="15.75" customHeight="1" x14ac:dyDescent="0.2">
      <c r="A26" s="235"/>
      <c r="B26" s="236"/>
      <c r="C26" s="236"/>
      <c r="D26" s="248"/>
      <c r="E26" s="249" t="s">
        <v>336</v>
      </c>
      <c r="F26" s="240"/>
      <c r="H26" s="194"/>
    </row>
    <row r="27" spans="1:8" ht="15.75" customHeight="1" x14ac:dyDescent="0.2">
      <c r="A27" s="235"/>
      <c r="B27" s="236"/>
      <c r="C27" s="236"/>
      <c r="D27" s="248"/>
      <c r="E27" s="250" t="s">
        <v>337</v>
      </c>
      <c r="F27" s="240"/>
      <c r="H27" s="194"/>
    </row>
    <row r="28" spans="1:8" ht="15.75" customHeight="1" x14ac:dyDescent="0.2">
      <c r="A28" s="235"/>
      <c r="B28" s="236"/>
      <c r="C28" s="236"/>
      <c r="D28" s="248"/>
      <c r="E28" s="251" t="s">
        <v>338</v>
      </c>
      <c r="F28" s="240"/>
      <c r="H28" s="194"/>
    </row>
    <row r="29" spans="1:8" ht="15.75" customHeight="1" x14ac:dyDescent="0.2">
      <c r="A29" s="235"/>
      <c r="B29" s="236"/>
      <c r="C29" s="236"/>
      <c r="D29" s="248"/>
      <c r="E29" s="252" t="s">
        <v>339</v>
      </c>
      <c r="F29" s="240"/>
      <c r="H29" s="194"/>
    </row>
    <row r="30" spans="1:8" ht="15.75" customHeight="1" x14ac:dyDescent="0.2">
      <c r="A30" s="235"/>
      <c r="B30" s="236"/>
      <c r="C30" s="236"/>
      <c r="D30" s="248"/>
      <c r="E30" s="253" t="s">
        <v>340</v>
      </c>
      <c r="F30" s="240"/>
      <c r="H30" s="194"/>
    </row>
    <row r="31" spans="1:8" ht="15.75" customHeight="1" x14ac:dyDescent="0.2">
      <c r="A31" s="235"/>
      <c r="B31" s="236"/>
      <c r="C31" s="236"/>
      <c r="D31" s="248"/>
      <c r="E31" s="254" t="s">
        <v>341</v>
      </c>
      <c r="F31" s="240"/>
      <c r="H31" s="194"/>
    </row>
    <row r="32" spans="1:8" ht="15.75" customHeight="1" x14ac:dyDescent="0.2">
      <c r="A32" s="235"/>
      <c r="B32" s="236"/>
      <c r="C32" s="236"/>
      <c r="D32" s="248"/>
      <c r="E32" s="254" t="s">
        <v>342</v>
      </c>
      <c r="F32" s="240"/>
      <c r="H32" s="194"/>
    </row>
    <row r="33" spans="1:8" ht="15.75" customHeight="1" x14ac:dyDescent="0.2">
      <c r="A33" s="235"/>
      <c r="B33" s="236"/>
      <c r="C33" s="236"/>
      <c r="D33" s="248"/>
      <c r="E33" s="254" t="s">
        <v>343</v>
      </c>
      <c r="F33" s="240"/>
      <c r="H33" s="194"/>
    </row>
    <row r="34" spans="1:8" ht="15.75" customHeight="1" x14ac:dyDescent="0.2">
      <c r="A34" s="235"/>
      <c r="B34" s="236"/>
      <c r="C34" s="236"/>
      <c r="D34" s="248"/>
      <c r="E34" s="254" t="s">
        <v>344</v>
      </c>
      <c r="F34" s="240"/>
      <c r="H34" s="194"/>
    </row>
    <row r="35" spans="1:8" ht="15.75" customHeight="1" x14ac:dyDescent="0.2">
      <c r="A35" s="235"/>
      <c r="B35" s="236"/>
      <c r="C35" s="236"/>
      <c r="D35" s="248"/>
      <c r="E35" s="254" t="s">
        <v>345</v>
      </c>
      <c r="F35" s="240"/>
      <c r="H35" s="194"/>
    </row>
    <row r="36" spans="1:8" ht="15.75" customHeight="1" x14ac:dyDescent="0.2">
      <c r="A36" s="235"/>
      <c r="B36" s="236"/>
      <c r="C36" s="236"/>
      <c r="D36" s="248"/>
      <c r="E36" s="254" t="s">
        <v>346</v>
      </c>
      <c r="F36" s="240"/>
      <c r="H36" s="194"/>
    </row>
    <row r="37" spans="1:8" ht="15.75" customHeight="1" x14ac:dyDescent="0.2">
      <c r="A37" s="235"/>
      <c r="B37" s="236"/>
      <c r="C37" s="236"/>
      <c r="D37" s="248"/>
      <c r="E37" s="254" t="s">
        <v>347</v>
      </c>
      <c r="F37" s="240"/>
      <c r="H37" s="194"/>
    </row>
    <row r="38" spans="1:8" ht="15.75" customHeight="1" x14ac:dyDescent="0.2">
      <c r="A38" s="255"/>
      <c r="B38" s="242"/>
      <c r="C38" s="242"/>
      <c r="D38" s="243"/>
      <c r="E38" s="235" t="s">
        <v>348</v>
      </c>
      <c r="F38" s="256"/>
      <c r="H38" s="194"/>
    </row>
    <row r="39" spans="1:8" ht="15.75" customHeight="1" x14ac:dyDescent="0.2">
      <c r="A39" s="257">
        <v>8</v>
      </c>
      <c r="B39" s="257">
        <v>801</v>
      </c>
      <c r="C39" s="227">
        <v>80106</v>
      </c>
      <c r="D39" s="258">
        <v>2830</v>
      </c>
      <c r="E39" s="227" t="s">
        <v>164</v>
      </c>
      <c r="F39" s="259">
        <f>2250-904.05</f>
        <v>1345.95</v>
      </c>
      <c r="H39" s="194"/>
    </row>
    <row r="40" spans="1:8" ht="15.75" customHeight="1" x14ac:dyDescent="0.2">
      <c r="A40" s="260"/>
      <c r="B40" s="261"/>
      <c r="C40" s="262"/>
      <c r="D40" s="215"/>
      <c r="E40" s="227" t="s">
        <v>349</v>
      </c>
      <c r="F40" s="259"/>
      <c r="H40" s="194"/>
    </row>
    <row r="41" spans="1:8" ht="22.15" customHeight="1" x14ac:dyDescent="0.2">
      <c r="A41" s="225">
        <v>9</v>
      </c>
      <c r="B41" s="225">
        <v>801</v>
      </c>
      <c r="C41" s="227">
        <v>80115</v>
      </c>
      <c r="D41" s="263" t="s">
        <v>350</v>
      </c>
      <c r="E41" s="227" t="s">
        <v>168</v>
      </c>
      <c r="F41" s="228">
        <f>41625+899-5284.35+927</f>
        <v>38166.65</v>
      </c>
      <c r="H41" s="194"/>
    </row>
    <row r="42" spans="1:8" ht="22.5" customHeight="1" x14ac:dyDescent="0.2">
      <c r="A42" s="260"/>
      <c r="B42" s="261"/>
      <c r="C42" s="262"/>
      <c r="D42" s="215"/>
      <c r="E42" s="264" t="s">
        <v>351</v>
      </c>
      <c r="F42" s="259"/>
      <c r="H42" s="194"/>
    </row>
    <row r="43" spans="1:8" ht="22.5" customHeight="1" x14ac:dyDescent="0.2">
      <c r="A43" s="225">
        <v>10</v>
      </c>
      <c r="B43" s="225">
        <v>801</v>
      </c>
      <c r="C43" s="227">
        <v>80116</v>
      </c>
      <c r="D43" s="245" t="s">
        <v>352</v>
      </c>
      <c r="E43" s="227" t="s">
        <v>171</v>
      </c>
      <c r="F43" s="228">
        <f>91125-4741.2-71578.35</f>
        <v>14805.449999999997</v>
      </c>
      <c r="H43" s="194"/>
    </row>
    <row r="44" spans="1:8" ht="17.25" customHeight="1" x14ac:dyDescent="0.2">
      <c r="A44" s="229"/>
      <c r="B44" s="230"/>
      <c r="C44" s="231"/>
      <c r="D44" s="265"/>
      <c r="E44" s="266" t="s">
        <v>353</v>
      </c>
      <c r="F44" s="234"/>
      <c r="H44" s="194"/>
    </row>
    <row r="45" spans="1:8" ht="24" customHeight="1" x14ac:dyDescent="0.2">
      <c r="A45" s="235"/>
      <c r="B45" s="236"/>
      <c r="C45" s="237"/>
      <c r="D45" s="267"/>
      <c r="E45" s="239" t="s">
        <v>354</v>
      </c>
      <c r="F45" s="240"/>
      <c r="H45" s="194"/>
    </row>
    <row r="46" spans="1:8" ht="15.75" customHeight="1" x14ac:dyDescent="0.2">
      <c r="A46" s="235"/>
      <c r="B46" s="236"/>
      <c r="C46" s="237"/>
      <c r="D46" s="267"/>
      <c r="E46" s="268" t="s">
        <v>355</v>
      </c>
      <c r="F46" s="240"/>
      <c r="H46" s="194"/>
    </row>
    <row r="47" spans="1:8" ht="18" customHeight="1" x14ac:dyDescent="0.2">
      <c r="A47" s="235"/>
      <c r="B47" s="236"/>
      <c r="C47" s="237"/>
      <c r="D47" s="267"/>
      <c r="E47" s="268" t="s">
        <v>356</v>
      </c>
      <c r="F47" s="240"/>
      <c r="H47" s="194"/>
    </row>
    <row r="48" spans="1:8" ht="17.25" customHeight="1" x14ac:dyDescent="0.2">
      <c r="A48" s="235"/>
      <c r="B48" s="236"/>
      <c r="C48" s="237"/>
      <c r="D48" s="267"/>
      <c r="E48" s="268" t="s">
        <v>357</v>
      </c>
      <c r="F48" s="240"/>
      <c r="H48" s="194"/>
    </row>
    <row r="49" spans="1:8" ht="16.5" customHeight="1" x14ac:dyDescent="0.2">
      <c r="A49" s="235"/>
      <c r="B49" s="236"/>
      <c r="C49" s="237"/>
      <c r="D49" s="267"/>
      <c r="E49" s="268" t="s">
        <v>358</v>
      </c>
      <c r="F49" s="240"/>
      <c r="H49" s="194"/>
    </row>
    <row r="50" spans="1:8" ht="15" customHeight="1" x14ac:dyDescent="0.2">
      <c r="A50" s="235"/>
      <c r="B50" s="236"/>
      <c r="C50" s="237"/>
      <c r="D50" s="267"/>
      <c r="E50" s="268" t="s">
        <v>359</v>
      </c>
      <c r="F50" s="240"/>
      <c r="H50" s="194"/>
    </row>
    <row r="51" spans="1:8" ht="15.75" customHeight="1" x14ac:dyDescent="0.2">
      <c r="A51" s="235"/>
      <c r="B51" s="236"/>
      <c r="C51" s="237"/>
      <c r="D51" s="267"/>
      <c r="E51" s="268" t="s">
        <v>360</v>
      </c>
      <c r="F51" s="240"/>
      <c r="H51" s="194"/>
    </row>
    <row r="52" spans="1:8" ht="16.5" customHeight="1" x14ac:dyDescent="0.2">
      <c r="A52" s="235"/>
      <c r="B52" s="236"/>
      <c r="C52" s="237"/>
      <c r="D52" s="267"/>
      <c r="E52" s="268" t="s">
        <v>361</v>
      </c>
      <c r="F52" s="240"/>
      <c r="H52" s="194"/>
    </row>
    <row r="53" spans="1:8" ht="15" customHeight="1" x14ac:dyDescent="0.2">
      <c r="A53" s="235"/>
      <c r="B53" s="236"/>
      <c r="C53" s="237"/>
      <c r="D53" s="267"/>
      <c r="E53" s="268" t="s">
        <v>362</v>
      </c>
      <c r="F53" s="240"/>
      <c r="H53" s="194"/>
    </row>
    <row r="54" spans="1:8" ht="15.75" customHeight="1" x14ac:dyDescent="0.2">
      <c r="A54" s="255"/>
      <c r="B54" s="242"/>
      <c r="C54" s="269"/>
      <c r="D54" s="245"/>
      <c r="E54" s="270" t="s">
        <v>363</v>
      </c>
      <c r="F54" s="256"/>
      <c r="H54" s="194"/>
    </row>
    <row r="55" spans="1:8" ht="36" customHeight="1" x14ac:dyDescent="0.2">
      <c r="A55" s="225">
        <v>11</v>
      </c>
      <c r="B55" s="225">
        <v>801</v>
      </c>
      <c r="C55" s="227">
        <v>80117</v>
      </c>
      <c r="D55" s="245" t="s">
        <v>334</v>
      </c>
      <c r="E55" s="227" t="s">
        <v>172</v>
      </c>
      <c r="F55" s="228">
        <f>741.67+861+776+10353+828+796-8665+856+13500+854+2404+1767.6-3154.05+2478</f>
        <v>24396.219999999998</v>
      </c>
      <c r="H55" s="194"/>
    </row>
    <row r="56" spans="1:8" ht="15.75" customHeight="1" x14ac:dyDescent="0.2">
      <c r="A56" s="229"/>
      <c r="B56" s="230"/>
      <c r="C56" s="230"/>
      <c r="D56" s="246"/>
      <c r="E56" s="271" t="s">
        <v>364</v>
      </c>
      <c r="F56" s="234"/>
      <c r="H56" s="194"/>
    </row>
    <row r="57" spans="1:8" ht="24" customHeight="1" x14ac:dyDescent="0.2">
      <c r="A57" s="255"/>
      <c r="B57" s="242"/>
      <c r="C57" s="242"/>
      <c r="D57" s="243"/>
      <c r="E57" s="272" t="s">
        <v>365</v>
      </c>
      <c r="F57" s="256"/>
      <c r="H57" s="194"/>
    </row>
    <row r="58" spans="1:8" ht="22.5" customHeight="1" x14ac:dyDescent="0.2">
      <c r="A58" s="225">
        <v>12</v>
      </c>
      <c r="B58" s="225">
        <v>801</v>
      </c>
      <c r="C58" s="227">
        <v>80120</v>
      </c>
      <c r="D58" s="245" t="s">
        <v>366</v>
      </c>
      <c r="E58" s="227" t="s">
        <v>38</v>
      </c>
      <c r="F58" s="228">
        <f>8442.4+10140+9354+859+9992+9982+19497+10331+81000+10316+4204-17740.35+4336</f>
        <v>160713.04999999999</v>
      </c>
      <c r="H58" s="194"/>
    </row>
    <row r="59" spans="1:8" ht="23.25" customHeight="1" x14ac:dyDescent="0.2">
      <c r="A59" s="235"/>
      <c r="B59" s="236"/>
      <c r="C59" s="230"/>
      <c r="D59" s="246"/>
      <c r="E59" s="273" t="s">
        <v>367</v>
      </c>
      <c r="F59" s="240"/>
      <c r="H59" s="194"/>
    </row>
    <row r="60" spans="1:8" ht="33" customHeight="1" x14ac:dyDescent="0.2">
      <c r="A60" s="235"/>
      <c r="B60" s="236"/>
      <c r="C60" s="236"/>
      <c r="D60" s="248"/>
      <c r="E60" s="239" t="s">
        <v>368</v>
      </c>
      <c r="F60" s="240"/>
      <c r="H60" s="194"/>
    </row>
    <row r="61" spans="1:8" ht="15.75" customHeight="1" x14ac:dyDescent="0.2">
      <c r="A61" s="235"/>
      <c r="B61" s="236"/>
      <c r="C61" s="236"/>
      <c r="D61" s="248"/>
      <c r="E61" s="239" t="s">
        <v>369</v>
      </c>
      <c r="F61" s="240"/>
      <c r="H61" s="194"/>
    </row>
    <row r="62" spans="1:8" ht="22.5" customHeight="1" x14ac:dyDescent="0.2">
      <c r="A62" s="235"/>
      <c r="B62" s="236"/>
      <c r="C62" s="236"/>
      <c r="D62" s="248"/>
      <c r="E62" s="239" t="s">
        <v>370</v>
      </c>
      <c r="F62" s="240"/>
      <c r="H62" s="194"/>
    </row>
    <row r="63" spans="1:8" ht="21.75" customHeight="1" x14ac:dyDescent="0.2">
      <c r="A63" s="235"/>
      <c r="B63" s="236"/>
      <c r="C63" s="236"/>
      <c r="D63" s="248"/>
      <c r="E63" s="239" t="s">
        <v>371</v>
      </c>
      <c r="F63" s="240"/>
      <c r="H63" s="194"/>
    </row>
    <row r="64" spans="1:8" ht="15" customHeight="1" x14ac:dyDescent="0.2">
      <c r="A64" s="235"/>
      <c r="B64" s="236"/>
      <c r="C64" s="236"/>
      <c r="D64" s="248"/>
      <c r="E64" s="239" t="s">
        <v>372</v>
      </c>
      <c r="F64" s="240"/>
      <c r="H64" s="194"/>
    </row>
    <row r="65" spans="1:8" ht="14.25" customHeight="1" x14ac:dyDescent="0.2">
      <c r="A65" s="235"/>
      <c r="B65" s="236"/>
      <c r="C65" s="236"/>
      <c r="D65" s="248"/>
      <c r="E65" s="239" t="s">
        <v>373</v>
      </c>
      <c r="F65" s="240"/>
      <c r="H65" s="194"/>
    </row>
    <row r="66" spans="1:8" ht="13.5" customHeight="1" x14ac:dyDescent="0.2">
      <c r="A66" s="235"/>
      <c r="B66" s="236"/>
      <c r="C66" s="236"/>
      <c r="D66" s="248"/>
      <c r="E66" s="239" t="s">
        <v>374</v>
      </c>
      <c r="F66" s="240"/>
      <c r="H66" s="194"/>
    </row>
    <row r="67" spans="1:8" ht="14.25" customHeight="1" x14ac:dyDescent="0.2">
      <c r="A67" s="255"/>
      <c r="B67" s="242"/>
      <c r="C67" s="242"/>
      <c r="D67" s="243"/>
      <c r="E67" s="274" t="s">
        <v>375</v>
      </c>
      <c r="F67" s="256"/>
      <c r="H67" s="194"/>
    </row>
    <row r="68" spans="1:8" ht="46.5" customHeight="1" x14ac:dyDescent="0.2">
      <c r="A68" s="275">
        <v>13</v>
      </c>
      <c r="B68" s="275">
        <v>801</v>
      </c>
      <c r="C68" s="276">
        <v>80149</v>
      </c>
      <c r="D68" s="226">
        <v>2830</v>
      </c>
      <c r="E68" s="277" t="s">
        <v>376</v>
      </c>
      <c r="F68" s="278">
        <f>28125-3897.9</f>
        <v>24227.1</v>
      </c>
      <c r="H68" s="194"/>
    </row>
    <row r="69" spans="1:8" ht="15.75" customHeight="1" x14ac:dyDescent="0.2">
      <c r="A69" s="279"/>
      <c r="B69" s="280"/>
      <c r="C69" s="280"/>
      <c r="D69" s="232"/>
      <c r="E69" s="281" t="s">
        <v>377</v>
      </c>
      <c r="F69" s="282"/>
      <c r="H69" s="194"/>
    </row>
    <row r="70" spans="1:8" ht="15.75" customHeight="1" x14ac:dyDescent="0.2">
      <c r="A70" s="283"/>
      <c r="B70" s="284"/>
      <c r="C70" s="284"/>
      <c r="D70" s="238"/>
      <c r="E70" s="285" t="s">
        <v>378</v>
      </c>
      <c r="F70" s="286"/>
      <c r="H70" s="194"/>
    </row>
    <row r="71" spans="1:8" ht="15" customHeight="1" x14ac:dyDescent="0.2">
      <c r="A71" s="287"/>
      <c r="B71" s="288"/>
      <c r="C71" s="288"/>
      <c r="D71" s="226"/>
      <c r="E71" s="289" t="s">
        <v>379</v>
      </c>
      <c r="F71" s="290"/>
      <c r="H71" s="194"/>
    </row>
    <row r="72" spans="1:8" ht="48" customHeight="1" x14ac:dyDescent="0.2">
      <c r="A72" s="275">
        <v>14</v>
      </c>
      <c r="B72" s="275">
        <v>801</v>
      </c>
      <c r="C72" s="276">
        <v>80153</v>
      </c>
      <c r="D72" s="226" t="s">
        <v>380</v>
      </c>
      <c r="E72" s="277" t="s">
        <v>381</v>
      </c>
      <c r="F72" s="278">
        <f>85604.57+27.23+27.23-27.23+7554.28-2138.44+179.69-27.23</f>
        <v>91200.1</v>
      </c>
      <c r="H72" s="194"/>
    </row>
    <row r="73" spans="1:8" ht="12.75" customHeight="1" x14ac:dyDescent="0.2">
      <c r="A73" s="291"/>
      <c r="B73" s="292"/>
      <c r="C73" s="292"/>
      <c r="D73" s="293"/>
      <c r="E73" s="294" t="s">
        <v>382</v>
      </c>
      <c r="F73" s="295"/>
      <c r="H73" s="194"/>
    </row>
    <row r="74" spans="1:8" ht="12.75" customHeight="1" x14ac:dyDescent="0.2">
      <c r="A74" s="296"/>
      <c r="B74" s="297"/>
      <c r="C74" s="297"/>
      <c r="D74" s="298"/>
      <c r="E74" s="299" t="s">
        <v>331</v>
      </c>
      <c r="F74" s="300"/>
      <c r="H74" s="194"/>
    </row>
    <row r="75" spans="1:8" ht="12.75" customHeight="1" x14ac:dyDescent="0.2">
      <c r="A75" s="296"/>
      <c r="B75" s="297"/>
      <c r="C75" s="297"/>
      <c r="D75" s="298"/>
      <c r="E75" s="301" t="s">
        <v>383</v>
      </c>
      <c r="F75" s="302"/>
      <c r="H75" s="194"/>
    </row>
    <row r="76" spans="1:8" ht="24.75" customHeight="1" x14ac:dyDescent="0.2">
      <c r="A76" s="296"/>
      <c r="B76" s="297"/>
      <c r="C76" s="297"/>
      <c r="D76" s="298"/>
      <c r="E76" s="301" t="s">
        <v>384</v>
      </c>
      <c r="F76" s="302"/>
      <c r="H76" s="194"/>
    </row>
    <row r="77" spans="1:8" ht="12.75" customHeight="1" x14ac:dyDescent="0.2">
      <c r="A77" s="303"/>
      <c r="B77" s="304"/>
      <c r="C77" s="304"/>
      <c r="D77" s="305"/>
      <c r="E77" s="306" t="s">
        <v>385</v>
      </c>
      <c r="F77" s="307"/>
      <c r="H77" s="194"/>
    </row>
    <row r="78" spans="1:8" ht="36" customHeight="1" x14ac:dyDescent="0.2">
      <c r="A78" s="308">
        <v>15</v>
      </c>
      <c r="B78" s="308">
        <v>801</v>
      </c>
      <c r="C78" s="309">
        <v>80195</v>
      </c>
      <c r="D78" s="243">
        <v>2827</v>
      </c>
      <c r="E78" s="310" t="s">
        <v>386</v>
      </c>
      <c r="F78" s="222">
        <f>14126-4851.46+30717+265865.03-48827.21+120444.72</f>
        <v>377474.08</v>
      </c>
      <c r="H78" s="194"/>
    </row>
    <row r="79" spans="1:8" ht="15" customHeight="1" x14ac:dyDescent="0.2">
      <c r="A79" s="219">
        <v>16</v>
      </c>
      <c r="B79" s="219">
        <v>851</v>
      </c>
      <c r="C79" s="311">
        <v>85153</v>
      </c>
      <c r="D79" s="243">
        <v>2360</v>
      </c>
      <c r="E79" s="309" t="s">
        <v>387</v>
      </c>
      <c r="F79" s="312">
        <f>60000+60000-60000</f>
        <v>60000</v>
      </c>
      <c r="H79" s="194"/>
    </row>
    <row r="80" spans="1:8" ht="36" customHeight="1" x14ac:dyDescent="0.2">
      <c r="A80" s="211">
        <v>17</v>
      </c>
      <c r="B80" s="211">
        <v>851</v>
      </c>
      <c r="C80" s="313">
        <v>85154</v>
      </c>
      <c r="D80" s="258">
        <v>2360</v>
      </c>
      <c r="E80" s="221" t="s">
        <v>388</v>
      </c>
      <c r="F80" s="222">
        <f>500000+40000+40000+540000-540000</f>
        <v>580000</v>
      </c>
    </row>
    <row r="81" spans="1:6" ht="24.75" customHeight="1" x14ac:dyDescent="0.2">
      <c r="A81" s="219">
        <v>18</v>
      </c>
      <c r="B81" s="219">
        <v>851</v>
      </c>
      <c r="C81" s="314">
        <v>85195</v>
      </c>
      <c r="D81" s="220">
        <v>2360</v>
      </c>
      <c r="E81" s="221" t="s">
        <v>389</v>
      </c>
      <c r="F81" s="222">
        <f>67500+67500-67500</f>
        <v>67500</v>
      </c>
    </row>
    <row r="82" spans="1:6" ht="24.75" customHeight="1" x14ac:dyDescent="0.2">
      <c r="A82" s="315">
        <v>19</v>
      </c>
      <c r="B82" s="316">
        <v>852</v>
      </c>
      <c r="C82" s="317">
        <v>85228</v>
      </c>
      <c r="D82" s="246">
        <v>2360</v>
      </c>
      <c r="E82" s="318" t="s">
        <v>390</v>
      </c>
      <c r="F82" s="222">
        <f>F83+F84</f>
        <v>10792595</v>
      </c>
    </row>
    <row r="83" spans="1:6" ht="13.5" customHeight="1" x14ac:dyDescent="0.2">
      <c r="A83" s="319" t="s">
        <v>391</v>
      </c>
      <c r="B83" s="316"/>
      <c r="C83" s="317"/>
      <c r="D83" s="246"/>
      <c r="E83" s="318" t="s">
        <v>392</v>
      </c>
      <c r="F83" s="320">
        <f>7600000-413770+7186230-7186230</f>
        <v>7186230</v>
      </c>
    </row>
    <row r="84" spans="1:6" ht="13.5" customHeight="1" x14ac:dyDescent="0.2">
      <c r="A84" s="319" t="s">
        <v>393</v>
      </c>
      <c r="B84" s="316"/>
      <c r="C84" s="317"/>
      <c r="D84" s="246"/>
      <c r="E84" s="318" t="s">
        <v>394</v>
      </c>
      <c r="F84" s="320">
        <f>2880500+2880500-2880500+273545+452320</f>
        <v>3606365</v>
      </c>
    </row>
    <row r="85" spans="1:6" ht="25.5" customHeight="1" x14ac:dyDescent="0.2">
      <c r="A85" s="211">
        <v>20</v>
      </c>
      <c r="B85" s="211">
        <v>852</v>
      </c>
      <c r="C85" s="313">
        <v>85295</v>
      </c>
      <c r="D85" s="215">
        <v>2360</v>
      </c>
      <c r="E85" s="221" t="s">
        <v>395</v>
      </c>
      <c r="F85" s="222">
        <f>1742700+187270+1929970-1929970</f>
        <v>1929970</v>
      </c>
    </row>
    <row r="86" spans="1:6" ht="26.25" customHeight="1" x14ac:dyDescent="0.2">
      <c r="A86" s="211">
        <v>21</v>
      </c>
      <c r="B86" s="211">
        <v>852</v>
      </c>
      <c r="C86" s="313">
        <v>85295</v>
      </c>
      <c r="D86" s="215">
        <v>2827</v>
      </c>
      <c r="E86" s="221" t="s">
        <v>396</v>
      </c>
      <c r="F86" s="222">
        <f>115543.68+289564.4</f>
        <v>405108.08</v>
      </c>
    </row>
    <row r="87" spans="1:6" ht="26.25" customHeight="1" x14ac:dyDescent="0.2">
      <c r="A87" s="211">
        <v>22</v>
      </c>
      <c r="B87" s="211">
        <v>853</v>
      </c>
      <c r="C87" s="313">
        <v>85395</v>
      </c>
      <c r="D87" s="215">
        <v>2360</v>
      </c>
      <c r="E87" s="221" t="s">
        <v>397</v>
      </c>
      <c r="F87" s="222">
        <f>20000+20000-20000</f>
        <v>20000</v>
      </c>
    </row>
    <row r="88" spans="1:6" ht="34.5" customHeight="1" x14ac:dyDescent="0.2">
      <c r="A88" s="219">
        <v>23</v>
      </c>
      <c r="B88" s="219">
        <v>853</v>
      </c>
      <c r="C88" s="311">
        <v>85395</v>
      </c>
      <c r="D88" s="223" t="s">
        <v>324</v>
      </c>
      <c r="E88" s="224" t="s">
        <v>325</v>
      </c>
      <c r="F88" s="222">
        <f>27806.52+157570.3+35322.49+200160.75</f>
        <v>420860.05999999994</v>
      </c>
    </row>
    <row r="89" spans="1:6" ht="18" customHeight="1" x14ac:dyDescent="0.2">
      <c r="A89" s="211">
        <v>24</v>
      </c>
      <c r="B89" s="211">
        <v>854</v>
      </c>
      <c r="C89" s="313">
        <v>85402</v>
      </c>
      <c r="D89" s="321">
        <v>2830</v>
      </c>
      <c r="E89" s="322" t="s">
        <v>398</v>
      </c>
      <c r="F89" s="222">
        <f>6750-1366.2</f>
        <v>5383.8</v>
      </c>
    </row>
    <row r="90" spans="1:6" ht="15" customHeight="1" x14ac:dyDescent="0.2">
      <c r="A90" s="311"/>
      <c r="B90" s="314"/>
      <c r="C90" s="314"/>
      <c r="D90" s="223"/>
      <c r="E90" s="224" t="s">
        <v>399</v>
      </c>
      <c r="F90" s="222"/>
    </row>
    <row r="91" spans="1:6" ht="26.25" customHeight="1" x14ac:dyDescent="0.2">
      <c r="A91" s="219">
        <v>25</v>
      </c>
      <c r="B91" s="219">
        <v>854</v>
      </c>
      <c r="C91" s="311">
        <v>85406</v>
      </c>
      <c r="D91" s="223">
        <v>2830</v>
      </c>
      <c r="E91" s="224" t="s">
        <v>400</v>
      </c>
      <c r="F91" s="222">
        <f>5625-2933.1</f>
        <v>2691.9</v>
      </c>
    </row>
    <row r="92" spans="1:6" ht="15" customHeight="1" x14ac:dyDescent="0.2">
      <c r="A92" s="311"/>
      <c r="B92" s="314"/>
      <c r="C92" s="314"/>
      <c r="D92" s="223"/>
      <c r="E92" s="224" t="s">
        <v>401</v>
      </c>
      <c r="F92" s="222"/>
    </row>
    <row r="93" spans="1:6" ht="18.75" customHeight="1" x14ac:dyDescent="0.2">
      <c r="A93" s="219">
        <v>26</v>
      </c>
      <c r="B93" s="219">
        <v>854</v>
      </c>
      <c r="C93" s="311">
        <v>85410</v>
      </c>
      <c r="D93" s="223">
        <v>2830</v>
      </c>
      <c r="E93" s="224" t="s">
        <v>240</v>
      </c>
      <c r="F93" s="222">
        <f>12375-4299.3</f>
        <v>8075.7</v>
      </c>
    </row>
    <row r="94" spans="1:6" ht="14.25" customHeight="1" x14ac:dyDescent="0.2">
      <c r="A94" s="311"/>
      <c r="B94" s="314"/>
      <c r="C94" s="314"/>
      <c r="D94" s="223"/>
      <c r="E94" s="323" t="s">
        <v>402</v>
      </c>
      <c r="F94" s="222"/>
    </row>
    <row r="95" spans="1:6" ht="15.75" customHeight="1" x14ac:dyDescent="0.2">
      <c r="A95" s="324">
        <v>27</v>
      </c>
      <c r="B95" s="324">
        <v>855</v>
      </c>
      <c r="C95" s="324">
        <v>85510</v>
      </c>
      <c r="D95" s="325">
        <v>2360</v>
      </c>
      <c r="E95" s="318" t="s">
        <v>60</v>
      </c>
      <c r="F95" s="217">
        <f>2508000+243500+2751500-2751500-31399-0.95</f>
        <v>2720100.05</v>
      </c>
    </row>
    <row r="96" spans="1:6" ht="22.5" customHeight="1" x14ac:dyDescent="0.2">
      <c r="A96" s="219">
        <v>28</v>
      </c>
      <c r="B96" s="219">
        <v>900</v>
      </c>
      <c r="C96" s="219">
        <v>90005</v>
      </c>
      <c r="D96" s="220">
        <v>6230</v>
      </c>
      <c r="E96" s="221" t="s">
        <v>403</v>
      </c>
      <c r="F96" s="217">
        <f>F97+F98</f>
        <v>600000</v>
      </c>
    </row>
    <row r="97" spans="1:8" ht="15" customHeight="1" x14ac:dyDescent="0.2">
      <c r="A97" s="326" t="s">
        <v>404</v>
      </c>
      <c r="B97" s="219"/>
      <c r="C97" s="219"/>
      <c r="D97" s="220"/>
      <c r="E97" s="327" t="s">
        <v>405</v>
      </c>
      <c r="F97" s="328">
        <v>300000</v>
      </c>
    </row>
    <row r="98" spans="1:8" ht="13.5" customHeight="1" x14ac:dyDescent="0.2">
      <c r="A98" s="326" t="s">
        <v>406</v>
      </c>
      <c r="B98" s="219"/>
      <c r="C98" s="219"/>
      <c r="D98" s="220"/>
      <c r="E98" s="327" t="s">
        <v>407</v>
      </c>
      <c r="F98" s="328">
        <v>300000</v>
      </c>
    </row>
    <row r="99" spans="1:8" ht="15.75" customHeight="1" x14ac:dyDescent="0.2">
      <c r="A99" s="324">
        <v>29</v>
      </c>
      <c r="B99" s="324">
        <v>921</v>
      </c>
      <c r="C99" s="324">
        <v>92120</v>
      </c>
      <c r="D99" s="325">
        <v>2720</v>
      </c>
      <c r="E99" s="329" t="s">
        <v>408</v>
      </c>
      <c r="F99" s="217">
        <v>600000</v>
      </c>
    </row>
    <row r="100" spans="1:8" ht="36.75" customHeight="1" x14ac:dyDescent="0.2">
      <c r="A100" s="219">
        <v>30</v>
      </c>
      <c r="B100" s="219">
        <v>921</v>
      </c>
      <c r="C100" s="219">
        <v>92195</v>
      </c>
      <c r="D100" s="223">
        <v>2360</v>
      </c>
      <c r="E100" s="221" t="s">
        <v>409</v>
      </c>
      <c r="F100" s="330">
        <f>222000+222000-87000-135000</f>
        <v>222000</v>
      </c>
    </row>
    <row r="101" spans="1:8" ht="35.25" customHeight="1" x14ac:dyDescent="0.2">
      <c r="A101" s="219">
        <v>31</v>
      </c>
      <c r="B101" s="219">
        <v>921</v>
      </c>
      <c r="C101" s="219">
        <v>92195</v>
      </c>
      <c r="D101" s="223" t="s">
        <v>324</v>
      </c>
      <c r="E101" s="224" t="s">
        <v>410</v>
      </c>
      <c r="F101" s="222">
        <f>48080.44+272455.82</f>
        <v>320536.26</v>
      </c>
    </row>
    <row r="102" spans="1:8" ht="18" customHeight="1" x14ac:dyDescent="0.2">
      <c r="A102" s="211">
        <v>32</v>
      </c>
      <c r="B102" s="211">
        <v>926</v>
      </c>
      <c r="C102" s="211">
        <v>92605</v>
      </c>
      <c r="D102" s="321">
        <v>2360</v>
      </c>
      <c r="E102" s="331" t="s">
        <v>411</v>
      </c>
      <c r="F102" s="222">
        <f>1936300+200000+2200-2200+300000-25000-1411300-1000000+2436300</f>
        <v>2436300</v>
      </c>
    </row>
    <row r="103" spans="1:8" ht="47.25" customHeight="1" x14ac:dyDescent="0.2">
      <c r="A103" s="311">
        <v>33</v>
      </c>
      <c r="B103" s="219">
        <v>926</v>
      </c>
      <c r="C103" s="219">
        <v>92605</v>
      </c>
      <c r="D103" s="223" t="s">
        <v>412</v>
      </c>
      <c r="E103" s="322" t="s">
        <v>413</v>
      </c>
      <c r="F103" s="222">
        <f>16026.81+90818.61+8013.4+45409.31-8013.4-45409.31</f>
        <v>106845.42000000001</v>
      </c>
    </row>
    <row r="104" spans="1:8" ht="15" customHeight="1" x14ac:dyDescent="0.2">
      <c r="A104" s="510"/>
      <c r="B104" s="511"/>
      <c r="C104" s="511"/>
      <c r="D104" s="210"/>
      <c r="E104" s="511" t="s">
        <v>414</v>
      </c>
      <c r="F104" s="512">
        <f>F103+F102+F101+F100+F99+F96+F95+F93+F91+F89+F88+F87+F86+F85+F82+F81+F80+F79+F72+F68+F58+F55+F43+F41+F39+F24+F17+F78+F16+F15+F14+F13+F12</f>
        <v>24366502.18</v>
      </c>
      <c r="H104" s="194"/>
    </row>
    <row r="105" spans="1:8" ht="17.25" customHeight="1" x14ac:dyDescent="0.2">
      <c r="A105" s="507" t="s">
        <v>415</v>
      </c>
      <c r="B105" s="508"/>
      <c r="C105" s="508"/>
      <c r="D105" s="210"/>
      <c r="E105" s="508"/>
      <c r="F105" s="509"/>
    </row>
    <row r="106" spans="1:8" ht="17.25" customHeight="1" x14ac:dyDescent="0.2">
      <c r="A106" s="203" t="s">
        <v>316</v>
      </c>
      <c r="B106" s="203" t="s">
        <v>303</v>
      </c>
      <c r="C106" s="203" t="s">
        <v>304</v>
      </c>
      <c r="D106" s="220"/>
      <c r="E106" s="332" t="s">
        <v>416</v>
      </c>
      <c r="F106" s="203" t="s">
        <v>319</v>
      </c>
    </row>
    <row r="107" spans="1:8" ht="24" customHeight="1" x14ac:dyDescent="0.2">
      <c r="A107" s="219">
        <v>1</v>
      </c>
      <c r="B107" s="219">
        <v>801</v>
      </c>
      <c r="C107" s="219">
        <v>80101</v>
      </c>
      <c r="D107" s="321" t="s">
        <v>417</v>
      </c>
      <c r="E107" s="314" t="s">
        <v>136</v>
      </c>
      <c r="F107" s="222">
        <f>2602394+5833078+110000+170000+370000+550000+71578.35-50000</f>
        <v>9657050.3499999996</v>
      </c>
    </row>
    <row r="108" spans="1:8" ht="15.75" customHeight="1" x14ac:dyDescent="0.2">
      <c r="A108" s="333"/>
      <c r="B108" s="334"/>
      <c r="C108" s="335"/>
      <c r="D108" s="246"/>
      <c r="E108" s="336" t="s">
        <v>418</v>
      </c>
      <c r="F108" s="337"/>
    </row>
    <row r="109" spans="1:8" ht="12.75" customHeight="1" x14ac:dyDescent="0.2">
      <c r="A109" s="338"/>
      <c r="B109" s="339"/>
      <c r="C109" s="340"/>
      <c r="D109" s="248"/>
      <c r="E109" s="341" t="s">
        <v>333</v>
      </c>
      <c r="F109" s="342"/>
      <c r="G109" s="343"/>
    </row>
    <row r="110" spans="1:8" ht="24" customHeight="1" x14ac:dyDescent="0.2">
      <c r="A110" s="344"/>
      <c r="B110" s="323"/>
      <c r="C110" s="345"/>
      <c r="D110" s="243"/>
      <c r="E110" s="346" t="s">
        <v>419</v>
      </c>
      <c r="F110" s="347"/>
    </row>
    <row r="111" spans="1:8" ht="27" customHeight="1" x14ac:dyDescent="0.2">
      <c r="A111" s="338"/>
      <c r="B111" s="339"/>
      <c r="C111" s="340"/>
      <c r="D111" s="248"/>
      <c r="E111" s="348" t="s">
        <v>420</v>
      </c>
      <c r="F111" s="349"/>
    </row>
    <row r="112" spans="1:8" ht="14.25" customHeight="1" x14ac:dyDescent="0.2">
      <c r="A112" s="338"/>
      <c r="B112" s="339"/>
      <c r="C112" s="340"/>
      <c r="D112" s="248"/>
      <c r="E112" s="350" t="s">
        <v>331</v>
      </c>
      <c r="F112" s="342"/>
    </row>
    <row r="113" spans="1:6" ht="24" customHeight="1" x14ac:dyDescent="0.2">
      <c r="A113" s="344"/>
      <c r="B113" s="323"/>
      <c r="C113" s="345"/>
      <c r="D113" s="243"/>
      <c r="E113" s="351" t="s">
        <v>384</v>
      </c>
      <c r="F113" s="312"/>
    </row>
    <row r="114" spans="1:6" ht="15" customHeight="1" x14ac:dyDescent="0.2">
      <c r="A114" s="324">
        <v>2</v>
      </c>
      <c r="B114" s="324">
        <v>801</v>
      </c>
      <c r="C114" s="324">
        <v>80103</v>
      </c>
      <c r="D114" s="325">
        <v>2540</v>
      </c>
      <c r="E114" s="352" t="s">
        <v>160</v>
      </c>
      <c r="F114" s="217">
        <f>152496+20000</f>
        <v>172496</v>
      </c>
    </row>
    <row r="115" spans="1:6" ht="27" customHeight="1" x14ac:dyDescent="0.2">
      <c r="A115" s="338"/>
      <c r="B115" s="339"/>
      <c r="C115" s="340"/>
      <c r="D115" s="248"/>
      <c r="E115" s="353" t="s">
        <v>419</v>
      </c>
      <c r="F115" s="337"/>
    </row>
    <row r="116" spans="1:6" ht="15" customHeight="1" x14ac:dyDescent="0.2">
      <c r="A116" s="344"/>
      <c r="B116" s="323"/>
      <c r="C116" s="345"/>
      <c r="D116" s="243"/>
      <c r="E116" s="323" t="s">
        <v>331</v>
      </c>
      <c r="F116" s="312"/>
    </row>
    <row r="117" spans="1:6" ht="26.25" customHeight="1" x14ac:dyDescent="0.2">
      <c r="A117" s="219">
        <v>3</v>
      </c>
      <c r="B117" s="219">
        <v>801</v>
      </c>
      <c r="C117" s="219">
        <v>80104</v>
      </c>
      <c r="D117" s="223" t="s">
        <v>417</v>
      </c>
      <c r="E117" s="314" t="s">
        <v>161</v>
      </c>
      <c r="F117" s="330">
        <f>7360256+2051055-50000-353000+50000+1100000+500000+14000+60000+1150000+397000</f>
        <v>12279311</v>
      </c>
    </row>
    <row r="118" spans="1:6" ht="15.2" customHeight="1" x14ac:dyDescent="0.2">
      <c r="A118" s="333"/>
      <c r="B118" s="334"/>
      <c r="C118" s="335"/>
      <c r="D118" s="246"/>
      <c r="E118" s="336" t="s">
        <v>337</v>
      </c>
      <c r="F118" s="337"/>
    </row>
    <row r="119" spans="1:6" ht="15.2" customHeight="1" x14ac:dyDescent="0.2">
      <c r="A119" s="338"/>
      <c r="B119" s="339"/>
      <c r="C119" s="340"/>
      <c r="D119" s="248"/>
      <c r="E119" s="354" t="s">
        <v>335</v>
      </c>
      <c r="F119" s="342"/>
    </row>
    <row r="120" spans="1:6" ht="15.2" customHeight="1" x14ac:dyDescent="0.2">
      <c r="A120" s="338"/>
      <c r="B120" s="339"/>
      <c r="C120" s="340"/>
      <c r="D120" s="248"/>
      <c r="E120" s="355" t="s">
        <v>336</v>
      </c>
      <c r="F120" s="342"/>
    </row>
    <row r="121" spans="1:6" ht="23.25" customHeight="1" x14ac:dyDescent="0.2">
      <c r="A121" s="338"/>
      <c r="B121" s="339"/>
      <c r="C121" s="340"/>
      <c r="D121" s="356"/>
      <c r="E121" s="357" t="s">
        <v>421</v>
      </c>
      <c r="F121" s="349"/>
    </row>
    <row r="122" spans="1:6" ht="15.2" customHeight="1" x14ac:dyDescent="0.2">
      <c r="A122" s="338"/>
      <c r="B122" s="339"/>
      <c r="C122" s="340"/>
      <c r="D122" s="248"/>
      <c r="E122" s="354" t="s">
        <v>346</v>
      </c>
      <c r="F122" s="342"/>
    </row>
    <row r="123" spans="1:6" ht="15.2" customHeight="1" x14ac:dyDescent="0.2">
      <c r="A123" s="338"/>
      <c r="B123" s="339"/>
      <c r="C123" s="340"/>
      <c r="D123" s="248"/>
      <c r="E123" s="358" t="s">
        <v>342</v>
      </c>
      <c r="F123" s="342"/>
    </row>
    <row r="124" spans="1:6" ht="15.2" customHeight="1" x14ac:dyDescent="0.2">
      <c r="A124" s="338"/>
      <c r="B124" s="339"/>
      <c r="C124" s="340"/>
      <c r="D124" s="248"/>
      <c r="E124" s="358" t="s">
        <v>422</v>
      </c>
      <c r="F124" s="342"/>
    </row>
    <row r="125" spans="1:6" ht="15.2" customHeight="1" x14ac:dyDescent="0.2">
      <c r="A125" s="338"/>
      <c r="B125" s="339"/>
      <c r="C125" s="340"/>
      <c r="D125" s="248"/>
      <c r="E125" s="354" t="s">
        <v>339</v>
      </c>
      <c r="F125" s="342"/>
    </row>
    <row r="126" spans="1:6" ht="15.2" customHeight="1" x14ac:dyDescent="0.2">
      <c r="A126" s="338"/>
      <c r="B126" s="339"/>
      <c r="C126" s="340"/>
      <c r="D126" s="248"/>
      <c r="E126" s="354" t="s">
        <v>344</v>
      </c>
      <c r="F126" s="342"/>
    </row>
    <row r="127" spans="1:6" ht="15.2" customHeight="1" x14ac:dyDescent="0.2">
      <c r="A127" s="338"/>
      <c r="B127" s="339"/>
      <c r="C127" s="340"/>
      <c r="D127" s="248"/>
      <c r="E127" s="358" t="s">
        <v>423</v>
      </c>
      <c r="F127" s="342"/>
    </row>
    <row r="128" spans="1:6" ht="15.2" customHeight="1" x14ac:dyDescent="0.2">
      <c r="A128" s="338"/>
      <c r="B128" s="339"/>
      <c r="C128" s="340"/>
      <c r="D128" s="248"/>
      <c r="E128" s="359" t="s">
        <v>338</v>
      </c>
      <c r="F128" s="342"/>
    </row>
    <row r="129" spans="1:6" ht="15.2" customHeight="1" x14ac:dyDescent="0.2">
      <c r="A129" s="338"/>
      <c r="B129" s="339"/>
      <c r="C129" s="340"/>
      <c r="D129" s="248"/>
      <c r="E129" s="360" t="s">
        <v>340</v>
      </c>
      <c r="F129" s="349"/>
    </row>
    <row r="130" spans="1:6" ht="15.2" customHeight="1" x14ac:dyDescent="0.2">
      <c r="A130" s="338"/>
      <c r="B130" s="339"/>
      <c r="C130" s="340"/>
      <c r="D130" s="248"/>
      <c r="E130" s="350" t="s">
        <v>424</v>
      </c>
      <c r="F130" s="342"/>
    </row>
    <row r="131" spans="1:6" ht="15.2" customHeight="1" x14ac:dyDescent="0.2">
      <c r="A131" s="338"/>
      <c r="B131" s="339"/>
      <c r="C131" s="340"/>
      <c r="D131" s="248"/>
      <c r="E131" s="350" t="s">
        <v>425</v>
      </c>
      <c r="F131" s="342"/>
    </row>
    <row r="132" spans="1:6" ht="15.2" customHeight="1" x14ac:dyDescent="0.2">
      <c r="A132" s="344"/>
      <c r="B132" s="323"/>
      <c r="C132" s="345"/>
      <c r="D132" s="243"/>
      <c r="E132" s="361" t="s">
        <v>348</v>
      </c>
      <c r="F132" s="312"/>
    </row>
    <row r="133" spans="1:6" ht="17.25" customHeight="1" x14ac:dyDescent="0.2">
      <c r="A133" s="219">
        <v>4</v>
      </c>
      <c r="B133" s="219">
        <v>801</v>
      </c>
      <c r="C133" s="219">
        <v>80106</v>
      </c>
      <c r="D133" s="220">
        <v>2540</v>
      </c>
      <c r="E133" s="362" t="s">
        <v>426</v>
      </c>
      <c r="F133" s="222">
        <f>70572+23000+2355.7+10000+4500</f>
        <v>110427.7</v>
      </c>
    </row>
    <row r="134" spans="1:6" ht="16.5" customHeight="1" x14ac:dyDescent="0.2">
      <c r="A134" s="338"/>
      <c r="B134" s="339"/>
      <c r="C134" s="340"/>
      <c r="D134" s="246"/>
      <c r="E134" s="363" t="s">
        <v>349</v>
      </c>
      <c r="F134" s="364"/>
    </row>
    <row r="135" spans="1:6" ht="13.5" customHeight="1" x14ac:dyDescent="0.2">
      <c r="A135" s="324">
        <v>5</v>
      </c>
      <c r="B135" s="324">
        <v>801</v>
      </c>
      <c r="C135" s="324">
        <v>80115</v>
      </c>
      <c r="D135" s="220">
        <v>2540</v>
      </c>
      <c r="E135" s="352" t="s">
        <v>168</v>
      </c>
      <c r="F135" s="217">
        <f>2702384+40000+550000</f>
        <v>3292384</v>
      </c>
    </row>
    <row r="136" spans="1:6" ht="28.5" customHeight="1" x14ac:dyDescent="0.2">
      <c r="A136" s="329"/>
      <c r="B136" s="352"/>
      <c r="C136" s="365"/>
      <c r="D136" s="220"/>
      <c r="E136" s="366" t="s">
        <v>427</v>
      </c>
      <c r="F136" s="217"/>
    </row>
    <row r="137" spans="1:6" ht="13.5" customHeight="1" x14ac:dyDescent="0.2">
      <c r="A137" s="324">
        <v>6</v>
      </c>
      <c r="B137" s="324">
        <v>801</v>
      </c>
      <c r="C137" s="324">
        <v>80116</v>
      </c>
      <c r="D137" s="220">
        <v>2540</v>
      </c>
      <c r="E137" s="352" t="s">
        <v>171</v>
      </c>
      <c r="F137" s="217">
        <f>5194583+1457000-200000</f>
        <v>6451583</v>
      </c>
    </row>
    <row r="138" spans="1:6" ht="15" customHeight="1" x14ac:dyDescent="0.2">
      <c r="A138" s="333"/>
      <c r="B138" s="334"/>
      <c r="C138" s="335"/>
      <c r="D138" s="246"/>
      <c r="E138" s="367" t="s">
        <v>428</v>
      </c>
      <c r="F138" s="337"/>
    </row>
    <row r="139" spans="1:6" ht="25.5" customHeight="1" x14ac:dyDescent="0.2">
      <c r="A139" s="338"/>
      <c r="B139" s="339"/>
      <c r="C139" s="340"/>
      <c r="D139" s="248"/>
      <c r="E139" s="341" t="s">
        <v>429</v>
      </c>
      <c r="F139" s="342"/>
    </row>
    <row r="140" spans="1:6" ht="13.5" customHeight="1" x14ac:dyDescent="0.2">
      <c r="A140" s="338"/>
      <c r="B140" s="339"/>
      <c r="C140" s="340"/>
      <c r="D140" s="248"/>
      <c r="E140" s="350" t="s">
        <v>430</v>
      </c>
      <c r="F140" s="342"/>
    </row>
    <row r="141" spans="1:6" ht="25.5" customHeight="1" x14ac:dyDescent="0.2">
      <c r="A141" s="338"/>
      <c r="B141" s="339"/>
      <c r="C141" s="340"/>
      <c r="D141" s="248"/>
      <c r="E141" s="368" t="s">
        <v>431</v>
      </c>
      <c r="F141" s="349"/>
    </row>
    <row r="142" spans="1:6" ht="27.75" customHeight="1" x14ac:dyDescent="0.2">
      <c r="A142" s="338"/>
      <c r="B142" s="339"/>
      <c r="C142" s="340"/>
      <c r="D142" s="248"/>
      <c r="E142" s="341" t="s">
        <v>432</v>
      </c>
      <c r="F142" s="342"/>
    </row>
    <row r="143" spans="1:6" ht="15.75" customHeight="1" x14ac:dyDescent="0.2">
      <c r="A143" s="338"/>
      <c r="B143" s="339"/>
      <c r="C143" s="340"/>
      <c r="D143" s="248"/>
      <c r="E143" s="350" t="s">
        <v>433</v>
      </c>
      <c r="F143" s="342"/>
    </row>
    <row r="144" spans="1:6" ht="15" customHeight="1" x14ac:dyDescent="0.2">
      <c r="A144" s="338"/>
      <c r="B144" s="339"/>
      <c r="C144" s="340"/>
      <c r="D144" s="356"/>
      <c r="E144" s="369" t="s">
        <v>434</v>
      </c>
      <c r="F144" s="342"/>
    </row>
    <row r="145" spans="1:6" ht="15" customHeight="1" x14ac:dyDescent="0.2">
      <c r="A145" s="338"/>
      <c r="B145" s="339"/>
      <c r="C145" s="340"/>
      <c r="D145" s="356"/>
      <c r="E145" s="370" t="s">
        <v>435</v>
      </c>
      <c r="F145" s="349"/>
    </row>
    <row r="146" spans="1:6" ht="15.75" customHeight="1" x14ac:dyDescent="0.2">
      <c r="A146" s="338"/>
      <c r="B146" s="339"/>
      <c r="C146" s="340"/>
      <c r="D146" s="356"/>
      <c r="E146" s="360" t="s">
        <v>436</v>
      </c>
      <c r="F146" s="349"/>
    </row>
    <row r="147" spans="1:6" ht="27" customHeight="1" x14ac:dyDescent="0.2">
      <c r="A147" s="344"/>
      <c r="B147" s="323"/>
      <c r="C147" s="345"/>
      <c r="D147" s="243"/>
      <c r="E147" s="351" t="s">
        <v>437</v>
      </c>
      <c r="F147" s="312"/>
    </row>
    <row r="148" spans="1:6" ht="24.75" customHeight="1" x14ac:dyDescent="0.2">
      <c r="A148" s="219">
        <v>7</v>
      </c>
      <c r="B148" s="219">
        <v>801</v>
      </c>
      <c r="C148" s="219">
        <v>80117</v>
      </c>
      <c r="D148" s="223" t="s">
        <v>417</v>
      </c>
      <c r="E148" s="314" t="s">
        <v>172</v>
      </c>
      <c r="F148" s="217">
        <f>1606616+1004162-150000-50000</f>
        <v>2410778</v>
      </c>
    </row>
    <row r="149" spans="1:6" ht="28.5" customHeight="1" x14ac:dyDescent="0.2">
      <c r="A149" s="329"/>
      <c r="B149" s="352"/>
      <c r="C149" s="365"/>
      <c r="D149" s="220"/>
      <c r="E149" s="371" t="s">
        <v>438</v>
      </c>
      <c r="F149" s="217"/>
    </row>
    <row r="150" spans="1:6" ht="26.25" customHeight="1" x14ac:dyDescent="0.2">
      <c r="A150" s="338"/>
      <c r="B150" s="339"/>
      <c r="C150" s="340"/>
      <c r="D150" s="248"/>
      <c r="E150" s="372" t="s">
        <v>439</v>
      </c>
      <c r="F150" s="349"/>
    </row>
    <row r="151" spans="1:6" ht="25.5" customHeight="1" x14ac:dyDescent="0.2">
      <c r="A151" s="338"/>
      <c r="B151" s="339"/>
      <c r="C151" s="340"/>
      <c r="D151" s="248"/>
      <c r="E151" s="351" t="s">
        <v>365</v>
      </c>
      <c r="F151" s="364"/>
    </row>
    <row r="152" spans="1:6" ht="27" customHeight="1" x14ac:dyDescent="0.2">
      <c r="A152" s="219">
        <v>8</v>
      </c>
      <c r="B152" s="219">
        <v>801</v>
      </c>
      <c r="C152" s="219">
        <v>80120</v>
      </c>
      <c r="D152" s="223" t="s">
        <v>417</v>
      </c>
      <c r="E152" s="314" t="s">
        <v>38</v>
      </c>
      <c r="F152" s="222">
        <f>3353811+3084625-100000-110000+70000+350000+33534.45+10000-26500</f>
        <v>6665470.4500000002</v>
      </c>
    </row>
    <row r="153" spans="1:6" ht="15" customHeight="1" x14ac:dyDescent="0.2">
      <c r="A153" s="338"/>
      <c r="B153" s="339"/>
      <c r="C153" s="340"/>
      <c r="D153" s="248"/>
      <c r="E153" s="341" t="s">
        <v>440</v>
      </c>
      <c r="F153" s="342"/>
    </row>
    <row r="154" spans="1:6" ht="24.75" customHeight="1" x14ac:dyDescent="0.2">
      <c r="A154" s="338"/>
      <c r="B154" s="339"/>
      <c r="C154" s="340"/>
      <c r="D154" s="356"/>
      <c r="E154" s="341" t="s">
        <v>441</v>
      </c>
      <c r="F154" s="342"/>
    </row>
    <row r="155" spans="1:6" ht="24" customHeight="1" x14ac:dyDescent="0.2">
      <c r="A155" s="338"/>
      <c r="B155" s="339"/>
      <c r="C155" s="340"/>
      <c r="D155" s="356"/>
      <c r="E155" s="373" t="s">
        <v>442</v>
      </c>
      <c r="F155" s="342"/>
    </row>
    <row r="156" spans="1:6" ht="25.5" customHeight="1" x14ac:dyDescent="0.2">
      <c r="A156" s="338"/>
      <c r="B156" s="339"/>
      <c r="C156" s="340"/>
      <c r="D156" s="248"/>
      <c r="E156" s="341" t="s">
        <v>443</v>
      </c>
      <c r="F156" s="342"/>
    </row>
    <row r="157" spans="1:6" ht="25.5" customHeight="1" x14ac:dyDescent="0.2">
      <c r="A157" s="338"/>
      <c r="B157" s="339"/>
      <c r="C157" s="340"/>
      <c r="D157" s="248"/>
      <c r="E157" s="355" t="s">
        <v>444</v>
      </c>
      <c r="F157" s="342"/>
    </row>
    <row r="158" spans="1:6" ht="25.5" customHeight="1" x14ac:dyDescent="0.2">
      <c r="A158" s="338"/>
      <c r="B158" s="339"/>
      <c r="C158" s="340"/>
      <c r="D158" s="248"/>
      <c r="E158" s="348" t="s">
        <v>445</v>
      </c>
      <c r="F158" s="349"/>
    </row>
    <row r="159" spans="1:6" ht="26.25" customHeight="1" x14ac:dyDescent="0.2">
      <c r="A159" s="338"/>
      <c r="B159" s="339"/>
      <c r="C159" s="340"/>
      <c r="D159" s="248"/>
      <c r="E159" s="358" t="s">
        <v>446</v>
      </c>
      <c r="F159" s="342"/>
    </row>
    <row r="160" spans="1:6" ht="15" customHeight="1" x14ac:dyDescent="0.2">
      <c r="A160" s="338"/>
      <c r="B160" s="339"/>
      <c r="C160" s="340"/>
      <c r="D160" s="248"/>
      <c r="E160" s="350" t="s">
        <v>447</v>
      </c>
      <c r="F160" s="342"/>
    </row>
    <row r="161" spans="1:6" ht="15.75" customHeight="1" x14ac:dyDescent="0.2">
      <c r="A161" s="344"/>
      <c r="B161" s="323"/>
      <c r="C161" s="345"/>
      <c r="D161" s="243"/>
      <c r="E161" s="361" t="s">
        <v>375</v>
      </c>
      <c r="F161" s="312"/>
    </row>
    <row r="162" spans="1:6" ht="51" customHeight="1" x14ac:dyDescent="0.2">
      <c r="A162" s="219">
        <v>9</v>
      </c>
      <c r="B162" s="219">
        <v>801</v>
      </c>
      <c r="C162" s="219">
        <v>80149</v>
      </c>
      <c r="D162" s="223" t="s">
        <v>417</v>
      </c>
      <c r="E162" s="362" t="s">
        <v>376</v>
      </c>
      <c r="F162" s="222">
        <f>2272895+24507+59523.68+280000+500000-50493-24507</f>
        <v>3061925.68</v>
      </c>
    </row>
    <row r="163" spans="1:6" ht="28.5" customHeight="1" x14ac:dyDescent="0.2">
      <c r="A163" s="333"/>
      <c r="B163" s="334"/>
      <c r="C163" s="335"/>
      <c r="D163" s="374"/>
      <c r="E163" s="375" t="s">
        <v>448</v>
      </c>
      <c r="F163" s="337"/>
    </row>
    <row r="164" spans="1:6" ht="15.2" customHeight="1" x14ac:dyDescent="0.2">
      <c r="A164" s="338"/>
      <c r="B164" s="339"/>
      <c r="C164" s="340"/>
      <c r="D164" s="248"/>
      <c r="E164" s="358" t="s">
        <v>338</v>
      </c>
      <c r="F164" s="342"/>
    </row>
    <row r="165" spans="1:6" ht="15.2" customHeight="1" x14ac:dyDescent="0.2">
      <c r="A165" s="338"/>
      <c r="B165" s="339"/>
      <c r="C165" s="340"/>
      <c r="D165" s="248"/>
      <c r="E165" s="358" t="s">
        <v>449</v>
      </c>
      <c r="F165" s="342"/>
    </row>
    <row r="166" spans="1:6" ht="15.2" customHeight="1" x14ac:dyDescent="0.2">
      <c r="A166" s="338"/>
      <c r="B166" s="339"/>
      <c r="C166" s="340"/>
      <c r="D166" s="248"/>
      <c r="E166" s="376" t="s">
        <v>337</v>
      </c>
      <c r="F166" s="349"/>
    </row>
    <row r="167" spans="1:6" ht="15.2" customHeight="1" x14ac:dyDescent="0.2">
      <c r="A167" s="338"/>
      <c r="B167" s="339"/>
      <c r="C167" s="340"/>
      <c r="D167" s="248"/>
      <c r="E167" s="354" t="s">
        <v>336</v>
      </c>
      <c r="F167" s="342"/>
    </row>
    <row r="168" spans="1:6" ht="15.2" customHeight="1" x14ac:dyDescent="0.2">
      <c r="A168" s="338"/>
      <c r="B168" s="339"/>
      <c r="C168" s="340"/>
      <c r="D168" s="248"/>
      <c r="E168" s="358" t="s">
        <v>378</v>
      </c>
      <c r="F168" s="342"/>
    </row>
    <row r="169" spans="1:6" ht="15.2" customHeight="1" x14ac:dyDescent="0.2">
      <c r="A169" s="338"/>
      <c r="B169" s="339"/>
      <c r="C169" s="340"/>
      <c r="D169" s="248"/>
      <c r="E169" s="358" t="s">
        <v>377</v>
      </c>
      <c r="F169" s="342"/>
    </row>
    <row r="170" spans="1:6" ht="15.2" customHeight="1" x14ac:dyDescent="0.2">
      <c r="A170" s="338"/>
      <c r="B170" s="339"/>
      <c r="C170" s="340"/>
      <c r="D170" s="248"/>
      <c r="E170" s="358" t="s">
        <v>422</v>
      </c>
      <c r="F170" s="342"/>
    </row>
    <row r="171" spans="1:6" ht="15.2" customHeight="1" x14ac:dyDescent="0.2">
      <c r="A171" s="338"/>
      <c r="B171" s="339"/>
      <c r="C171" s="340"/>
      <c r="D171" s="377"/>
      <c r="E171" s="354" t="s">
        <v>339</v>
      </c>
      <c r="F171" s="342"/>
    </row>
    <row r="172" spans="1:6" ht="15.2" customHeight="1" x14ac:dyDescent="0.2">
      <c r="A172" s="338"/>
      <c r="B172" s="339"/>
      <c r="C172" s="340"/>
      <c r="D172" s="248"/>
      <c r="E172" s="354" t="s">
        <v>335</v>
      </c>
      <c r="F172" s="342"/>
    </row>
    <row r="173" spans="1:6" ht="15.2" customHeight="1" x14ac:dyDescent="0.2">
      <c r="A173" s="338"/>
      <c r="B173" s="339"/>
      <c r="C173" s="340"/>
      <c r="D173" s="248"/>
      <c r="E173" s="348" t="s">
        <v>348</v>
      </c>
      <c r="F173" s="349"/>
    </row>
    <row r="174" spans="1:6" ht="15.2" customHeight="1" x14ac:dyDescent="0.2">
      <c r="A174" s="338"/>
      <c r="B174" s="339"/>
      <c r="C174" s="340"/>
      <c r="D174" s="248"/>
      <c r="E174" s="358" t="s">
        <v>342</v>
      </c>
      <c r="F174" s="342"/>
    </row>
    <row r="175" spans="1:6" ht="15.2" customHeight="1" x14ac:dyDescent="0.2">
      <c r="A175" s="344"/>
      <c r="B175" s="323"/>
      <c r="C175" s="345"/>
      <c r="D175" s="243"/>
      <c r="E175" s="378" t="s">
        <v>424</v>
      </c>
      <c r="F175" s="312"/>
    </row>
    <row r="176" spans="1:6" ht="39" customHeight="1" x14ac:dyDescent="0.2">
      <c r="A176" s="219">
        <v>10</v>
      </c>
      <c r="B176" s="219">
        <v>801</v>
      </c>
      <c r="C176" s="219">
        <v>80150</v>
      </c>
      <c r="D176" s="223" t="s">
        <v>417</v>
      </c>
      <c r="E176" s="362" t="s">
        <v>450</v>
      </c>
      <c r="F176" s="222">
        <f>158853+90670+100000+100000+100000+30000</f>
        <v>579523</v>
      </c>
    </row>
    <row r="177" spans="1:7" ht="25.5" customHeight="1" x14ac:dyDescent="0.2">
      <c r="A177" s="338"/>
      <c r="B177" s="339"/>
      <c r="C177" s="340"/>
      <c r="D177" s="248"/>
      <c r="E177" s="341" t="s">
        <v>451</v>
      </c>
      <c r="F177" s="342"/>
    </row>
    <row r="178" spans="1:7" ht="16.5" customHeight="1" x14ac:dyDescent="0.2">
      <c r="A178" s="338"/>
      <c r="B178" s="339"/>
      <c r="C178" s="340"/>
      <c r="D178" s="379"/>
      <c r="E178" s="380" t="s">
        <v>331</v>
      </c>
      <c r="F178" s="342"/>
    </row>
    <row r="179" spans="1:7" ht="16.5" customHeight="1" x14ac:dyDescent="0.2">
      <c r="A179" s="338"/>
      <c r="B179" s="339"/>
      <c r="C179" s="340"/>
      <c r="D179" s="248"/>
      <c r="E179" s="348" t="s">
        <v>418</v>
      </c>
      <c r="F179" s="349"/>
    </row>
    <row r="180" spans="1:7" ht="15.75" customHeight="1" x14ac:dyDescent="0.2">
      <c r="A180" s="344"/>
      <c r="B180" s="323"/>
      <c r="C180" s="345"/>
      <c r="D180" s="243"/>
      <c r="E180" s="351" t="s">
        <v>333</v>
      </c>
      <c r="F180" s="312"/>
      <c r="G180" s="343"/>
    </row>
    <row r="181" spans="1:7" ht="13.5" customHeight="1" x14ac:dyDescent="0.2">
      <c r="A181" s="324">
        <v>11</v>
      </c>
      <c r="B181" s="324">
        <v>801</v>
      </c>
      <c r="C181" s="324">
        <v>80151</v>
      </c>
      <c r="D181" s="220">
        <v>2540</v>
      </c>
      <c r="E181" s="352" t="s">
        <v>191</v>
      </c>
      <c r="F181" s="217">
        <f>60410-50000</f>
        <v>10410</v>
      </c>
    </row>
    <row r="182" spans="1:7" ht="15.2" customHeight="1" x14ac:dyDescent="0.2">
      <c r="A182" s="333"/>
      <c r="B182" s="334"/>
      <c r="C182" s="335"/>
      <c r="D182" s="374"/>
      <c r="E182" s="367" t="s">
        <v>452</v>
      </c>
      <c r="F182" s="337"/>
    </row>
    <row r="183" spans="1:7" ht="15.2" customHeight="1" x14ac:dyDescent="0.2">
      <c r="A183" s="344"/>
      <c r="B183" s="323"/>
      <c r="C183" s="345"/>
      <c r="D183" s="381"/>
      <c r="E183" s="361" t="s">
        <v>453</v>
      </c>
      <c r="F183" s="312"/>
    </row>
    <row r="184" spans="1:7" ht="98.25" customHeight="1" x14ac:dyDescent="0.2">
      <c r="A184" s="219">
        <v>12</v>
      </c>
      <c r="B184" s="219">
        <v>801</v>
      </c>
      <c r="C184" s="219">
        <v>80152</v>
      </c>
      <c r="D184" s="223" t="s">
        <v>417</v>
      </c>
      <c r="E184" s="362" t="s">
        <v>454</v>
      </c>
      <c r="F184" s="222">
        <f>221339+382609+100000+100000+40000+120000+40000-50000</f>
        <v>953948</v>
      </c>
    </row>
    <row r="185" spans="1:7" ht="15" customHeight="1" x14ac:dyDescent="0.2">
      <c r="A185" s="333"/>
      <c r="B185" s="334"/>
      <c r="C185" s="335"/>
      <c r="D185" s="246"/>
      <c r="E185" s="382" t="s">
        <v>455</v>
      </c>
      <c r="F185" s="337"/>
    </row>
    <row r="186" spans="1:7" ht="24.75" customHeight="1" x14ac:dyDescent="0.2">
      <c r="A186" s="338"/>
      <c r="B186" s="339"/>
      <c r="C186" s="340"/>
      <c r="D186" s="248"/>
      <c r="E186" s="368" t="s">
        <v>438</v>
      </c>
      <c r="F186" s="349"/>
    </row>
    <row r="187" spans="1:7" ht="15" customHeight="1" x14ac:dyDescent="0.2">
      <c r="A187" s="338"/>
      <c r="B187" s="339"/>
      <c r="C187" s="340"/>
      <c r="D187" s="248"/>
      <c r="E187" s="354" t="s">
        <v>375</v>
      </c>
      <c r="F187" s="342"/>
    </row>
    <row r="188" spans="1:7" ht="22.9" customHeight="1" x14ac:dyDescent="0.2">
      <c r="A188" s="338"/>
      <c r="B188" s="339"/>
      <c r="C188" s="340"/>
      <c r="D188" s="248"/>
      <c r="E188" s="383" t="s">
        <v>427</v>
      </c>
      <c r="F188" s="342"/>
    </row>
    <row r="189" spans="1:7" ht="24.75" customHeight="1" x14ac:dyDescent="0.2">
      <c r="A189" s="338"/>
      <c r="B189" s="339"/>
      <c r="C189" s="340"/>
      <c r="D189" s="248"/>
      <c r="E189" s="358" t="s">
        <v>446</v>
      </c>
      <c r="F189" s="342"/>
    </row>
    <row r="190" spans="1:7" ht="24" customHeight="1" x14ac:dyDescent="0.2">
      <c r="A190" s="344"/>
      <c r="B190" s="323"/>
      <c r="C190" s="345"/>
      <c r="D190" s="243"/>
      <c r="E190" s="351" t="s">
        <v>365</v>
      </c>
      <c r="F190" s="312"/>
    </row>
    <row r="191" spans="1:7" ht="15.75" customHeight="1" x14ac:dyDescent="0.2">
      <c r="A191" s="384">
        <v>13</v>
      </c>
      <c r="B191" s="384">
        <v>853</v>
      </c>
      <c r="C191" s="384">
        <v>85311</v>
      </c>
      <c r="D191" s="325">
        <v>2580</v>
      </c>
      <c r="E191" s="323" t="s">
        <v>456</v>
      </c>
      <c r="F191" s="312">
        <f>230801+15000</f>
        <v>245801</v>
      </c>
    </row>
    <row r="192" spans="1:7" ht="18" customHeight="1" x14ac:dyDescent="0.2">
      <c r="A192" s="329"/>
      <c r="B192" s="352"/>
      <c r="C192" s="345"/>
      <c r="D192" s="243"/>
      <c r="E192" s="323" t="s">
        <v>457</v>
      </c>
      <c r="F192" s="312"/>
    </row>
    <row r="193" spans="1:6" ht="15.75" customHeight="1" x14ac:dyDescent="0.2">
      <c r="A193" s="324">
        <v>14</v>
      </c>
      <c r="B193" s="324">
        <v>854</v>
      </c>
      <c r="C193" s="385">
        <v>85402</v>
      </c>
      <c r="D193" s="325">
        <v>2540</v>
      </c>
      <c r="E193" s="386" t="s">
        <v>398</v>
      </c>
      <c r="F193" s="217">
        <f>984049+10000</f>
        <v>994049</v>
      </c>
    </row>
    <row r="194" spans="1:6" ht="22.5" customHeight="1" x14ac:dyDescent="0.2">
      <c r="A194" s="329"/>
      <c r="B194" s="352"/>
      <c r="C194" s="365"/>
      <c r="D194" s="220"/>
      <c r="E194" s="362" t="s">
        <v>458</v>
      </c>
      <c r="F194" s="217"/>
    </row>
    <row r="195" spans="1:6" ht="15.75" customHeight="1" x14ac:dyDescent="0.2">
      <c r="A195" s="324">
        <v>15</v>
      </c>
      <c r="B195" s="324">
        <v>854</v>
      </c>
      <c r="C195" s="324">
        <v>85404</v>
      </c>
      <c r="D195" s="215">
        <v>2540</v>
      </c>
      <c r="E195" s="352" t="s">
        <v>237</v>
      </c>
      <c r="F195" s="217">
        <f>534790+50000+30000</f>
        <v>614790</v>
      </c>
    </row>
    <row r="196" spans="1:6" ht="15" customHeight="1" x14ac:dyDescent="0.2">
      <c r="A196" s="338"/>
      <c r="B196" s="339"/>
      <c r="C196" s="340"/>
      <c r="D196" s="248"/>
      <c r="E196" s="350" t="s">
        <v>424</v>
      </c>
      <c r="F196" s="349"/>
    </row>
    <row r="197" spans="1:6" ht="13.5" customHeight="1" x14ac:dyDescent="0.2">
      <c r="A197" s="338"/>
      <c r="B197" s="339"/>
      <c r="C197" s="340"/>
      <c r="D197" s="248"/>
      <c r="E197" s="387" t="s">
        <v>336</v>
      </c>
      <c r="F197" s="342"/>
    </row>
    <row r="198" spans="1:6" ht="24.75" customHeight="1" x14ac:dyDescent="0.2">
      <c r="A198" s="338"/>
      <c r="B198" s="339"/>
      <c r="C198" s="340"/>
      <c r="D198" s="356"/>
      <c r="E198" s="357" t="s">
        <v>448</v>
      </c>
      <c r="F198" s="342"/>
    </row>
    <row r="199" spans="1:6" ht="13.5" customHeight="1" x14ac:dyDescent="0.2">
      <c r="A199" s="338"/>
      <c r="B199" s="339"/>
      <c r="C199" s="340"/>
      <c r="D199" s="248"/>
      <c r="E199" s="358" t="s">
        <v>449</v>
      </c>
      <c r="F199" s="342"/>
    </row>
    <row r="200" spans="1:6" ht="13.5" customHeight="1" x14ac:dyDescent="0.2">
      <c r="A200" s="338"/>
      <c r="B200" s="339"/>
      <c r="C200" s="340"/>
      <c r="D200" s="248"/>
      <c r="E200" s="354" t="s">
        <v>339</v>
      </c>
      <c r="F200" s="342"/>
    </row>
    <row r="201" spans="1:6" ht="13.5" customHeight="1" x14ac:dyDescent="0.2">
      <c r="A201" s="338"/>
      <c r="B201" s="339"/>
      <c r="C201" s="340"/>
      <c r="D201" s="248"/>
      <c r="E201" s="358" t="s">
        <v>378</v>
      </c>
      <c r="F201" s="342"/>
    </row>
    <row r="202" spans="1:6" ht="13.5" customHeight="1" x14ac:dyDescent="0.2">
      <c r="A202" s="338"/>
      <c r="B202" s="339"/>
      <c r="C202" s="340"/>
      <c r="D202" s="248"/>
      <c r="E202" s="358" t="s">
        <v>422</v>
      </c>
      <c r="F202" s="342"/>
    </row>
    <row r="203" spans="1:6" ht="13.5" customHeight="1" x14ac:dyDescent="0.2">
      <c r="A203" s="338"/>
      <c r="B203" s="339"/>
      <c r="C203" s="340"/>
      <c r="D203" s="248"/>
      <c r="E203" s="376" t="s">
        <v>337</v>
      </c>
      <c r="F203" s="349"/>
    </row>
    <row r="204" spans="1:6" ht="14.25" customHeight="1" x14ac:dyDescent="0.2">
      <c r="A204" s="338"/>
      <c r="B204" s="339"/>
      <c r="C204" s="340"/>
      <c r="D204" s="248"/>
      <c r="E204" s="358" t="s">
        <v>377</v>
      </c>
      <c r="F204" s="342"/>
    </row>
    <row r="205" spans="1:6" ht="14.25" customHeight="1" x14ac:dyDescent="0.2">
      <c r="A205" s="344"/>
      <c r="B205" s="323"/>
      <c r="C205" s="345"/>
      <c r="D205" s="248"/>
      <c r="E205" s="376" t="s">
        <v>335</v>
      </c>
      <c r="F205" s="312"/>
    </row>
    <row r="206" spans="1:6" ht="25.5" customHeight="1" x14ac:dyDescent="0.2">
      <c r="A206" s="308">
        <v>16</v>
      </c>
      <c r="B206" s="308">
        <v>854</v>
      </c>
      <c r="C206" s="308">
        <v>85406</v>
      </c>
      <c r="D206" s="220">
        <v>2540</v>
      </c>
      <c r="E206" s="388" t="s">
        <v>400</v>
      </c>
      <c r="F206" s="217">
        <f>60974+10000+8000</f>
        <v>78974</v>
      </c>
    </row>
    <row r="207" spans="1:6" ht="15.75" customHeight="1" x14ac:dyDescent="0.2">
      <c r="A207" s="333"/>
      <c r="B207" s="334"/>
      <c r="C207" s="335"/>
      <c r="D207" s="246"/>
      <c r="E207" s="389" t="s">
        <v>401</v>
      </c>
      <c r="F207" s="337"/>
    </row>
    <row r="208" spans="1:6" ht="37.5" customHeight="1" x14ac:dyDescent="0.2">
      <c r="A208" s="344"/>
      <c r="B208" s="323"/>
      <c r="C208" s="345"/>
      <c r="D208" s="243"/>
      <c r="E208" s="390" t="s">
        <v>459</v>
      </c>
      <c r="F208" s="312"/>
    </row>
    <row r="209" spans="1:6" ht="16.5" customHeight="1" x14ac:dyDescent="0.2">
      <c r="A209" s="211">
        <v>17</v>
      </c>
      <c r="B209" s="211">
        <v>854</v>
      </c>
      <c r="C209" s="211">
        <v>85410</v>
      </c>
      <c r="D209" s="215">
        <v>2590</v>
      </c>
      <c r="E209" s="391" t="s">
        <v>240</v>
      </c>
      <c r="F209" s="222">
        <f>911326+200000-10000+50000+8598.6-70000</f>
        <v>1089924.6000000001</v>
      </c>
    </row>
    <row r="210" spans="1:6" ht="13.5" customHeight="1" x14ac:dyDescent="0.2">
      <c r="A210" s="329"/>
      <c r="B210" s="352"/>
      <c r="C210" s="365"/>
      <c r="D210" s="243"/>
      <c r="E210" s="323" t="s">
        <v>402</v>
      </c>
      <c r="F210" s="217"/>
    </row>
    <row r="211" spans="1:6" ht="14.25" customHeight="1" x14ac:dyDescent="0.2">
      <c r="A211" s="510"/>
      <c r="B211" s="511"/>
      <c r="C211" s="511"/>
      <c r="D211" s="210"/>
      <c r="E211" s="511" t="s">
        <v>414</v>
      </c>
      <c r="F211" s="512">
        <f>SUM(F107:F210)</f>
        <v>48668845.780000001</v>
      </c>
    </row>
    <row r="212" spans="1:6" ht="15.75" customHeight="1" x14ac:dyDescent="0.2">
      <c r="A212" s="392"/>
      <c r="B212" s="393"/>
      <c r="C212" s="393"/>
      <c r="D212" s="210"/>
      <c r="E212" s="393" t="s">
        <v>312</v>
      </c>
      <c r="F212" s="394">
        <f>F211+F104</f>
        <v>73035347.960000008</v>
      </c>
    </row>
    <row r="214" spans="1:6" ht="12.6" customHeight="1" x14ac:dyDescent="0.2">
      <c r="A214" s="513"/>
      <c r="F214" s="395"/>
    </row>
    <row r="216" spans="1:6" x14ac:dyDescent="0.2">
      <c r="F216" s="395"/>
    </row>
  </sheetData>
  <pageMargins left="0.47244094488188981" right="0.47244094488188981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DB98-B775-4F71-942B-AD596201C36D}">
  <sheetPr>
    <tabColor rgb="FFFFFF00"/>
  </sheetPr>
  <dimension ref="A1:G37"/>
  <sheetViews>
    <sheetView zoomScale="120" zoomScaleNormal="120" workbookViewId="0"/>
  </sheetViews>
  <sheetFormatPr defaultRowHeight="15" x14ac:dyDescent="0.25"/>
  <cols>
    <col min="1" max="1" width="5.140625" customWidth="1"/>
    <col min="2" max="2" width="9" customWidth="1"/>
    <col min="3" max="3" width="47.42578125" customWidth="1"/>
    <col min="4" max="4" width="17" customWidth="1"/>
    <col min="5" max="5" width="15" customWidth="1"/>
    <col min="6" max="6" width="15.85546875" customWidth="1"/>
    <col min="7" max="7" width="16.1406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460</v>
      </c>
    </row>
    <row r="2" spans="1:7" x14ac:dyDescent="0.25">
      <c r="F2" s="3" t="s">
        <v>298</v>
      </c>
    </row>
    <row r="3" spans="1:7" x14ac:dyDescent="0.25">
      <c r="F3" s="3" t="s">
        <v>0</v>
      </c>
    </row>
    <row r="4" spans="1:7" x14ac:dyDescent="0.25">
      <c r="F4" s="3" t="s">
        <v>299</v>
      </c>
    </row>
    <row r="6" spans="1:7" s="397" customFormat="1" ht="12.75" x14ac:dyDescent="0.2">
      <c r="A6" s="396" t="s">
        <v>461</v>
      </c>
      <c r="B6" s="396"/>
      <c r="C6" s="396"/>
      <c r="D6" s="396"/>
      <c r="E6" s="396"/>
      <c r="F6" s="396"/>
      <c r="G6" s="396"/>
    </row>
    <row r="7" spans="1:7" s="397" customFormat="1" ht="12.75" x14ac:dyDescent="0.2">
      <c r="A7" s="396" t="s">
        <v>462</v>
      </c>
      <c r="B7" s="396"/>
      <c r="C7" s="396"/>
      <c r="D7" s="396"/>
      <c r="E7" s="396"/>
      <c r="F7" s="396"/>
      <c r="G7" s="396"/>
    </row>
    <row r="8" spans="1:7" x14ac:dyDescent="0.25">
      <c r="A8" s="398" t="s">
        <v>463</v>
      </c>
      <c r="B8" s="398"/>
      <c r="C8" s="398"/>
      <c r="D8" s="398"/>
      <c r="E8" s="398"/>
      <c r="F8" s="398"/>
      <c r="G8" s="398"/>
    </row>
    <row r="9" spans="1:7" x14ac:dyDescent="0.25">
      <c r="A9" s="514"/>
      <c r="B9" s="514"/>
      <c r="C9" s="514"/>
      <c r="D9" s="514"/>
      <c r="E9" s="514"/>
      <c r="F9" s="514"/>
      <c r="G9" s="399" t="s">
        <v>1</v>
      </c>
    </row>
    <row r="10" spans="1:7" ht="15" customHeight="1" x14ac:dyDescent="0.25">
      <c r="A10" s="400"/>
      <c r="B10" s="401"/>
      <c r="C10" s="401"/>
      <c r="D10" s="402" t="s">
        <v>464</v>
      </c>
      <c r="E10" s="403"/>
      <c r="F10" s="404"/>
      <c r="G10" s="402" t="s">
        <v>465</v>
      </c>
    </row>
    <row r="11" spans="1:7" x14ac:dyDescent="0.25">
      <c r="A11" s="405" t="s">
        <v>316</v>
      </c>
      <c r="B11" s="406" t="s">
        <v>3</v>
      </c>
      <c r="C11" s="406" t="s">
        <v>466</v>
      </c>
      <c r="D11" s="407" t="s">
        <v>467</v>
      </c>
      <c r="E11" s="407"/>
      <c r="F11" s="407"/>
      <c r="G11" s="407" t="s">
        <v>467</v>
      </c>
    </row>
    <row r="12" spans="1:7" x14ac:dyDescent="0.25">
      <c r="A12" s="405"/>
      <c r="B12" s="408"/>
      <c r="C12" s="406"/>
      <c r="D12" s="407" t="s">
        <v>468</v>
      </c>
      <c r="E12" s="407" t="s">
        <v>469</v>
      </c>
      <c r="F12" s="407" t="s">
        <v>470</v>
      </c>
      <c r="G12" s="407" t="s">
        <v>471</v>
      </c>
    </row>
    <row r="13" spans="1:7" x14ac:dyDescent="0.25">
      <c r="A13" s="409"/>
      <c r="B13" s="408" t="s">
        <v>4</v>
      </c>
      <c r="C13" s="408"/>
      <c r="D13" s="410"/>
      <c r="E13" s="410"/>
      <c r="F13" s="410"/>
      <c r="G13" s="410"/>
    </row>
    <row r="14" spans="1:7" s="412" customFormat="1" ht="9.75" x14ac:dyDescent="0.15">
      <c r="A14" s="411">
        <v>1</v>
      </c>
      <c r="B14" s="411">
        <v>2</v>
      </c>
      <c r="C14" s="411">
        <v>3</v>
      </c>
      <c r="D14" s="411">
        <v>4</v>
      </c>
      <c r="E14" s="411">
        <v>5</v>
      </c>
      <c r="F14" s="411">
        <v>6</v>
      </c>
      <c r="G14" s="411">
        <v>7</v>
      </c>
    </row>
    <row r="15" spans="1:7" s="514" customFormat="1" x14ac:dyDescent="0.25">
      <c r="A15" s="413"/>
      <c r="B15" s="414">
        <v>801</v>
      </c>
      <c r="C15" s="515"/>
      <c r="D15" s="415"/>
      <c r="E15" s="415"/>
      <c r="F15" s="415"/>
      <c r="G15" s="415"/>
    </row>
    <row r="16" spans="1:7" ht="13.5" customHeight="1" x14ac:dyDescent="0.25">
      <c r="A16" s="416" t="s">
        <v>472</v>
      </c>
      <c r="B16" s="417">
        <v>80101</v>
      </c>
      <c r="C16" s="418" t="s">
        <v>136</v>
      </c>
      <c r="D16" s="419">
        <v>6324.7</v>
      </c>
      <c r="E16" s="419">
        <v>954422.34</v>
      </c>
      <c r="F16" s="419">
        <v>960747.04</v>
      </c>
      <c r="G16" s="419">
        <v>0</v>
      </c>
    </row>
    <row r="17" spans="1:7" ht="13.5" customHeight="1" x14ac:dyDescent="0.25">
      <c r="A17" s="416" t="s">
        <v>473</v>
      </c>
      <c r="B17" s="417">
        <v>80102</v>
      </c>
      <c r="C17" s="420" t="s">
        <v>159</v>
      </c>
      <c r="D17" s="421">
        <v>0</v>
      </c>
      <c r="E17" s="421">
        <v>26943</v>
      </c>
      <c r="F17" s="421">
        <v>26943</v>
      </c>
      <c r="G17" s="421">
        <v>0</v>
      </c>
    </row>
    <row r="18" spans="1:7" ht="13.5" customHeight="1" x14ac:dyDescent="0.25">
      <c r="A18" s="416" t="s">
        <v>474</v>
      </c>
      <c r="B18" s="417">
        <v>80104</v>
      </c>
      <c r="C18" s="420" t="s">
        <v>161</v>
      </c>
      <c r="D18" s="421">
        <v>5972.12</v>
      </c>
      <c r="E18" s="421">
        <v>5409994.8700000001</v>
      </c>
      <c r="F18" s="421">
        <v>5415966.9900000002</v>
      </c>
      <c r="G18" s="421">
        <v>0</v>
      </c>
    </row>
    <row r="19" spans="1:7" ht="13.5" customHeight="1" x14ac:dyDescent="0.25">
      <c r="A19" s="416" t="s">
        <v>475</v>
      </c>
      <c r="B19" s="417">
        <v>80115</v>
      </c>
      <c r="C19" s="420" t="s">
        <v>168</v>
      </c>
      <c r="D19" s="421">
        <v>8.06</v>
      </c>
      <c r="E19" s="421">
        <v>1204629.7</v>
      </c>
      <c r="F19" s="421">
        <v>1204637.76</v>
      </c>
      <c r="G19" s="421">
        <v>0</v>
      </c>
    </row>
    <row r="20" spans="1:7" ht="13.5" customHeight="1" x14ac:dyDescent="0.25">
      <c r="A20" s="416" t="s">
        <v>476</v>
      </c>
      <c r="B20" s="417">
        <v>80120</v>
      </c>
      <c r="C20" s="420" t="s">
        <v>38</v>
      </c>
      <c r="D20" s="422">
        <v>342.39</v>
      </c>
      <c r="E20" s="421">
        <v>336190</v>
      </c>
      <c r="F20" s="421">
        <v>336532.39</v>
      </c>
      <c r="G20" s="421">
        <v>0</v>
      </c>
    </row>
    <row r="21" spans="1:7" ht="13.5" customHeight="1" x14ac:dyDescent="0.25">
      <c r="A21" s="416" t="s">
        <v>477</v>
      </c>
      <c r="B21" s="417">
        <v>80132</v>
      </c>
      <c r="C21" s="420" t="s">
        <v>478</v>
      </c>
      <c r="D21" s="421">
        <v>0</v>
      </c>
      <c r="E21" s="421">
        <v>42900</v>
      </c>
      <c r="F21" s="421">
        <v>42900</v>
      </c>
      <c r="G21" s="423">
        <v>0</v>
      </c>
    </row>
    <row r="22" spans="1:7" ht="13.5" customHeight="1" x14ac:dyDescent="0.25">
      <c r="A22" s="416" t="s">
        <v>479</v>
      </c>
      <c r="B22" s="417">
        <v>80134</v>
      </c>
      <c r="C22" s="420" t="s">
        <v>176</v>
      </c>
      <c r="D22" s="421">
        <v>0</v>
      </c>
      <c r="E22" s="421">
        <v>1350</v>
      </c>
      <c r="F22" s="421">
        <v>1350</v>
      </c>
      <c r="G22" s="421">
        <v>0</v>
      </c>
    </row>
    <row r="23" spans="1:7" ht="25.5" customHeight="1" x14ac:dyDescent="0.25">
      <c r="A23" s="424" t="s">
        <v>480</v>
      </c>
      <c r="B23" s="425">
        <v>80140</v>
      </c>
      <c r="C23" s="426" t="s">
        <v>481</v>
      </c>
      <c r="D23" s="427">
        <v>67.19</v>
      </c>
      <c r="E23" s="427">
        <v>159270</v>
      </c>
      <c r="F23" s="427">
        <v>159337.19</v>
      </c>
      <c r="G23" s="427">
        <v>0</v>
      </c>
    </row>
    <row r="24" spans="1:7" ht="13.5" customHeight="1" x14ac:dyDescent="0.25">
      <c r="A24" s="424" t="s">
        <v>482</v>
      </c>
      <c r="B24" s="425">
        <v>80142</v>
      </c>
      <c r="C24" s="426" t="s">
        <v>483</v>
      </c>
      <c r="D24" s="421">
        <v>109.5</v>
      </c>
      <c r="E24" s="421">
        <v>369147</v>
      </c>
      <c r="F24" s="421">
        <v>369256.5</v>
      </c>
      <c r="G24" s="421">
        <v>0</v>
      </c>
    </row>
    <row r="25" spans="1:7" ht="13.5" customHeight="1" x14ac:dyDescent="0.25">
      <c r="A25" s="424" t="s">
        <v>484</v>
      </c>
      <c r="B25" s="425">
        <v>80144</v>
      </c>
      <c r="C25" s="426" t="s">
        <v>485</v>
      </c>
      <c r="D25" s="421">
        <v>319.77</v>
      </c>
      <c r="E25" s="421">
        <v>119800</v>
      </c>
      <c r="F25" s="421">
        <v>120119.77</v>
      </c>
      <c r="G25" s="421">
        <v>0</v>
      </c>
    </row>
    <row r="26" spans="1:7" ht="13.5" customHeight="1" x14ac:dyDescent="0.25">
      <c r="A26" s="424" t="s">
        <v>486</v>
      </c>
      <c r="B26" s="425">
        <v>80148</v>
      </c>
      <c r="C26" s="420" t="s">
        <v>183</v>
      </c>
      <c r="D26" s="422">
        <v>1146.97</v>
      </c>
      <c r="E26" s="422">
        <v>3375515</v>
      </c>
      <c r="F26" s="422">
        <v>3376661.97</v>
      </c>
      <c r="G26" s="422">
        <v>0</v>
      </c>
    </row>
    <row r="27" spans="1:7" ht="13.5" customHeight="1" x14ac:dyDescent="0.25">
      <c r="A27" s="428"/>
      <c r="B27" s="429">
        <v>854</v>
      </c>
      <c r="C27" s="430"/>
      <c r="D27" s="431"/>
      <c r="E27" s="431"/>
      <c r="F27" s="431"/>
      <c r="G27" s="431"/>
    </row>
    <row r="28" spans="1:7" ht="13.5" customHeight="1" x14ac:dyDescent="0.25">
      <c r="A28" s="416" t="s">
        <v>472</v>
      </c>
      <c r="B28" s="417">
        <v>85410</v>
      </c>
      <c r="C28" s="420" t="s">
        <v>240</v>
      </c>
      <c r="D28" s="421">
        <v>763.66</v>
      </c>
      <c r="E28" s="421">
        <v>593700</v>
      </c>
      <c r="F28" s="421">
        <v>594463.66</v>
      </c>
      <c r="G28" s="421">
        <v>0</v>
      </c>
    </row>
    <row r="29" spans="1:7" ht="13.5" customHeight="1" x14ac:dyDescent="0.25">
      <c r="A29" s="416" t="s">
        <v>473</v>
      </c>
      <c r="B29" s="417">
        <v>85412</v>
      </c>
      <c r="C29" s="420" t="s">
        <v>487</v>
      </c>
      <c r="D29" s="421"/>
      <c r="E29" s="421"/>
      <c r="F29" s="421"/>
      <c r="G29" s="421"/>
    </row>
    <row r="30" spans="1:7" ht="13.5" customHeight="1" x14ac:dyDescent="0.25">
      <c r="A30" s="416"/>
      <c r="B30" s="417"/>
      <c r="C30" s="420" t="s">
        <v>488</v>
      </c>
      <c r="D30" s="421">
        <v>0</v>
      </c>
      <c r="E30" s="421">
        <v>15100</v>
      </c>
      <c r="F30" s="421">
        <v>15100</v>
      </c>
      <c r="G30" s="421">
        <v>0</v>
      </c>
    </row>
    <row r="31" spans="1:7" ht="13.5" customHeight="1" x14ac:dyDescent="0.25">
      <c r="A31" s="416" t="s">
        <v>474</v>
      </c>
      <c r="B31" s="417">
        <v>85417</v>
      </c>
      <c r="C31" s="432" t="s">
        <v>489</v>
      </c>
      <c r="D31" s="421">
        <v>0</v>
      </c>
      <c r="E31" s="421">
        <v>80400</v>
      </c>
      <c r="F31" s="421">
        <v>80400</v>
      </c>
      <c r="G31" s="421">
        <v>0</v>
      </c>
    </row>
    <row r="32" spans="1:7" ht="13.5" customHeight="1" x14ac:dyDescent="0.25">
      <c r="A32" s="433" t="s">
        <v>475</v>
      </c>
      <c r="B32" s="434">
        <v>85420</v>
      </c>
      <c r="C32" s="435" t="s">
        <v>243</v>
      </c>
      <c r="D32" s="436">
        <v>73.81</v>
      </c>
      <c r="E32" s="436">
        <v>22980</v>
      </c>
      <c r="F32" s="436">
        <v>23053.81</v>
      </c>
      <c r="G32" s="437">
        <v>0</v>
      </c>
    </row>
    <row r="33" spans="1:7" s="518" customFormat="1" ht="22.5" customHeight="1" x14ac:dyDescent="0.25">
      <c r="A33" s="438"/>
      <c r="B33" s="439"/>
      <c r="C33" s="516" t="s">
        <v>490</v>
      </c>
      <c r="D33" s="517">
        <f>SUM(D16:D32)</f>
        <v>15128.169999999998</v>
      </c>
      <c r="E33" s="517">
        <f>SUM(E16:E32)</f>
        <v>12712341.91</v>
      </c>
      <c r="F33" s="517">
        <f>SUM(F16:F32)</f>
        <v>12727470.080000002</v>
      </c>
      <c r="G33" s="517">
        <f>SUM(G16:G32)</f>
        <v>0</v>
      </c>
    </row>
    <row r="35" spans="1:7" x14ac:dyDescent="0.25">
      <c r="A35" s="519"/>
      <c r="B35" s="519"/>
      <c r="C35" s="440"/>
    </row>
    <row r="36" spans="1:7" x14ac:dyDescent="0.25">
      <c r="A36" s="519"/>
      <c r="B36" s="519"/>
      <c r="C36" s="440"/>
    </row>
    <row r="37" spans="1:7" x14ac:dyDescent="0.25">
      <c r="A37" s="519"/>
      <c r="B37" s="519"/>
      <c r="C37" s="440"/>
    </row>
  </sheetData>
  <pageMargins left="0.70866141732283472" right="0.51181102362204722" top="0.74803149606299213" bottom="0.55118110236220474" header="0.31496062992125984" footer="0.31496062992125984"/>
  <pageSetup paperSize="9" firstPageNumber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1F74-4271-40A2-888D-34D8B80EDB2F}">
  <sheetPr>
    <tabColor rgb="FF00FF00"/>
  </sheetPr>
  <dimension ref="A1:WVO593"/>
  <sheetViews>
    <sheetView zoomScale="130" zoomScaleNormal="130" workbookViewId="0"/>
  </sheetViews>
  <sheetFormatPr defaultRowHeight="15" x14ac:dyDescent="0.25"/>
  <cols>
    <col min="1" max="1" width="4.85546875" style="514" customWidth="1"/>
    <col min="2" max="2" width="33.42578125" style="514" customWidth="1"/>
    <col min="3" max="3" width="8.5703125" style="514" customWidth="1"/>
    <col min="4" max="4" width="9.42578125" style="514" customWidth="1"/>
    <col min="5" max="5" width="8.140625" style="514" customWidth="1"/>
    <col min="6" max="6" width="13" customWidth="1"/>
    <col min="7" max="7" width="12.85546875" customWidth="1"/>
    <col min="9" max="9" width="12.42578125" style="520" customWidth="1"/>
    <col min="77" max="253" width="9.140625" style="514"/>
    <col min="254" max="254" width="5.28515625" style="514" customWidth="1"/>
    <col min="255" max="255" width="8" style="514" customWidth="1"/>
    <col min="256" max="256" width="5.85546875" style="514" customWidth="1"/>
    <col min="257" max="257" width="9.42578125" style="514" customWidth="1"/>
    <col min="258" max="258" width="11.28515625" style="514" customWidth="1"/>
    <col min="259" max="259" width="11" style="514" customWidth="1"/>
    <col min="260" max="260" width="13.140625" style="514" customWidth="1"/>
    <col min="261" max="261" width="11.7109375" style="514" customWidth="1"/>
    <col min="262" max="262" width="11.140625" style="514" customWidth="1"/>
    <col min="263" max="263" width="11.7109375" style="514" customWidth="1"/>
    <col min="264" max="509" width="9.140625" style="514"/>
    <col min="510" max="510" width="5.28515625" style="514" customWidth="1"/>
    <col min="511" max="511" width="8" style="514" customWidth="1"/>
    <col min="512" max="512" width="5.85546875" style="514" customWidth="1"/>
    <col min="513" max="513" width="9.42578125" style="514" customWidth="1"/>
    <col min="514" max="514" width="11.28515625" style="514" customWidth="1"/>
    <col min="515" max="515" width="11" style="514" customWidth="1"/>
    <col min="516" max="516" width="13.140625" style="514" customWidth="1"/>
    <col min="517" max="517" width="11.7109375" style="514" customWidth="1"/>
    <col min="518" max="518" width="11.140625" style="514" customWidth="1"/>
    <col min="519" max="519" width="11.7109375" style="514" customWidth="1"/>
    <col min="520" max="765" width="9.140625" style="514"/>
    <col min="766" max="766" width="5.28515625" style="514" customWidth="1"/>
    <col min="767" max="767" width="8" style="514" customWidth="1"/>
    <col min="768" max="768" width="5.85546875" style="514" customWidth="1"/>
    <col min="769" max="769" width="9.42578125" style="514" customWidth="1"/>
    <col min="770" max="770" width="11.28515625" style="514" customWidth="1"/>
    <col min="771" max="771" width="11" style="514" customWidth="1"/>
    <col min="772" max="772" width="13.140625" style="514" customWidth="1"/>
    <col min="773" max="773" width="11.7109375" style="514" customWidth="1"/>
    <col min="774" max="774" width="11.140625" style="514" customWidth="1"/>
    <col min="775" max="775" width="11.7109375" style="514" customWidth="1"/>
    <col min="776" max="1021" width="9.140625" style="514"/>
    <col min="1022" max="1022" width="5.28515625" style="514" customWidth="1"/>
    <col min="1023" max="1023" width="8" style="514" customWidth="1"/>
    <col min="1024" max="1024" width="5.85546875" style="514" customWidth="1"/>
    <col min="1025" max="1025" width="9.42578125" style="514" customWidth="1"/>
    <col min="1026" max="1026" width="11.28515625" style="514" customWidth="1"/>
    <col min="1027" max="1027" width="11" style="514" customWidth="1"/>
    <col min="1028" max="1028" width="13.140625" style="514" customWidth="1"/>
    <col min="1029" max="1029" width="11.7109375" style="514" customWidth="1"/>
    <col min="1030" max="1030" width="11.140625" style="514" customWidth="1"/>
    <col min="1031" max="1031" width="11.7109375" style="514" customWidth="1"/>
    <col min="1032" max="1277" width="9.140625" style="514"/>
    <col min="1278" max="1278" width="5.28515625" style="514" customWidth="1"/>
    <col min="1279" max="1279" width="8" style="514" customWidth="1"/>
    <col min="1280" max="1280" width="5.85546875" style="514" customWidth="1"/>
    <col min="1281" max="1281" width="9.42578125" style="514" customWidth="1"/>
    <col min="1282" max="1282" width="11.28515625" style="514" customWidth="1"/>
    <col min="1283" max="1283" width="11" style="514" customWidth="1"/>
    <col min="1284" max="1284" width="13.140625" style="514" customWidth="1"/>
    <col min="1285" max="1285" width="11.7109375" style="514" customWidth="1"/>
    <col min="1286" max="1286" width="11.140625" style="514" customWidth="1"/>
    <col min="1287" max="1287" width="11.7109375" style="514" customWidth="1"/>
    <col min="1288" max="1533" width="9.140625" style="514"/>
    <col min="1534" max="1534" width="5.28515625" style="514" customWidth="1"/>
    <col min="1535" max="1535" width="8" style="514" customWidth="1"/>
    <col min="1536" max="1536" width="5.85546875" style="514" customWidth="1"/>
    <col min="1537" max="1537" width="9.42578125" style="514" customWidth="1"/>
    <col min="1538" max="1538" width="11.28515625" style="514" customWidth="1"/>
    <col min="1539" max="1539" width="11" style="514" customWidth="1"/>
    <col min="1540" max="1540" width="13.140625" style="514" customWidth="1"/>
    <col min="1541" max="1541" width="11.7109375" style="514" customWidth="1"/>
    <col min="1542" max="1542" width="11.140625" style="514" customWidth="1"/>
    <col min="1543" max="1543" width="11.7109375" style="514" customWidth="1"/>
    <col min="1544" max="1789" width="9.140625" style="514"/>
    <col min="1790" max="1790" width="5.28515625" style="514" customWidth="1"/>
    <col min="1791" max="1791" width="8" style="514" customWidth="1"/>
    <col min="1792" max="1792" width="5.85546875" style="514" customWidth="1"/>
    <col min="1793" max="1793" width="9.42578125" style="514" customWidth="1"/>
    <col min="1794" max="1794" width="11.28515625" style="514" customWidth="1"/>
    <col min="1795" max="1795" width="11" style="514" customWidth="1"/>
    <col min="1796" max="1796" width="13.140625" style="514" customWidth="1"/>
    <col min="1797" max="1797" width="11.7109375" style="514" customWidth="1"/>
    <col min="1798" max="1798" width="11.140625" style="514" customWidth="1"/>
    <col min="1799" max="1799" width="11.7109375" style="514" customWidth="1"/>
    <col min="1800" max="2045" width="9.140625" style="514"/>
    <col min="2046" max="2046" width="5.28515625" style="514" customWidth="1"/>
    <col min="2047" max="2047" width="8" style="514" customWidth="1"/>
    <col min="2048" max="2048" width="5.85546875" style="514" customWidth="1"/>
    <col min="2049" max="2049" width="9.42578125" style="514" customWidth="1"/>
    <col min="2050" max="2050" width="11.28515625" style="514" customWidth="1"/>
    <col min="2051" max="2051" width="11" style="514" customWidth="1"/>
    <col min="2052" max="2052" width="13.140625" style="514" customWidth="1"/>
    <col min="2053" max="2053" width="11.7109375" style="514" customWidth="1"/>
    <col min="2054" max="2054" width="11.140625" style="514" customWidth="1"/>
    <col min="2055" max="2055" width="11.7109375" style="514" customWidth="1"/>
    <col min="2056" max="2301" width="9.140625" style="514"/>
    <col min="2302" max="2302" width="5.28515625" style="514" customWidth="1"/>
    <col min="2303" max="2303" width="8" style="514" customWidth="1"/>
    <col min="2304" max="2304" width="5.85546875" style="514" customWidth="1"/>
    <col min="2305" max="2305" width="9.42578125" style="514" customWidth="1"/>
    <col min="2306" max="2306" width="11.28515625" style="514" customWidth="1"/>
    <col min="2307" max="2307" width="11" style="514" customWidth="1"/>
    <col min="2308" max="2308" width="13.140625" style="514" customWidth="1"/>
    <col min="2309" max="2309" width="11.7109375" style="514" customWidth="1"/>
    <col min="2310" max="2310" width="11.140625" style="514" customWidth="1"/>
    <col min="2311" max="2311" width="11.7109375" style="514" customWidth="1"/>
    <col min="2312" max="2557" width="9.140625" style="514"/>
    <col min="2558" max="2558" width="5.28515625" style="514" customWidth="1"/>
    <col min="2559" max="2559" width="8" style="514" customWidth="1"/>
    <col min="2560" max="2560" width="5.85546875" style="514" customWidth="1"/>
    <col min="2561" max="2561" width="9.42578125" style="514" customWidth="1"/>
    <col min="2562" max="2562" width="11.28515625" style="514" customWidth="1"/>
    <col min="2563" max="2563" width="11" style="514" customWidth="1"/>
    <col min="2564" max="2564" width="13.140625" style="514" customWidth="1"/>
    <col min="2565" max="2565" width="11.7109375" style="514" customWidth="1"/>
    <col min="2566" max="2566" width="11.140625" style="514" customWidth="1"/>
    <col min="2567" max="2567" width="11.7109375" style="514" customWidth="1"/>
    <col min="2568" max="2813" width="9.140625" style="514"/>
    <col min="2814" max="2814" width="5.28515625" style="514" customWidth="1"/>
    <col min="2815" max="2815" width="8" style="514" customWidth="1"/>
    <col min="2816" max="2816" width="5.85546875" style="514" customWidth="1"/>
    <col min="2817" max="2817" width="9.42578125" style="514" customWidth="1"/>
    <col min="2818" max="2818" width="11.28515625" style="514" customWidth="1"/>
    <col min="2819" max="2819" width="11" style="514" customWidth="1"/>
    <col min="2820" max="2820" width="13.140625" style="514" customWidth="1"/>
    <col min="2821" max="2821" width="11.7109375" style="514" customWidth="1"/>
    <col min="2822" max="2822" width="11.140625" style="514" customWidth="1"/>
    <col min="2823" max="2823" width="11.7109375" style="514" customWidth="1"/>
    <col min="2824" max="3069" width="9.140625" style="514"/>
    <col min="3070" max="3070" width="5.28515625" style="514" customWidth="1"/>
    <col min="3071" max="3071" width="8" style="514" customWidth="1"/>
    <col min="3072" max="3072" width="5.85546875" style="514" customWidth="1"/>
    <col min="3073" max="3073" width="9.42578125" style="514" customWidth="1"/>
    <col min="3074" max="3074" width="11.28515625" style="514" customWidth="1"/>
    <col min="3075" max="3075" width="11" style="514" customWidth="1"/>
    <col min="3076" max="3076" width="13.140625" style="514" customWidth="1"/>
    <col min="3077" max="3077" width="11.7109375" style="514" customWidth="1"/>
    <col min="3078" max="3078" width="11.140625" style="514" customWidth="1"/>
    <col min="3079" max="3079" width="11.7109375" style="514" customWidth="1"/>
    <col min="3080" max="3325" width="9.140625" style="514"/>
    <col min="3326" max="3326" width="5.28515625" style="514" customWidth="1"/>
    <col min="3327" max="3327" width="8" style="514" customWidth="1"/>
    <col min="3328" max="3328" width="5.85546875" style="514" customWidth="1"/>
    <col min="3329" max="3329" width="9.42578125" style="514" customWidth="1"/>
    <col min="3330" max="3330" width="11.28515625" style="514" customWidth="1"/>
    <col min="3331" max="3331" width="11" style="514" customWidth="1"/>
    <col min="3332" max="3332" width="13.140625" style="514" customWidth="1"/>
    <col min="3333" max="3333" width="11.7109375" style="514" customWidth="1"/>
    <col min="3334" max="3334" width="11.140625" style="514" customWidth="1"/>
    <col min="3335" max="3335" width="11.7109375" style="514" customWidth="1"/>
    <col min="3336" max="3581" width="9.140625" style="514"/>
    <col min="3582" max="3582" width="5.28515625" style="514" customWidth="1"/>
    <col min="3583" max="3583" width="8" style="514" customWidth="1"/>
    <col min="3584" max="3584" width="5.85546875" style="514" customWidth="1"/>
    <col min="3585" max="3585" width="9.42578125" style="514" customWidth="1"/>
    <col min="3586" max="3586" width="11.28515625" style="514" customWidth="1"/>
    <col min="3587" max="3587" width="11" style="514" customWidth="1"/>
    <col min="3588" max="3588" width="13.140625" style="514" customWidth="1"/>
    <col min="3589" max="3589" width="11.7109375" style="514" customWidth="1"/>
    <col min="3590" max="3590" width="11.140625" style="514" customWidth="1"/>
    <col min="3591" max="3591" width="11.7109375" style="514" customWidth="1"/>
    <col min="3592" max="3837" width="9.140625" style="514"/>
    <col min="3838" max="3838" width="5.28515625" style="514" customWidth="1"/>
    <col min="3839" max="3839" width="8" style="514" customWidth="1"/>
    <col min="3840" max="3840" width="5.85546875" style="514" customWidth="1"/>
    <col min="3841" max="3841" width="9.42578125" style="514" customWidth="1"/>
    <col min="3842" max="3842" width="11.28515625" style="514" customWidth="1"/>
    <col min="3843" max="3843" width="11" style="514" customWidth="1"/>
    <col min="3844" max="3844" width="13.140625" style="514" customWidth="1"/>
    <col min="3845" max="3845" width="11.7109375" style="514" customWidth="1"/>
    <col min="3846" max="3846" width="11.140625" style="514" customWidth="1"/>
    <col min="3847" max="3847" width="11.7109375" style="514" customWidth="1"/>
    <col min="3848" max="4093" width="9.140625" style="514"/>
    <col min="4094" max="4094" width="5.28515625" style="514" customWidth="1"/>
    <col min="4095" max="4095" width="8" style="514" customWidth="1"/>
    <col min="4096" max="4096" width="5.85546875" style="514" customWidth="1"/>
    <col min="4097" max="4097" width="9.42578125" style="514" customWidth="1"/>
    <col min="4098" max="4098" width="11.28515625" style="514" customWidth="1"/>
    <col min="4099" max="4099" width="11" style="514" customWidth="1"/>
    <col min="4100" max="4100" width="13.140625" style="514" customWidth="1"/>
    <col min="4101" max="4101" width="11.7109375" style="514" customWidth="1"/>
    <col min="4102" max="4102" width="11.140625" style="514" customWidth="1"/>
    <col min="4103" max="4103" width="11.7109375" style="514" customWidth="1"/>
    <col min="4104" max="4349" width="9.140625" style="514"/>
    <col min="4350" max="4350" width="5.28515625" style="514" customWidth="1"/>
    <col min="4351" max="4351" width="8" style="514" customWidth="1"/>
    <col min="4352" max="4352" width="5.85546875" style="514" customWidth="1"/>
    <col min="4353" max="4353" width="9.42578125" style="514" customWidth="1"/>
    <col min="4354" max="4354" width="11.28515625" style="514" customWidth="1"/>
    <col min="4355" max="4355" width="11" style="514" customWidth="1"/>
    <col min="4356" max="4356" width="13.140625" style="514" customWidth="1"/>
    <col min="4357" max="4357" width="11.7109375" style="514" customWidth="1"/>
    <col min="4358" max="4358" width="11.140625" style="514" customWidth="1"/>
    <col min="4359" max="4359" width="11.7109375" style="514" customWidth="1"/>
    <col min="4360" max="4605" width="9.140625" style="514"/>
    <col min="4606" max="4606" width="5.28515625" style="514" customWidth="1"/>
    <col min="4607" max="4607" width="8" style="514" customWidth="1"/>
    <col min="4608" max="4608" width="5.85546875" style="514" customWidth="1"/>
    <col min="4609" max="4609" width="9.42578125" style="514" customWidth="1"/>
    <col min="4610" max="4610" width="11.28515625" style="514" customWidth="1"/>
    <col min="4611" max="4611" width="11" style="514" customWidth="1"/>
    <col min="4612" max="4612" width="13.140625" style="514" customWidth="1"/>
    <col min="4613" max="4613" width="11.7109375" style="514" customWidth="1"/>
    <col min="4614" max="4614" width="11.140625" style="514" customWidth="1"/>
    <col min="4615" max="4615" width="11.7109375" style="514" customWidth="1"/>
    <col min="4616" max="4861" width="9.140625" style="514"/>
    <col min="4862" max="4862" width="5.28515625" style="514" customWidth="1"/>
    <col min="4863" max="4863" width="8" style="514" customWidth="1"/>
    <col min="4864" max="4864" width="5.85546875" style="514" customWidth="1"/>
    <col min="4865" max="4865" width="9.42578125" style="514" customWidth="1"/>
    <col min="4866" max="4866" width="11.28515625" style="514" customWidth="1"/>
    <col min="4867" max="4867" width="11" style="514" customWidth="1"/>
    <col min="4868" max="4868" width="13.140625" style="514" customWidth="1"/>
    <col min="4869" max="4869" width="11.7109375" style="514" customWidth="1"/>
    <col min="4870" max="4870" width="11.140625" style="514" customWidth="1"/>
    <col min="4871" max="4871" width="11.7109375" style="514" customWidth="1"/>
    <col min="4872" max="5117" width="9.140625" style="514"/>
    <col min="5118" max="5118" width="5.28515625" style="514" customWidth="1"/>
    <col min="5119" max="5119" width="8" style="514" customWidth="1"/>
    <col min="5120" max="5120" width="5.85546875" style="514" customWidth="1"/>
    <col min="5121" max="5121" width="9.42578125" style="514" customWidth="1"/>
    <col min="5122" max="5122" width="11.28515625" style="514" customWidth="1"/>
    <col min="5123" max="5123" width="11" style="514" customWidth="1"/>
    <col min="5124" max="5124" width="13.140625" style="514" customWidth="1"/>
    <col min="5125" max="5125" width="11.7109375" style="514" customWidth="1"/>
    <col min="5126" max="5126" width="11.140625" style="514" customWidth="1"/>
    <col min="5127" max="5127" width="11.7109375" style="514" customWidth="1"/>
    <col min="5128" max="5373" width="9.140625" style="514"/>
    <col min="5374" max="5374" width="5.28515625" style="514" customWidth="1"/>
    <col min="5375" max="5375" width="8" style="514" customWidth="1"/>
    <col min="5376" max="5376" width="5.85546875" style="514" customWidth="1"/>
    <col min="5377" max="5377" width="9.42578125" style="514" customWidth="1"/>
    <col min="5378" max="5378" width="11.28515625" style="514" customWidth="1"/>
    <col min="5379" max="5379" width="11" style="514" customWidth="1"/>
    <col min="5380" max="5380" width="13.140625" style="514" customWidth="1"/>
    <col min="5381" max="5381" width="11.7109375" style="514" customWidth="1"/>
    <col min="5382" max="5382" width="11.140625" style="514" customWidth="1"/>
    <col min="5383" max="5383" width="11.7109375" style="514" customWidth="1"/>
    <col min="5384" max="5629" width="9.140625" style="514"/>
    <col min="5630" max="5630" width="5.28515625" style="514" customWidth="1"/>
    <col min="5631" max="5631" width="8" style="514" customWidth="1"/>
    <col min="5632" max="5632" width="5.85546875" style="514" customWidth="1"/>
    <col min="5633" max="5633" width="9.42578125" style="514" customWidth="1"/>
    <col min="5634" max="5634" width="11.28515625" style="514" customWidth="1"/>
    <col min="5635" max="5635" width="11" style="514" customWidth="1"/>
    <col min="5636" max="5636" width="13.140625" style="514" customWidth="1"/>
    <col min="5637" max="5637" width="11.7109375" style="514" customWidth="1"/>
    <col min="5638" max="5638" width="11.140625" style="514" customWidth="1"/>
    <col min="5639" max="5639" width="11.7109375" style="514" customWidth="1"/>
    <col min="5640" max="5885" width="9.140625" style="514"/>
    <col min="5886" max="5886" width="5.28515625" style="514" customWidth="1"/>
    <col min="5887" max="5887" width="8" style="514" customWidth="1"/>
    <col min="5888" max="5888" width="5.85546875" style="514" customWidth="1"/>
    <col min="5889" max="5889" width="9.42578125" style="514" customWidth="1"/>
    <col min="5890" max="5890" width="11.28515625" style="514" customWidth="1"/>
    <col min="5891" max="5891" width="11" style="514" customWidth="1"/>
    <col min="5892" max="5892" width="13.140625" style="514" customWidth="1"/>
    <col min="5893" max="5893" width="11.7109375" style="514" customWidth="1"/>
    <col min="5894" max="5894" width="11.140625" style="514" customWidth="1"/>
    <col min="5895" max="5895" width="11.7109375" style="514" customWidth="1"/>
    <col min="5896" max="6141" width="9.140625" style="514"/>
    <col min="6142" max="6142" width="5.28515625" style="514" customWidth="1"/>
    <col min="6143" max="6143" width="8" style="514" customWidth="1"/>
    <col min="6144" max="6144" width="5.85546875" style="514" customWidth="1"/>
    <col min="6145" max="6145" width="9.42578125" style="514" customWidth="1"/>
    <col min="6146" max="6146" width="11.28515625" style="514" customWidth="1"/>
    <col min="6147" max="6147" width="11" style="514" customWidth="1"/>
    <col min="6148" max="6148" width="13.140625" style="514" customWidth="1"/>
    <col min="6149" max="6149" width="11.7109375" style="514" customWidth="1"/>
    <col min="6150" max="6150" width="11.140625" style="514" customWidth="1"/>
    <col min="6151" max="6151" width="11.7109375" style="514" customWidth="1"/>
    <col min="6152" max="6397" width="9.140625" style="514"/>
    <col min="6398" max="6398" width="5.28515625" style="514" customWidth="1"/>
    <col min="6399" max="6399" width="8" style="514" customWidth="1"/>
    <col min="6400" max="6400" width="5.85546875" style="514" customWidth="1"/>
    <col min="6401" max="6401" width="9.42578125" style="514" customWidth="1"/>
    <col min="6402" max="6402" width="11.28515625" style="514" customWidth="1"/>
    <col min="6403" max="6403" width="11" style="514" customWidth="1"/>
    <col min="6404" max="6404" width="13.140625" style="514" customWidth="1"/>
    <col min="6405" max="6405" width="11.7109375" style="514" customWidth="1"/>
    <col min="6406" max="6406" width="11.140625" style="514" customWidth="1"/>
    <col min="6407" max="6407" width="11.7109375" style="514" customWidth="1"/>
    <col min="6408" max="6653" width="9.140625" style="514"/>
    <col min="6654" max="6654" width="5.28515625" style="514" customWidth="1"/>
    <col min="6655" max="6655" width="8" style="514" customWidth="1"/>
    <col min="6656" max="6656" width="5.85546875" style="514" customWidth="1"/>
    <col min="6657" max="6657" width="9.42578125" style="514" customWidth="1"/>
    <col min="6658" max="6658" width="11.28515625" style="514" customWidth="1"/>
    <col min="6659" max="6659" width="11" style="514" customWidth="1"/>
    <col min="6660" max="6660" width="13.140625" style="514" customWidth="1"/>
    <col min="6661" max="6661" width="11.7109375" style="514" customWidth="1"/>
    <col min="6662" max="6662" width="11.140625" style="514" customWidth="1"/>
    <col min="6663" max="6663" width="11.7109375" style="514" customWidth="1"/>
    <col min="6664" max="6909" width="9.140625" style="514"/>
    <col min="6910" max="6910" width="5.28515625" style="514" customWidth="1"/>
    <col min="6911" max="6911" width="8" style="514" customWidth="1"/>
    <col min="6912" max="6912" width="5.85546875" style="514" customWidth="1"/>
    <col min="6913" max="6913" width="9.42578125" style="514" customWidth="1"/>
    <col min="6914" max="6914" width="11.28515625" style="514" customWidth="1"/>
    <col min="6915" max="6915" width="11" style="514" customWidth="1"/>
    <col min="6916" max="6916" width="13.140625" style="514" customWidth="1"/>
    <col min="6917" max="6917" width="11.7109375" style="514" customWidth="1"/>
    <col min="6918" max="6918" width="11.140625" style="514" customWidth="1"/>
    <col min="6919" max="6919" width="11.7109375" style="514" customWidth="1"/>
    <col min="6920" max="7165" width="9.140625" style="514"/>
    <col min="7166" max="7166" width="5.28515625" style="514" customWidth="1"/>
    <col min="7167" max="7167" width="8" style="514" customWidth="1"/>
    <col min="7168" max="7168" width="5.85546875" style="514" customWidth="1"/>
    <col min="7169" max="7169" width="9.42578125" style="514" customWidth="1"/>
    <col min="7170" max="7170" width="11.28515625" style="514" customWidth="1"/>
    <col min="7171" max="7171" width="11" style="514" customWidth="1"/>
    <col min="7172" max="7172" width="13.140625" style="514" customWidth="1"/>
    <col min="7173" max="7173" width="11.7109375" style="514" customWidth="1"/>
    <col min="7174" max="7174" width="11.140625" style="514" customWidth="1"/>
    <col min="7175" max="7175" width="11.7109375" style="514" customWidth="1"/>
    <col min="7176" max="7421" width="9.140625" style="514"/>
    <col min="7422" max="7422" width="5.28515625" style="514" customWidth="1"/>
    <col min="7423" max="7423" width="8" style="514" customWidth="1"/>
    <col min="7424" max="7424" width="5.85546875" style="514" customWidth="1"/>
    <col min="7425" max="7425" width="9.42578125" style="514" customWidth="1"/>
    <col min="7426" max="7426" width="11.28515625" style="514" customWidth="1"/>
    <col min="7427" max="7427" width="11" style="514" customWidth="1"/>
    <col min="7428" max="7428" width="13.140625" style="514" customWidth="1"/>
    <col min="7429" max="7429" width="11.7109375" style="514" customWidth="1"/>
    <col min="7430" max="7430" width="11.140625" style="514" customWidth="1"/>
    <col min="7431" max="7431" width="11.7109375" style="514" customWidth="1"/>
    <col min="7432" max="7677" width="9.140625" style="514"/>
    <col min="7678" max="7678" width="5.28515625" style="514" customWidth="1"/>
    <col min="7679" max="7679" width="8" style="514" customWidth="1"/>
    <col min="7680" max="7680" width="5.85546875" style="514" customWidth="1"/>
    <col min="7681" max="7681" width="9.42578125" style="514" customWidth="1"/>
    <col min="7682" max="7682" width="11.28515625" style="514" customWidth="1"/>
    <col min="7683" max="7683" width="11" style="514" customWidth="1"/>
    <col min="7684" max="7684" width="13.140625" style="514" customWidth="1"/>
    <col min="7685" max="7685" width="11.7109375" style="514" customWidth="1"/>
    <col min="7686" max="7686" width="11.140625" style="514" customWidth="1"/>
    <col min="7687" max="7687" width="11.7109375" style="514" customWidth="1"/>
    <col min="7688" max="7933" width="9.140625" style="514"/>
    <col min="7934" max="7934" width="5.28515625" style="514" customWidth="1"/>
    <col min="7935" max="7935" width="8" style="514" customWidth="1"/>
    <col min="7936" max="7936" width="5.85546875" style="514" customWidth="1"/>
    <col min="7937" max="7937" width="9.42578125" style="514" customWidth="1"/>
    <col min="7938" max="7938" width="11.28515625" style="514" customWidth="1"/>
    <col min="7939" max="7939" width="11" style="514" customWidth="1"/>
    <col min="7940" max="7940" width="13.140625" style="514" customWidth="1"/>
    <col min="7941" max="7941" width="11.7109375" style="514" customWidth="1"/>
    <col min="7942" max="7942" width="11.140625" style="514" customWidth="1"/>
    <col min="7943" max="7943" width="11.7109375" style="514" customWidth="1"/>
    <col min="7944" max="8189" width="9.140625" style="514"/>
    <col min="8190" max="8190" width="5.28515625" style="514" customWidth="1"/>
    <col min="8191" max="8191" width="8" style="514" customWidth="1"/>
    <col min="8192" max="8192" width="5.85546875" style="514" customWidth="1"/>
    <col min="8193" max="8193" width="9.42578125" style="514" customWidth="1"/>
    <col min="8194" max="8194" width="11.28515625" style="514" customWidth="1"/>
    <col min="8195" max="8195" width="11" style="514" customWidth="1"/>
    <col min="8196" max="8196" width="13.140625" style="514" customWidth="1"/>
    <col min="8197" max="8197" width="11.7109375" style="514" customWidth="1"/>
    <col min="8198" max="8198" width="11.140625" style="514" customWidth="1"/>
    <col min="8199" max="8199" width="11.7109375" style="514" customWidth="1"/>
    <col min="8200" max="8445" width="9.140625" style="514"/>
    <col min="8446" max="8446" width="5.28515625" style="514" customWidth="1"/>
    <col min="8447" max="8447" width="8" style="514" customWidth="1"/>
    <col min="8448" max="8448" width="5.85546875" style="514" customWidth="1"/>
    <col min="8449" max="8449" width="9.42578125" style="514" customWidth="1"/>
    <col min="8450" max="8450" width="11.28515625" style="514" customWidth="1"/>
    <col min="8451" max="8451" width="11" style="514" customWidth="1"/>
    <col min="8452" max="8452" width="13.140625" style="514" customWidth="1"/>
    <col min="8453" max="8453" width="11.7109375" style="514" customWidth="1"/>
    <col min="8454" max="8454" width="11.140625" style="514" customWidth="1"/>
    <col min="8455" max="8455" width="11.7109375" style="514" customWidth="1"/>
    <col min="8456" max="8701" width="9.140625" style="514"/>
    <col min="8702" max="8702" width="5.28515625" style="514" customWidth="1"/>
    <col min="8703" max="8703" width="8" style="514" customWidth="1"/>
    <col min="8704" max="8704" width="5.85546875" style="514" customWidth="1"/>
    <col min="8705" max="8705" width="9.42578125" style="514" customWidth="1"/>
    <col min="8706" max="8706" width="11.28515625" style="514" customWidth="1"/>
    <col min="8707" max="8707" width="11" style="514" customWidth="1"/>
    <col min="8708" max="8708" width="13.140625" style="514" customWidth="1"/>
    <col min="8709" max="8709" width="11.7109375" style="514" customWidth="1"/>
    <col min="8710" max="8710" width="11.140625" style="514" customWidth="1"/>
    <col min="8711" max="8711" width="11.7109375" style="514" customWidth="1"/>
    <col min="8712" max="8957" width="9.140625" style="514"/>
    <col min="8958" max="8958" width="5.28515625" style="514" customWidth="1"/>
    <col min="8959" max="8959" width="8" style="514" customWidth="1"/>
    <col min="8960" max="8960" width="5.85546875" style="514" customWidth="1"/>
    <col min="8961" max="8961" width="9.42578125" style="514" customWidth="1"/>
    <col min="8962" max="8962" width="11.28515625" style="514" customWidth="1"/>
    <col min="8963" max="8963" width="11" style="514" customWidth="1"/>
    <col min="8964" max="8964" width="13.140625" style="514" customWidth="1"/>
    <col min="8965" max="8965" width="11.7109375" style="514" customWidth="1"/>
    <col min="8966" max="8966" width="11.140625" style="514" customWidth="1"/>
    <col min="8967" max="8967" width="11.7109375" style="514" customWidth="1"/>
    <col min="8968" max="9213" width="9.140625" style="514"/>
    <col min="9214" max="9214" width="5.28515625" style="514" customWidth="1"/>
    <col min="9215" max="9215" width="8" style="514" customWidth="1"/>
    <col min="9216" max="9216" width="5.85546875" style="514" customWidth="1"/>
    <col min="9217" max="9217" width="9.42578125" style="514" customWidth="1"/>
    <col min="9218" max="9218" width="11.28515625" style="514" customWidth="1"/>
    <col min="9219" max="9219" width="11" style="514" customWidth="1"/>
    <col min="9220" max="9220" width="13.140625" style="514" customWidth="1"/>
    <col min="9221" max="9221" width="11.7109375" style="514" customWidth="1"/>
    <col min="9222" max="9222" width="11.140625" style="514" customWidth="1"/>
    <col min="9223" max="9223" width="11.7109375" style="514" customWidth="1"/>
    <col min="9224" max="9469" width="9.140625" style="514"/>
    <col min="9470" max="9470" width="5.28515625" style="514" customWidth="1"/>
    <col min="9471" max="9471" width="8" style="514" customWidth="1"/>
    <col min="9472" max="9472" width="5.85546875" style="514" customWidth="1"/>
    <col min="9473" max="9473" width="9.42578125" style="514" customWidth="1"/>
    <col min="9474" max="9474" width="11.28515625" style="514" customWidth="1"/>
    <col min="9475" max="9475" width="11" style="514" customWidth="1"/>
    <col min="9476" max="9476" width="13.140625" style="514" customWidth="1"/>
    <col min="9477" max="9477" width="11.7109375" style="514" customWidth="1"/>
    <col min="9478" max="9478" width="11.140625" style="514" customWidth="1"/>
    <col min="9479" max="9479" width="11.7109375" style="514" customWidth="1"/>
    <col min="9480" max="9725" width="9.140625" style="514"/>
    <col min="9726" max="9726" width="5.28515625" style="514" customWidth="1"/>
    <col min="9727" max="9727" width="8" style="514" customWidth="1"/>
    <col min="9728" max="9728" width="5.85546875" style="514" customWidth="1"/>
    <col min="9729" max="9729" width="9.42578125" style="514" customWidth="1"/>
    <col min="9730" max="9730" width="11.28515625" style="514" customWidth="1"/>
    <col min="9731" max="9731" width="11" style="514" customWidth="1"/>
    <col min="9732" max="9732" width="13.140625" style="514" customWidth="1"/>
    <col min="9733" max="9733" width="11.7109375" style="514" customWidth="1"/>
    <col min="9734" max="9734" width="11.140625" style="514" customWidth="1"/>
    <col min="9735" max="9735" width="11.7109375" style="514" customWidth="1"/>
    <col min="9736" max="9981" width="9.140625" style="514"/>
    <col min="9982" max="9982" width="5.28515625" style="514" customWidth="1"/>
    <col min="9983" max="9983" width="8" style="514" customWidth="1"/>
    <col min="9984" max="9984" width="5.85546875" style="514" customWidth="1"/>
    <col min="9985" max="9985" width="9.42578125" style="514" customWidth="1"/>
    <col min="9986" max="9986" width="11.28515625" style="514" customWidth="1"/>
    <col min="9987" max="9987" width="11" style="514" customWidth="1"/>
    <col min="9988" max="9988" width="13.140625" style="514" customWidth="1"/>
    <col min="9989" max="9989" width="11.7109375" style="514" customWidth="1"/>
    <col min="9990" max="9990" width="11.140625" style="514" customWidth="1"/>
    <col min="9991" max="9991" width="11.7109375" style="514" customWidth="1"/>
    <col min="9992" max="10237" width="9.140625" style="514"/>
    <col min="10238" max="10238" width="5.28515625" style="514" customWidth="1"/>
    <col min="10239" max="10239" width="8" style="514" customWidth="1"/>
    <col min="10240" max="10240" width="5.85546875" style="514" customWidth="1"/>
    <col min="10241" max="10241" width="9.42578125" style="514" customWidth="1"/>
    <col min="10242" max="10242" width="11.28515625" style="514" customWidth="1"/>
    <col min="10243" max="10243" width="11" style="514" customWidth="1"/>
    <col min="10244" max="10244" width="13.140625" style="514" customWidth="1"/>
    <col min="10245" max="10245" width="11.7109375" style="514" customWidth="1"/>
    <col min="10246" max="10246" width="11.140625" style="514" customWidth="1"/>
    <col min="10247" max="10247" width="11.7109375" style="514" customWidth="1"/>
    <col min="10248" max="10493" width="9.140625" style="514"/>
    <col min="10494" max="10494" width="5.28515625" style="514" customWidth="1"/>
    <col min="10495" max="10495" width="8" style="514" customWidth="1"/>
    <col min="10496" max="10496" width="5.85546875" style="514" customWidth="1"/>
    <col min="10497" max="10497" width="9.42578125" style="514" customWidth="1"/>
    <col min="10498" max="10498" width="11.28515625" style="514" customWidth="1"/>
    <col min="10499" max="10499" width="11" style="514" customWidth="1"/>
    <col min="10500" max="10500" width="13.140625" style="514" customWidth="1"/>
    <col min="10501" max="10501" width="11.7109375" style="514" customWidth="1"/>
    <col min="10502" max="10502" width="11.140625" style="514" customWidth="1"/>
    <col min="10503" max="10503" width="11.7109375" style="514" customWidth="1"/>
    <col min="10504" max="10749" width="9.140625" style="514"/>
    <col min="10750" max="10750" width="5.28515625" style="514" customWidth="1"/>
    <col min="10751" max="10751" width="8" style="514" customWidth="1"/>
    <col min="10752" max="10752" width="5.85546875" style="514" customWidth="1"/>
    <col min="10753" max="10753" width="9.42578125" style="514" customWidth="1"/>
    <col min="10754" max="10754" width="11.28515625" style="514" customWidth="1"/>
    <col min="10755" max="10755" width="11" style="514" customWidth="1"/>
    <col min="10756" max="10756" width="13.140625" style="514" customWidth="1"/>
    <col min="10757" max="10757" width="11.7109375" style="514" customWidth="1"/>
    <col min="10758" max="10758" width="11.140625" style="514" customWidth="1"/>
    <col min="10759" max="10759" width="11.7109375" style="514" customWidth="1"/>
    <col min="10760" max="11005" width="9.140625" style="514"/>
    <col min="11006" max="11006" width="5.28515625" style="514" customWidth="1"/>
    <col min="11007" max="11007" width="8" style="514" customWidth="1"/>
    <col min="11008" max="11008" width="5.85546875" style="514" customWidth="1"/>
    <col min="11009" max="11009" width="9.42578125" style="514" customWidth="1"/>
    <col min="11010" max="11010" width="11.28515625" style="514" customWidth="1"/>
    <col min="11011" max="11011" width="11" style="514" customWidth="1"/>
    <col min="11012" max="11012" width="13.140625" style="514" customWidth="1"/>
    <col min="11013" max="11013" width="11.7109375" style="514" customWidth="1"/>
    <col min="11014" max="11014" width="11.140625" style="514" customWidth="1"/>
    <col min="11015" max="11015" width="11.7109375" style="514" customWidth="1"/>
    <col min="11016" max="11261" width="9.140625" style="514"/>
    <col min="11262" max="11262" width="5.28515625" style="514" customWidth="1"/>
    <col min="11263" max="11263" width="8" style="514" customWidth="1"/>
    <col min="11264" max="11264" width="5.85546875" style="514" customWidth="1"/>
    <col min="11265" max="11265" width="9.42578125" style="514" customWidth="1"/>
    <col min="11266" max="11266" width="11.28515625" style="514" customWidth="1"/>
    <col min="11267" max="11267" width="11" style="514" customWidth="1"/>
    <col min="11268" max="11268" width="13.140625" style="514" customWidth="1"/>
    <col min="11269" max="11269" width="11.7109375" style="514" customWidth="1"/>
    <col min="11270" max="11270" width="11.140625" style="514" customWidth="1"/>
    <col min="11271" max="11271" width="11.7109375" style="514" customWidth="1"/>
    <col min="11272" max="11517" width="9.140625" style="514"/>
    <col min="11518" max="11518" width="5.28515625" style="514" customWidth="1"/>
    <col min="11519" max="11519" width="8" style="514" customWidth="1"/>
    <col min="11520" max="11520" width="5.85546875" style="514" customWidth="1"/>
    <col min="11521" max="11521" width="9.42578125" style="514" customWidth="1"/>
    <col min="11522" max="11522" width="11.28515625" style="514" customWidth="1"/>
    <col min="11523" max="11523" width="11" style="514" customWidth="1"/>
    <col min="11524" max="11524" width="13.140625" style="514" customWidth="1"/>
    <col min="11525" max="11525" width="11.7109375" style="514" customWidth="1"/>
    <col min="11526" max="11526" width="11.140625" style="514" customWidth="1"/>
    <col min="11527" max="11527" width="11.7109375" style="514" customWidth="1"/>
    <col min="11528" max="11773" width="9.140625" style="514"/>
    <col min="11774" max="11774" width="5.28515625" style="514" customWidth="1"/>
    <col min="11775" max="11775" width="8" style="514" customWidth="1"/>
    <col min="11776" max="11776" width="5.85546875" style="514" customWidth="1"/>
    <col min="11777" max="11777" width="9.42578125" style="514" customWidth="1"/>
    <col min="11778" max="11778" width="11.28515625" style="514" customWidth="1"/>
    <col min="11779" max="11779" width="11" style="514" customWidth="1"/>
    <col min="11780" max="11780" width="13.140625" style="514" customWidth="1"/>
    <col min="11781" max="11781" width="11.7109375" style="514" customWidth="1"/>
    <col min="11782" max="11782" width="11.140625" style="514" customWidth="1"/>
    <col min="11783" max="11783" width="11.7109375" style="514" customWidth="1"/>
    <col min="11784" max="12029" width="9.140625" style="514"/>
    <col min="12030" max="12030" width="5.28515625" style="514" customWidth="1"/>
    <col min="12031" max="12031" width="8" style="514" customWidth="1"/>
    <col min="12032" max="12032" width="5.85546875" style="514" customWidth="1"/>
    <col min="12033" max="12033" width="9.42578125" style="514" customWidth="1"/>
    <col min="12034" max="12034" width="11.28515625" style="514" customWidth="1"/>
    <col min="12035" max="12035" width="11" style="514" customWidth="1"/>
    <col min="12036" max="12036" width="13.140625" style="514" customWidth="1"/>
    <col min="12037" max="12037" width="11.7109375" style="514" customWidth="1"/>
    <col min="12038" max="12038" width="11.140625" style="514" customWidth="1"/>
    <col min="12039" max="12039" width="11.7109375" style="514" customWidth="1"/>
    <col min="12040" max="12285" width="9.140625" style="514"/>
    <col min="12286" max="12286" width="5.28515625" style="514" customWidth="1"/>
    <col min="12287" max="12287" width="8" style="514" customWidth="1"/>
    <col min="12288" max="12288" width="5.85546875" style="514" customWidth="1"/>
    <col min="12289" max="12289" width="9.42578125" style="514" customWidth="1"/>
    <col min="12290" max="12290" width="11.28515625" style="514" customWidth="1"/>
    <col min="12291" max="12291" width="11" style="514" customWidth="1"/>
    <col min="12292" max="12292" width="13.140625" style="514" customWidth="1"/>
    <col min="12293" max="12293" width="11.7109375" style="514" customWidth="1"/>
    <col min="12294" max="12294" width="11.140625" style="514" customWidth="1"/>
    <col min="12295" max="12295" width="11.7109375" style="514" customWidth="1"/>
    <col min="12296" max="12541" width="9.140625" style="514"/>
    <col min="12542" max="12542" width="5.28515625" style="514" customWidth="1"/>
    <col min="12543" max="12543" width="8" style="514" customWidth="1"/>
    <col min="12544" max="12544" width="5.85546875" style="514" customWidth="1"/>
    <col min="12545" max="12545" width="9.42578125" style="514" customWidth="1"/>
    <col min="12546" max="12546" width="11.28515625" style="514" customWidth="1"/>
    <col min="12547" max="12547" width="11" style="514" customWidth="1"/>
    <col min="12548" max="12548" width="13.140625" style="514" customWidth="1"/>
    <col min="12549" max="12549" width="11.7109375" style="514" customWidth="1"/>
    <col min="12550" max="12550" width="11.140625" style="514" customWidth="1"/>
    <col min="12551" max="12551" width="11.7109375" style="514" customWidth="1"/>
    <col min="12552" max="12797" width="9.140625" style="514"/>
    <col min="12798" max="12798" width="5.28515625" style="514" customWidth="1"/>
    <col min="12799" max="12799" width="8" style="514" customWidth="1"/>
    <col min="12800" max="12800" width="5.85546875" style="514" customWidth="1"/>
    <col min="12801" max="12801" width="9.42578125" style="514" customWidth="1"/>
    <col min="12802" max="12802" width="11.28515625" style="514" customWidth="1"/>
    <col min="12803" max="12803" width="11" style="514" customWidth="1"/>
    <col min="12804" max="12804" width="13.140625" style="514" customWidth="1"/>
    <col min="12805" max="12805" width="11.7109375" style="514" customWidth="1"/>
    <col min="12806" max="12806" width="11.140625" style="514" customWidth="1"/>
    <col min="12807" max="12807" width="11.7109375" style="514" customWidth="1"/>
    <col min="12808" max="13053" width="9.140625" style="514"/>
    <col min="13054" max="13054" width="5.28515625" style="514" customWidth="1"/>
    <col min="13055" max="13055" width="8" style="514" customWidth="1"/>
    <col min="13056" max="13056" width="5.85546875" style="514" customWidth="1"/>
    <col min="13057" max="13057" width="9.42578125" style="514" customWidth="1"/>
    <col min="13058" max="13058" width="11.28515625" style="514" customWidth="1"/>
    <col min="13059" max="13059" width="11" style="514" customWidth="1"/>
    <col min="13060" max="13060" width="13.140625" style="514" customWidth="1"/>
    <col min="13061" max="13061" width="11.7109375" style="514" customWidth="1"/>
    <col min="13062" max="13062" width="11.140625" style="514" customWidth="1"/>
    <col min="13063" max="13063" width="11.7109375" style="514" customWidth="1"/>
    <col min="13064" max="13309" width="9.140625" style="514"/>
    <col min="13310" max="13310" width="5.28515625" style="514" customWidth="1"/>
    <col min="13311" max="13311" width="8" style="514" customWidth="1"/>
    <col min="13312" max="13312" width="5.85546875" style="514" customWidth="1"/>
    <col min="13313" max="13313" width="9.42578125" style="514" customWidth="1"/>
    <col min="13314" max="13314" width="11.28515625" style="514" customWidth="1"/>
    <col min="13315" max="13315" width="11" style="514" customWidth="1"/>
    <col min="13316" max="13316" width="13.140625" style="514" customWidth="1"/>
    <col min="13317" max="13317" width="11.7109375" style="514" customWidth="1"/>
    <col min="13318" max="13318" width="11.140625" style="514" customWidth="1"/>
    <col min="13319" max="13319" width="11.7109375" style="514" customWidth="1"/>
    <col min="13320" max="13565" width="9.140625" style="514"/>
    <col min="13566" max="13566" width="5.28515625" style="514" customWidth="1"/>
    <col min="13567" max="13567" width="8" style="514" customWidth="1"/>
    <col min="13568" max="13568" width="5.85546875" style="514" customWidth="1"/>
    <col min="13569" max="13569" width="9.42578125" style="514" customWidth="1"/>
    <col min="13570" max="13570" width="11.28515625" style="514" customWidth="1"/>
    <col min="13571" max="13571" width="11" style="514" customWidth="1"/>
    <col min="13572" max="13572" width="13.140625" style="514" customWidth="1"/>
    <col min="13573" max="13573" width="11.7109375" style="514" customWidth="1"/>
    <col min="13574" max="13574" width="11.140625" style="514" customWidth="1"/>
    <col min="13575" max="13575" width="11.7109375" style="514" customWidth="1"/>
    <col min="13576" max="13821" width="9.140625" style="514"/>
    <col min="13822" max="13822" width="5.28515625" style="514" customWidth="1"/>
    <col min="13823" max="13823" width="8" style="514" customWidth="1"/>
    <col min="13824" max="13824" width="5.85546875" style="514" customWidth="1"/>
    <col min="13825" max="13825" width="9.42578125" style="514" customWidth="1"/>
    <col min="13826" max="13826" width="11.28515625" style="514" customWidth="1"/>
    <col min="13827" max="13827" width="11" style="514" customWidth="1"/>
    <col min="13828" max="13828" width="13.140625" style="514" customWidth="1"/>
    <col min="13829" max="13829" width="11.7109375" style="514" customWidth="1"/>
    <col min="13830" max="13830" width="11.140625" style="514" customWidth="1"/>
    <col min="13831" max="13831" width="11.7109375" style="514" customWidth="1"/>
    <col min="13832" max="14077" width="9.140625" style="514"/>
    <col min="14078" max="14078" width="5.28515625" style="514" customWidth="1"/>
    <col min="14079" max="14079" width="8" style="514" customWidth="1"/>
    <col min="14080" max="14080" width="5.85546875" style="514" customWidth="1"/>
    <col min="14081" max="14081" width="9.42578125" style="514" customWidth="1"/>
    <col min="14082" max="14082" width="11.28515625" style="514" customWidth="1"/>
    <col min="14083" max="14083" width="11" style="514" customWidth="1"/>
    <col min="14084" max="14084" width="13.140625" style="514" customWidth="1"/>
    <col min="14085" max="14085" width="11.7109375" style="514" customWidth="1"/>
    <col min="14086" max="14086" width="11.140625" style="514" customWidth="1"/>
    <col min="14087" max="14087" width="11.7109375" style="514" customWidth="1"/>
    <col min="14088" max="14333" width="9.140625" style="514"/>
    <col min="14334" max="14334" width="5.28515625" style="514" customWidth="1"/>
    <col min="14335" max="14335" width="8" style="514" customWidth="1"/>
    <col min="14336" max="14336" width="5.85546875" style="514" customWidth="1"/>
    <col min="14337" max="14337" width="9.42578125" style="514" customWidth="1"/>
    <col min="14338" max="14338" width="11.28515625" style="514" customWidth="1"/>
    <col min="14339" max="14339" width="11" style="514" customWidth="1"/>
    <col min="14340" max="14340" width="13.140625" style="514" customWidth="1"/>
    <col min="14341" max="14341" width="11.7109375" style="514" customWidth="1"/>
    <col min="14342" max="14342" width="11.140625" style="514" customWidth="1"/>
    <col min="14343" max="14343" width="11.7109375" style="514" customWidth="1"/>
    <col min="14344" max="14589" width="9.140625" style="514"/>
    <col min="14590" max="14590" width="5.28515625" style="514" customWidth="1"/>
    <col min="14591" max="14591" width="8" style="514" customWidth="1"/>
    <col min="14592" max="14592" width="5.85546875" style="514" customWidth="1"/>
    <col min="14593" max="14593" width="9.42578125" style="514" customWidth="1"/>
    <col min="14594" max="14594" width="11.28515625" style="514" customWidth="1"/>
    <col min="14595" max="14595" width="11" style="514" customWidth="1"/>
    <col min="14596" max="14596" width="13.140625" style="514" customWidth="1"/>
    <col min="14597" max="14597" width="11.7109375" style="514" customWidth="1"/>
    <col min="14598" max="14598" width="11.140625" style="514" customWidth="1"/>
    <col min="14599" max="14599" width="11.7109375" style="514" customWidth="1"/>
    <col min="14600" max="14845" width="9.140625" style="514"/>
    <col min="14846" max="14846" width="5.28515625" style="514" customWidth="1"/>
    <col min="14847" max="14847" width="8" style="514" customWidth="1"/>
    <col min="14848" max="14848" width="5.85546875" style="514" customWidth="1"/>
    <col min="14849" max="14849" width="9.42578125" style="514" customWidth="1"/>
    <col min="14850" max="14850" width="11.28515625" style="514" customWidth="1"/>
    <col min="14851" max="14851" width="11" style="514" customWidth="1"/>
    <col min="14852" max="14852" width="13.140625" style="514" customWidth="1"/>
    <col min="14853" max="14853" width="11.7109375" style="514" customWidth="1"/>
    <col min="14854" max="14854" width="11.140625" style="514" customWidth="1"/>
    <col min="14855" max="14855" width="11.7109375" style="514" customWidth="1"/>
    <col min="14856" max="15101" width="9.140625" style="514"/>
    <col min="15102" max="15102" width="5.28515625" style="514" customWidth="1"/>
    <col min="15103" max="15103" width="8" style="514" customWidth="1"/>
    <col min="15104" max="15104" width="5.85546875" style="514" customWidth="1"/>
    <col min="15105" max="15105" width="9.42578125" style="514" customWidth="1"/>
    <col min="15106" max="15106" width="11.28515625" style="514" customWidth="1"/>
    <col min="15107" max="15107" width="11" style="514" customWidth="1"/>
    <col min="15108" max="15108" width="13.140625" style="514" customWidth="1"/>
    <col min="15109" max="15109" width="11.7109375" style="514" customWidth="1"/>
    <col min="15110" max="15110" width="11.140625" style="514" customWidth="1"/>
    <col min="15111" max="15111" width="11.7109375" style="514" customWidth="1"/>
    <col min="15112" max="15357" width="9.140625" style="514"/>
    <col min="15358" max="15358" width="5.28515625" style="514" customWidth="1"/>
    <col min="15359" max="15359" width="8" style="514" customWidth="1"/>
    <col min="15360" max="15360" width="5.85546875" style="514" customWidth="1"/>
    <col min="15361" max="15361" width="9.42578125" style="514" customWidth="1"/>
    <col min="15362" max="15362" width="11.28515625" style="514" customWidth="1"/>
    <col min="15363" max="15363" width="11" style="514" customWidth="1"/>
    <col min="15364" max="15364" width="13.140625" style="514" customWidth="1"/>
    <col min="15365" max="15365" width="11.7109375" style="514" customWidth="1"/>
    <col min="15366" max="15366" width="11.140625" style="514" customWidth="1"/>
    <col min="15367" max="15367" width="11.7109375" style="514" customWidth="1"/>
    <col min="15368" max="15613" width="9.140625" style="514"/>
    <col min="15614" max="15614" width="5.28515625" style="514" customWidth="1"/>
    <col min="15615" max="15615" width="8" style="514" customWidth="1"/>
    <col min="15616" max="15616" width="5.85546875" style="514" customWidth="1"/>
    <col min="15617" max="15617" width="9.42578125" style="514" customWidth="1"/>
    <col min="15618" max="15618" width="11.28515625" style="514" customWidth="1"/>
    <col min="15619" max="15619" width="11" style="514" customWidth="1"/>
    <col min="15620" max="15620" width="13.140625" style="514" customWidth="1"/>
    <col min="15621" max="15621" width="11.7109375" style="514" customWidth="1"/>
    <col min="15622" max="15622" width="11.140625" style="514" customWidth="1"/>
    <col min="15623" max="15623" width="11.7109375" style="514" customWidth="1"/>
    <col min="15624" max="15869" width="9.140625" style="514"/>
    <col min="15870" max="15870" width="5.28515625" style="514" customWidth="1"/>
    <col min="15871" max="15871" width="8" style="514" customWidth="1"/>
    <col min="15872" max="15872" width="5.85546875" style="514" customWidth="1"/>
    <col min="15873" max="15873" width="9.42578125" style="514" customWidth="1"/>
    <col min="15874" max="15874" width="11.28515625" style="514" customWidth="1"/>
    <col min="15875" max="15875" width="11" style="514" customWidth="1"/>
    <col min="15876" max="15876" width="13.140625" style="514" customWidth="1"/>
    <col min="15877" max="15877" width="11.7109375" style="514" customWidth="1"/>
    <col min="15878" max="15878" width="11.140625" style="514" customWidth="1"/>
    <col min="15879" max="15879" width="11.7109375" style="514" customWidth="1"/>
    <col min="15880" max="16125" width="9.140625" style="514"/>
    <col min="16126" max="16126" width="5.28515625" style="514" customWidth="1"/>
    <col min="16127" max="16127" width="8" style="514" customWidth="1"/>
    <col min="16128" max="16128" width="5.85546875" style="514" customWidth="1"/>
    <col min="16129" max="16129" width="9.42578125" style="514" customWidth="1"/>
    <col min="16130" max="16130" width="11.28515625" style="514" customWidth="1"/>
    <col min="16131" max="16131" width="11" style="514" customWidth="1"/>
    <col min="16132" max="16132" width="13.140625" style="514" customWidth="1"/>
    <col min="16133" max="16133" width="11.7109375" style="514" customWidth="1"/>
    <col min="16134" max="16134" width="11.140625" style="514" customWidth="1"/>
    <col min="16135" max="16135" width="11.7109375" style="514" customWidth="1"/>
    <col min="16136" max="16384" width="9.140625" style="514"/>
  </cols>
  <sheetData>
    <row r="1" spans="1:72" ht="12.75" customHeight="1" x14ac:dyDescent="0.25">
      <c r="A1" s="441"/>
      <c r="F1" s="3" t="s">
        <v>491</v>
      </c>
    </row>
    <row r="2" spans="1:72" ht="12.75" customHeight="1" x14ac:dyDescent="0.25">
      <c r="F2" s="3" t="s">
        <v>298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299</v>
      </c>
    </row>
    <row r="5" spans="1:72" ht="12.75" customHeight="1" x14ac:dyDescent="0.25"/>
    <row r="6" spans="1:72" ht="13.5" customHeight="1" x14ac:dyDescent="0.25">
      <c r="A6" s="396" t="s">
        <v>492</v>
      </c>
      <c r="B6" s="396"/>
      <c r="C6" s="396"/>
      <c r="D6" s="396"/>
      <c r="E6" s="396"/>
      <c r="F6" s="396"/>
      <c r="G6" s="396"/>
      <c r="J6" s="1"/>
    </row>
    <row r="7" spans="1:72" ht="12.75" customHeight="1" x14ac:dyDescent="0.25">
      <c r="A7" s="396" t="s">
        <v>493</v>
      </c>
      <c r="B7" s="442"/>
      <c r="C7" s="442"/>
      <c r="D7" s="442"/>
      <c r="E7" s="442"/>
      <c r="F7" s="442"/>
      <c r="G7" s="442"/>
      <c r="J7" s="1"/>
    </row>
    <row r="8" spans="1:72" ht="9" customHeight="1" x14ac:dyDescent="0.25">
      <c r="A8" s="443"/>
      <c r="B8" s="444"/>
      <c r="C8" s="444"/>
      <c r="D8" s="444"/>
      <c r="E8" s="444"/>
      <c r="F8" s="444"/>
      <c r="G8" s="444"/>
      <c r="J8" s="1"/>
    </row>
    <row r="9" spans="1:72" ht="11.25" customHeight="1" x14ac:dyDescent="0.25">
      <c r="G9" s="445" t="s">
        <v>1</v>
      </c>
    </row>
    <row r="10" spans="1:72" s="450" customFormat="1" ht="36.75" customHeight="1" x14ac:dyDescent="0.2">
      <c r="A10" s="446" t="s">
        <v>316</v>
      </c>
      <c r="B10" s="446" t="s">
        <v>318</v>
      </c>
      <c r="C10" s="446" t="s">
        <v>494</v>
      </c>
      <c r="D10" s="446" t="s">
        <v>304</v>
      </c>
      <c r="E10" s="447" t="s">
        <v>5</v>
      </c>
      <c r="F10" s="447" t="s">
        <v>495</v>
      </c>
      <c r="G10" s="447" t="s">
        <v>496</v>
      </c>
      <c r="H10" s="448"/>
      <c r="I10" s="449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8"/>
      <c r="BO10" s="448"/>
      <c r="BP10" s="448"/>
      <c r="BQ10" s="448"/>
      <c r="BR10" s="448"/>
      <c r="BS10" s="448"/>
      <c r="BT10" s="448"/>
    </row>
    <row r="11" spans="1:72" s="453" customFormat="1" ht="10.5" customHeight="1" x14ac:dyDescent="0.2">
      <c r="A11" s="451">
        <v>1</v>
      </c>
      <c r="B11" s="451">
        <v>2</v>
      </c>
      <c r="C11" s="451">
        <v>3</v>
      </c>
      <c r="D11" s="451">
        <v>4</v>
      </c>
      <c r="E11" s="451">
        <v>5</v>
      </c>
      <c r="F11" s="451">
        <v>6</v>
      </c>
      <c r="G11" s="451">
        <v>7</v>
      </c>
      <c r="H11" s="452"/>
      <c r="I11" s="99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</row>
    <row r="12" spans="1:72" s="522" customFormat="1" ht="15.75" customHeight="1" x14ac:dyDescent="0.2">
      <c r="A12" s="454"/>
      <c r="B12" s="455"/>
      <c r="C12" s="456"/>
      <c r="D12" s="456"/>
      <c r="E12" s="457" t="s">
        <v>35</v>
      </c>
      <c r="F12" s="458">
        <f>6300+1461+2140+3935+683+1698+1959+1276+1273</f>
        <v>20725</v>
      </c>
      <c r="G12" s="459" t="s">
        <v>497</v>
      </c>
      <c r="H12" s="440"/>
      <c r="I12" s="521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</row>
    <row r="13" spans="1:72" s="522" customFormat="1" ht="24" x14ac:dyDescent="0.2">
      <c r="A13" s="460" t="s">
        <v>472</v>
      </c>
      <c r="B13" s="461" t="s">
        <v>498</v>
      </c>
      <c r="C13" s="456" t="s">
        <v>212</v>
      </c>
      <c r="D13" s="456" t="s">
        <v>499</v>
      </c>
      <c r="E13" s="462" t="s">
        <v>497</v>
      </c>
      <c r="F13" s="463" t="s">
        <v>497</v>
      </c>
      <c r="G13" s="464">
        <f>SUM(G15)</f>
        <v>20725</v>
      </c>
      <c r="H13" s="440"/>
      <c r="I13" s="521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</row>
    <row r="14" spans="1:72" s="522" customFormat="1" ht="9" customHeight="1" x14ac:dyDescent="0.2">
      <c r="A14" s="454"/>
      <c r="B14" s="465"/>
      <c r="C14" s="456"/>
      <c r="D14" s="456"/>
      <c r="E14" s="456"/>
      <c r="F14" s="466"/>
      <c r="G14" s="523"/>
      <c r="H14" s="440"/>
      <c r="I14" s="521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</row>
    <row r="15" spans="1:72" s="522" customFormat="1" ht="15.75" customHeight="1" x14ac:dyDescent="0.2">
      <c r="A15" s="454"/>
      <c r="B15" s="524" t="s">
        <v>210</v>
      </c>
      <c r="C15" s="456"/>
      <c r="D15" s="456"/>
      <c r="E15" s="456"/>
      <c r="F15" s="466"/>
      <c r="G15" s="523">
        <f>SUM(G16:G16)</f>
        <v>20725</v>
      </c>
      <c r="H15" s="440"/>
      <c r="I15" s="521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</row>
    <row r="16" spans="1:72" s="522" customFormat="1" ht="15.75" customHeight="1" x14ac:dyDescent="0.2">
      <c r="A16" s="454"/>
      <c r="B16" s="524"/>
      <c r="C16" s="456"/>
      <c r="D16" s="456"/>
      <c r="E16" s="456" t="s">
        <v>500</v>
      </c>
      <c r="F16" s="466" t="s">
        <v>497</v>
      </c>
      <c r="G16" s="467">
        <f>6300+1461+2140+3935+683+1698+1959+1276+1273</f>
        <v>20725</v>
      </c>
      <c r="H16" s="440"/>
      <c r="I16" s="521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</row>
    <row r="17" spans="1:72" s="522" customFormat="1" ht="9.75" customHeight="1" x14ac:dyDescent="0.2">
      <c r="A17" s="468"/>
      <c r="B17" s="469"/>
      <c r="C17" s="470"/>
      <c r="D17" s="457"/>
      <c r="E17" s="457"/>
      <c r="F17" s="459"/>
      <c r="G17" s="471"/>
      <c r="H17" s="440"/>
      <c r="I17" s="521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</row>
    <row r="18" spans="1:72" s="522" customFormat="1" ht="15.75" customHeight="1" x14ac:dyDescent="0.2">
      <c r="A18" s="454"/>
      <c r="B18" s="455"/>
      <c r="C18" s="456"/>
      <c r="D18" s="456"/>
      <c r="E18" s="457" t="s">
        <v>35</v>
      </c>
      <c r="F18" s="458">
        <f>12806+18072+15851+15093+22120+19181+37648+19309+29928+28321+19460</f>
        <v>237789</v>
      </c>
      <c r="G18" s="459" t="s">
        <v>497</v>
      </c>
      <c r="H18" s="440"/>
      <c r="I18" s="521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</row>
    <row r="19" spans="1:72" s="522" customFormat="1" ht="20.25" customHeight="1" x14ac:dyDescent="0.2">
      <c r="A19" s="460" t="s">
        <v>473</v>
      </c>
      <c r="B19" s="472" t="s">
        <v>501</v>
      </c>
      <c r="C19" s="456" t="s">
        <v>502</v>
      </c>
      <c r="D19" s="456" t="s">
        <v>503</v>
      </c>
      <c r="E19" s="462" t="s">
        <v>497</v>
      </c>
      <c r="F19" s="463" t="s">
        <v>497</v>
      </c>
      <c r="G19" s="464">
        <f>SUM(G21)</f>
        <v>237789</v>
      </c>
      <c r="H19" s="440"/>
      <c r="I19" s="521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</row>
    <row r="20" spans="1:72" s="522" customFormat="1" ht="10.5" customHeight="1" x14ac:dyDescent="0.2">
      <c r="A20" s="454"/>
      <c r="B20" s="465"/>
      <c r="C20" s="456"/>
      <c r="D20" s="456"/>
      <c r="E20" s="456"/>
      <c r="F20" s="466"/>
      <c r="G20" s="523"/>
      <c r="H20" s="440"/>
      <c r="I20" s="521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</row>
    <row r="21" spans="1:72" s="522" customFormat="1" ht="15.75" customHeight="1" x14ac:dyDescent="0.2">
      <c r="A21" s="454"/>
      <c r="B21" s="524" t="s">
        <v>210</v>
      </c>
      <c r="C21" s="456"/>
      <c r="D21" s="456"/>
      <c r="E21" s="456"/>
      <c r="F21" s="466"/>
      <c r="G21" s="523">
        <f>SUM(G22:G25)</f>
        <v>237789</v>
      </c>
      <c r="H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</row>
    <row r="22" spans="1:72" s="522" customFormat="1" ht="15.75" customHeight="1" x14ac:dyDescent="0.2">
      <c r="A22" s="454"/>
      <c r="B22" s="455"/>
      <c r="C22" s="456"/>
      <c r="D22" s="456"/>
      <c r="E22" s="456" t="s">
        <v>500</v>
      </c>
      <c r="F22" s="466" t="s">
        <v>497</v>
      </c>
      <c r="G22" s="467">
        <f>12439+17903+15395+14738+21702+18455+36830+19037+29155+27702+18978</f>
        <v>232334</v>
      </c>
      <c r="H22" s="440"/>
      <c r="I22" s="521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</row>
    <row r="23" spans="1:72" s="522" customFormat="1" ht="15.75" customHeight="1" x14ac:dyDescent="0.2">
      <c r="A23" s="454"/>
      <c r="B23" s="455"/>
      <c r="C23" s="456"/>
      <c r="D23" s="456"/>
      <c r="E23" s="456" t="s">
        <v>149</v>
      </c>
      <c r="F23" s="466" t="s">
        <v>497</v>
      </c>
      <c r="G23" s="467">
        <f>420</f>
        <v>420</v>
      </c>
      <c r="H23" s="440"/>
      <c r="I23" s="521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</row>
    <row r="24" spans="1:72" s="522" customFormat="1" ht="15.75" customHeight="1" x14ac:dyDescent="0.2">
      <c r="A24" s="454"/>
      <c r="B24" s="455"/>
      <c r="C24" s="456"/>
      <c r="D24" s="456"/>
      <c r="E24" s="456" t="s">
        <v>504</v>
      </c>
      <c r="F24" s="466" t="s">
        <v>497</v>
      </c>
      <c r="G24" s="467">
        <f>306+141+380+296+348+606+682+227+644+516+51</f>
        <v>4197</v>
      </c>
      <c r="H24" s="440"/>
      <c r="I24" s="521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</row>
    <row r="25" spans="1:72" s="522" customFormat="1" ht="15.75" customHeight="1" x14ac:dyDescent="0.2">
      <c r="A25" s="454"/>
      <c r="B25" s="455"/>
      <c r="C25" s="473"/>
      <c r="D25" s="456"/>
      <c r="E25" s="456" t="s">
        <v>505</v>
      </c>
      <c r="F25" s="466" t="s">
        <v>497</v>
      </c>
      <c r="G25" s="467">
        <f>61+28+76+59+70+120+136+45+129+103+11</f>
        <v>838</v>
      </c>
      <c r="H25" s="440"/>
      <c r="I25" s="521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</row>
    <row r="26" spans="1:72" s="522" customFormat="1" ht="9.75" customHeight="1" x14ac:dyDescent="0.2">
      <c r="A26" s="468"/>
      <c r="B26" s="469"/>
      <c r="C26" s="470"/>
      <c r="D26" s="457"/>
      <c r="E26" s="457"/>
      <c r="F26" s="459"/>
      <c r="G26" s="471"/>
      <c r="H26" s="440"/>
      <c r="I26" s="521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</row>
    <row r="27" spans="1:72" s="522" customFormat="1" ht="15.75" customHeight="1" x14ac:dyDescent="0.2">
      <c r="A27" s="454"/>
      <c r="B27" s="455"/>
      <c r="C27" s="456"/>
      <c r="D27" s="456"/>
      <c r="E27" s="457" t="s">
        <v>35</v>
      </c>
      <c r="F27" s="458">
        <f>7956+3060+2142+1530+4896+612+2754+3978+3366+4284</f>
        <v>34578</v>
      </c>
      <c r="G27" s="459" t="s">
        <v>497</v>
      </c>
      <c r="H27" s="440"/>
      <c r="I27" s="521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</row>
    <row r="28" spans="1:72" s="522" customFormat="1" ht="24" x14ac:dyDescent="0.2">
      <c r="A28" s="460" t="s">
        <v>474</v>
      </c>
      <c r="B28" s="461" t="s">
        <v>506</v>
      </c>
      <c r="C28" s="456" t="s">
        <v>507</v>
      </c>
      <c r="D28" s="456" t="s">
        <v>508</v>
      </c>
      <c r="E28" s="462" t="s">
        <v>497</v>
      </c>
      <c r="F28" s="463" t="s">
        <v>497</v>
      </c>
      <c r="G28" s="464">
        <f>SUM(G30)</f>
        <v>34578</v>
      </c>
      <c r="H28" s="440"/>
      <c r="I28" s="521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</row>
    <row r="29" spans="1:72" s="522" customFormat="1" ht="10.5" customHeight="1" x14ac:dyDescent="0.2">
      <c r="A29" s="454"/>
      <c r="B29" s="465"/>
      <c r="C29" s="456"/>
      <c r="D29" s="456"/>
      <c r="E29" s="456"/>
      <c r="F29" s="466"/>
      <c r="G29" s="523"/>
      <c r="H29" s="440"/>
      <c r="I29" s="521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</row>
    <row r="30" spans="1:72" s="522" customFormat="1" ht="15.75" customHeight="1" x14ac:dyDescent="0.2">
      <c r="A30" s="454"/>
      <c r="B30" s="524" t="s">
        <v>210</v>
      </c>
      <c r="C30" s="456"/>
      <c r="D30" s="456"/>
      <c r="E30" s="456"/>
      <c r="F30" s="466"/>
      <c r="G30" s="523">
        <f>SUM(G31:G33)</f>
        <v>34578</v>
      </c>
      <c r="H30" s="440"/>
      <c r="I30" s="521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</row>
    <row r="31" spans="1:72" s="522" customFormat="1" ht="15.75" customHeight="1" x14ac:dyDescent="0.2">
      <c r="A31" s="454"/>
      <c r="B31" s="455"/>
      <c r="C31" s="456"/>
      <c r="D31" s="456"/>
      <c r="E31" s="456" t="s">
        <v>500</v>
      </c>
      <c r="F31" s="466" t="s">
        <v>497</v>
      </c>
      <c r="G31" s="467">
        <f>7800+3000+2100+1500+4800+600+2700+3900+3300+4200</f>
        <v>33900</v>
      </c>
      <c r="H31" s="440"/>
      <c r="I31" s="521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</row>
    <row r="32" spans="1:72" s="522" customFormat="1" ht="15.75" customHeight="1" x14ac:dyDescent="0.2">
      <c r="A32" s="454"/>
      <c r="B32" s="455"/>
      <c r="C32" s="456"/>
      <c r="D32" s="456"/>
      <c r="E32" s="456" t="s">
        <v>504</v>
      </c>
      <c r="F32" s="466" t="s">
        <v>497</v>
      </c>
      <c r="G32" s="467">
        <f>130+50+35+25+80+10+45+65+55+70</f>
        <v>565</v>
      </c>
      <c r="H32" s="440"/>
      <c r="I32" s="521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</row>
    <row r="33" spans="1:72" s="522" customFormat="1" ht="15.75" customHeight="1" x14ac:dyDescent="0.2">
      <c r="A33" s="454"/>
      <c r="B33" s="455"/>
      <c r="C33" s="456"/>
      <c r="D33" s="456"/>
      <c r="E33" s="456" t="s">
        <v>505</v>
      </c>
      <c r="F33" s="466" t="s">
        <v>497</v>
      </c>
      <c r="G33" s="467">
        <f>26+10+7+5+16+2+9+13+11+14</f>
        <v>113</v>
      </c>
      <c r="H33" s="440"/>
      <c r="I33" s="521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</row>
    <row r="34" spans="1:72" s="522" customFormat="1" ht="15.75" customHeight="1" x14ac:dyDescent="0.2">
      <c r="A34" s="468"/>
      <c r="B34" s="469"/>
      <c r="C34" s="470"/>
      <c r="D34" s="457"/>
      <c r="E34" s="457"/>
      <c r="F34" s="459"/>
      <c r="G34" s="471"/>
      <c r="H34" s="440"/>
      <c r="I34" s="521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</row>
    <row r="35" spans="1:72" s="522" customFormat="1" ht="15.75" customHeight="1" x14ac:dyDescent="0.2">
      <c r="A35" s="454"/>
      <c r="B35" s="455"/>
      <c r="C35" s="456"/>
      <c r="D35" s="456"/>
      <c r="E35" s="457" t="s">
        <v>35</v>
      </c>
      <c r="F35" s="458">
        <f>416+47920+42840+40544+37760+448+38960+256+20720+256+30320+256+9240+96+29360+208+112+13640+22360</f>
        <v>335712</v>
      </c>
      <c r="G35" s="459" t="s">
        <v>497</v>
      </c>
      <c r="H35" s="440"/>
      <c r="I35" s="521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</row>
    <row r="36" spans="1:72" s="522" customFormat="1" ht="25.5" customHeight="1" x14ac:dyDescent="0.2">
      <c r="A36" s="460" t="s">
        <v>475</v>
      </c>
      <c r="B36" s="461" t="s">
        <v>509</v>
      </c>
      <c r="C36" s="456" t="s">
        <v>510</v>
      </c>
      <c r="D36" s="456" t="s">
        <v>511</v>
      </c>
      <c r="E36" s="462" t="s">
        <v>497</v>
      </c>
      <c r="F36" s="463" t="s">
        <v>497</v>
      </c>
      <c r="G36" s="464">
        <f>SUM(G38)</f>
        <v>335712</v>
      </c>
      <c r="H36" s="440"/>
      <c r="I36" s="521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</row>
    <row r="37" spans="1:72" s="522" customFormat="1" ht="10.5" customHeight="1" x14ac:dyDescent="0.2">
      <c r="A37" s="454"/>
      <c r="B37" s="465"/>
      <c r="C37" s="456"/>
      <c r="D37" s="456"/>
      <c r="E37" s="456"/>
      <c r="F37" s="466"/>
      <c r="G37" s="523"/>
      <c r="H37" s="440"/>
      <c r="I37" s="521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</row>
    <row r="38" spans="1:72" s="522" customFormat="1" ht="15.75" customHeight="1" x14ac:dyDescent="0.2">
      <c r="A38" s="454"/>
      <c r="B38" s="524" t="s">
        <v>210</v>
      </c>
      <c r="C38" s="456"/>
      <c r="D38" s="456"/>
      <c r="E38" s="456"/>
      <c r="F38" s="466"/>
      <c r="G38" s="523">
        <f>SUM(G39:G41)</f>
        <v>335712</v>
      </c>
      <c r="H38" s="440"/>
      <c r="I38" s="521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</row>
    <row r="39" spans="1:72" s="522" customFormat="1" ht="15.75" customHeight="1" x14ac:dyDescent="0.2">
      <c r="A39" s="454"/>
      <c r="B39" s="455"/>
      <c r="C39" s="456"/>
      <c r="D39" s="456"/>
      <c r="E39" s="456" t="s">
        <v>512</v>
      </c>
      <c r="F39" s="466" t="s">
        <v>497</v>
      </c>
      <c r="G39" s="467">
        <f>47920+42840+40000+37760+38960+51040+9240+29360+13640+22200</f>
        <v>332960</v>
      </c>
      <c r="H39" s="440"/>
      <c r="I39" s="521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</row>
    <row r="40" spans="1:72" s="522" customFormat="1" ht="15.75" customHeight="1" x14ac:dyDescent="0.2">
      <c r="A40" s="454"/>
      <c r="B40" s="455"/>
      <c r="C40" s="473"/>
      <c r="D40" s="456"/>
      <c r="E40" s="456" t="s">
        <v>504</v>
      </c>
      <c r="F40" s="466" t="s">
        <v>497</v>
      </c>
      <c r="G40" s="467">
        <f>347+453+374+213+213+213+173+80+93+136</f>
        <v>2295</v>
      </c>
      <c r="H40" s="440"/>
      <c r="I40" s="521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</row>
    <row r="41" spans="1:72" s="522" customFormat="1" ht="15.75" customHeight="1" x14ac:dyDescent="0.2">
      <c r="A41" s="454"/>
      <c r="B41" s="455"/>
      <c r="C41" s="473"/>
      <c r="D41" s="456"/>
      <c r="E41" s="456" t="s">
        <v>505</v>
      </c>
      <c r="F41" s="466" t="s">
        <v>497</v>
      </c>
      <c r="G41" s="467">
        <f>69+91+74+43+43+43+35+16+19+24</f>
        <v>457</v>
      </c>
      <c r="H41" s="440"/>
      <c r="I41" s="521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</row>
    <row r="42" spans="1:72" s="522" customFormat="1" ht="15.75" customHeight="1" x14ac:dyDescent="0.2">
      <c r="A42" s="468"/>
      <c r="B42" s="469"/>
      <c r="C42" s="470"/>
      <c r="D42" s="457"/>
      <c r="E42" s="457"/>
      <c r="F42" s="459"/>
      <c r="G42" s="471"/>
      <c r="H42" s="440"/>
      <c r="I42" s="521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</row>
    <row r="43" spans="1:72" s="522" customFormat="1" ht="15.75" customHeight="1" x14ac:dyDescent="0.2">
      <c r="A43" s="454"/>
      <c r="B43" s="455"/>
      <c r="C43" s="456"/>
      <c r="D43" s="456"/>
      <c r="E43" s="457" t="s">
        <v>35</v>
      </c>
      <c r="F43" s="458">
        <f>237460+241690+210970+202330+184210+181840+167080+138000+124080+127320</f>
        <v>1814980</v>
      </c>
      <c r="G43" s="459" t="s">
        <v>497</v>
      </c>
      <c r="H43" s="440"/>
      <c r="I43" s="521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</row>
    <row r="44" spans="1:72" s="522" customFormat="1" ht="23.25" customHeight="1" x14ac:dyDescent="0.2">
      <c r="A44" s="460" t="s">
        <v>476</v>
      </c>
      <c r="B44" s="461" t="s">
        <v>513</v>
      </c>
      <c r="C44" s="456" t="s">
        <v>510</v>
      </c>
      <c r="D44" s="456" t="s">
        <v>511</v>
      </c>
      <c r="E44" s="462" t="s">
        <v>497</v>
      </c>
      <c r="F44" s="463" t="s">
        <v>497</v>
      </c>
      <c r="G44" s="464">
        <f>SUM(G46,G49)</f>
        <v>1814980</v>
      </c>
      <c r="H44" s="440"/>
      <c r="I44" s="521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</row>
    <row r="45" spans="1:72" s="522" customFormat="1" ht="9.75" customHeight="1" x14ac:dyDescent="0.2">
      <c r="A45" s="454"/>
      <c r="B45" s="465"/>
      <c r="C45" s="456"/>
      <c r="D45" s="456"/>
      <c r="E45" s="456"/>
      <c r="F45" s="466"/>
      <c r="G45" s="523"/>
      <c r="H45" s="440"/>
      <c r="I45" s="521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</row>
    <row r="46" spans="1:72" s="522" customFormat="1" ht="25.5" customHeight="1" x14ac:dyDescent="0.2">
      <c r="A46" s="454"/>
      <c r="B46" s="525" t="s">
        <v>129</v>
      </c>
      <c r="C46" s="456"/>
      <c r="D46" s="456"/>
      <c r="E46" s="456"/>
      <c r="F46" s="466"/>
      <c r="G46" s="523">
        <f>SUM(G47:G47)</f>
        <v>1329468.52</v>
      </c>
      <c r="H46" s="440"/>
      <c r="I46" s="521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</row>
    <row r="47" spans="1:72" s="522" customFormat="1" ht="15.75" customHeight="1" x14ac:dyDescent="0.2">
      <c r="A47" s="454"/>
      <c r="B47" s="455"/>
      <c r="C47" s="456"/>
      <c r="D47" s="456"/>
      <c r="E47" s="456" t="s">
        <v>151</v>
      </c>
      <c r="F47" s="466" t="s">
        <v>497</v>
      </c>
      <c r="G47" s="467">
        <f>237460-62017.72+241690+210970-72469.91-59334.2+202330+184210-65376.08+181840-50582.89+167080-46032.2+138000-23863.03+124080-32825.3+127320-16460.49-56549.66</f>
        <v>1329468.52</v>
      </c>
      <c r="H47" s="440"/>
      <c r="I47" s="521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</row>
    <row r="48" spans="1:72" s="522" customFormat="1" ht="15.75" customHeight="1" x14ac:dyDescent="0.2">
      <c r="A48" s="468"/>
      <c r="B48" s="469"/>
      <c r="C48" s="470"/>
      <c r="D48" s="457"/>
      <c r="E48" s="457"/>
      <c r="F48" s="459"/>
      <c r="G48" s="471"/>
      <c r="H48" s="440"/>
      <c r="I48" s="521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</row>
    <row r="49" spans="1:72" s="522" customFormat="1" ht="20.25" customHeight="1" x14ac:dyDescent="0.2">
      <c r="A49" s="454"/>
      <c r="B49" s="524" t="s">
        <v>108</v>
      </c>
      <c r="C49" s="456"/>
      <c r="D49" s="456"/>
      <c r="E49" s="456"/>
      <c r="F49" s="466"/>
      <c r="G49" s="523">
        <f>SUM(G50:G51)</f>
        <v>485511.48</v>
      </c>
      <c r="H49" s="440"/>
      <c r="I49" s="521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</row>
    <row r="50" spans="1:72" s="522" customFormat="1" ht="15.75" customHeight="1" x14ac:dyDescent="0.2">
      <c r="A50" s="454"/>
      <c r="B50" s="455"/>
      <c r="C50" s="473"/>
      <c r="D50" s="456"/>
      <c r="E50" s="456" t="s">
        <v>151</v>
      </c>
      <c r="F50" s="466" t="s">
        <v>497</v>
      </c>
      <c r="G50" s="467">
        <f>3103.38+3649.49+2630.32+4196.5+2825.95+2543.24+3283.75+2185.51+2456.25+4780.79</f>
        <v>31655.18</v>
      </c>
      <c r="H50" s="440"/>
      <c r="I50" s="521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</row>
    <row r="51" spans="1:72" s="522" customFormat="1" ht="15.75" customHeight="1" x14ac:dyDescent="0.2">
      <c r="A51" s="454"/>
      <c r="B51" s="455"/>
      <c r="C51" s="473"/>
      <c r="D51" s="456"/>
      <c r="E51" s="456" t="s">
        <v>241</v>
      </c>
      <c r="F51" s="466" t="s">
        <v>497</v>
      </c>
      <c r="G51" s="467">
        <f>58914.34+68820.42+56703.88+61179.58+47756.94+43488.96+20579.28+30639.79+14004.24+51768.87</f>
        <v>453856.3</v>
      </c>
      <c r="H51" s="440"/>
      <c r="I51" s="521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</row>
    <row r="52" spans="1:72" s="522" customFormat="1" ht="15.75" customHeight="1" x14ac:dyDescent="0.2">
      <c r="A52" s="468"/>
      <c r="B52" s="469"/>
      <c r="C52" s="470"/>
      <c r="D52" s="457"/>
      <c r="E52" s="457"/>
      <c r="F52" s="459"/>
      <c r="G52" s="471"/>
      <c r="H52" s="440"/>
      <c r="I52" s="521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</row>
    <row r="53" spans="1:72" s="522" customFormat="1" ht="15.75" customHeight="1" x14ac:dyDescent="0.2">
      <c r="A53" s="454"/>
      <c r="B53" s="455"/>
      <c r="C53" s="456"/>
      <c r="D53" s="456"/>
      <c r="E53" s="457" t="s">
        <v>35</v>
      </c>
      <c r="F53" s="458">
        <f>200+200+400+200</f>
        <v>1000</v>
      </c>
      <c r="G53" s="459" t="s">
        <v>497</v>
      </c>
      <c r="H53" s="440"/>
      <c r="I53" s="521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</row>
    <row r="54" spans="1:72" s="522" customFormat="1" ht="51" customHeight="1" x14ac:dyDescent="0.2">
      <c r="A54" s="460" t="s">
        <v>477</v>
      </c>
      <c r="B54" s="461" t="s">
        <v>514</v>
      </c>
      <c r="C54" s="456" t="s">
        <v>507</v>
      </c>
      <c r="D54" s="456" t="s">
        <v>515</v>
      </c>
      <c r="E54" s="462" t="s">
        <v>497</v>
      </c>
      <c r="F54" s="463" t="s">
        <v>497</v>
      </c>
      <c r="G54" s="464">
        <f>SUM(G56)</f>
        <v>1000</v>
      </c>
      <c r="H54" s="440"/>
      <c r="I54" s="521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</row>
    <row r="55" spans="1:72" s="522" customFormat="1" ht="15.75" customHeight="1" x14ac:dyDescent="0.2">
      <c r="A55" s="454"/>
      <c r="B55" s="455"/>
      <c r="C55" s="473"/>
      <c r="D55" s="456"/>
      <c r="E55" s="456"/>
      <c r="F55" s="466"/>
      <c r="G55" s="467"/>
      <c r="H55" s="440"/>
      <c r="I55" s="521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</row>
    <row r="56" spans="1:72" s="522" customFormat="1" ht="24" customHeight="1" x14ac:dyDescent="0.2">
      <c r="A56" s="454"/>
      <c r="B56" s="525" t="s">
        <v>516</v>
      </c>
      <c r="C56" s="456"/>
      <c r="D56" s="456"/>
      <c r="E56" s="456"/>
      <c r="F56" s="466"/>
      <c r="G56" s="523">
        <f>SUM(G57:G59)</f>
        <v>1000</v>
      </c>
      <c r="H56" s="440"/>
      <c r="I56" s="521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</row>
    <row r="57" spans="1:72" s="522" customFormat="1" ht="15.75" customHeight="1" x14ac:dyDescent="0.2">
      <c r="A57" s="454"/>
      <c r="B57" s="455"/>
      <c r="C57" s="473"/>
      <c r="D57" s="456"/>
      <c r="E57" s="456" t="s">
        <v>151</v>
      </c>
      <c r="F57" s="466" t="s">
        <v>497</v>
      </c>
      <c r="G57" s="467">
        <f>110+100+175+55+120</f>
        <v>560</v>
      </c>
      <c r="H57" s="440"/>
      <c r="I57" s="521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</row>
    <row r="58" spans="1:72" s="522" customFormat="1" ht="15.75" customHeight="1" x14ac:dyDescent="0.2">
      <c r="A58" s="454"/>
      <c r="B58" s="455"/>
      <c r="C58" s="473"/>
      <c r="D58" s="456"/>
      <c r="E58" s="456" t="s">
        <v>504</v>
      </c>
      <c r="F58" s="466" t="s">
        <v>497</v>
      </c>
      <c r="G58" s="467">
        <f>80+60+140+40+80</f>
        <v>400</v>
      </c>
      <c r="H58" s="440"/>
      <c r="I58" s="521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</row>
    <row r="59" spans="1:72" s="522" customFormat="1" ht="15.75" customHeight="1" x14ac:dyDescent="0.2">
      <c r="A59" s="454"/>
      <c r="B59" s="455"/>
      <c r="C59" s="473"/>
      <c r="D59" s="456"/>
      <c r="E59" s="456" t="s">
        <v>505</v>
      </c>
      <c r="F59" s="466" t="s">
        <v>497</v>
      </c>
      <c r="G59" s="467">
        <f>10+40+85-95</f>
        <v>40</v>
      </c>
      <c r="H59" s="440"/>
      <c r="I59" s="521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</row>
    <row r="60" spans="1:72" s="522" customFormat="1" ht="15.75" customHeight="1" x14ac:dyDescent="0.2">
      <c r="A60" s="468"/>
      <c r="B60" s="469"/>
      <c r="C60" s="470"/>
      <c r="D60" s="457"/>
      <c r="E60" s="457"/>
      <c r="F60" s="459"/>
      <c r="G60" s="471"/>
      <c r="H60" s="440"/>
      <c r="I60" s="521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</row>
    <row r="61" spans="1:72" s="522" customFormat="1" ht="15.75" customHeight="1" x14ac:dyDescent="0.2">
      <c r="A61" s="454"/>
      <c r="B61" s="455"/>
      <c r="C61" s="456"/>
      <c r="D61" s="456"/>
      <c r="E61" s="457" t="s">
        <v>35</v>
      </c>
      <c r="F61" s="458">
        <f>795+795+594+694+694+695+553+623+3576+2988</f>
        <v>12007</v>
      </c>
      <c r="G61" s="459" t="s">
        <v>497</v>
      </c>
      <c r="H61" s="440"/>
      <c r="I61" s="521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</row>
    <row r="62" spans="1:72" s="522" customFormat="1" ht="15.75" customHeight="1" x14ac:dyDescent="0.2">
      <c r="A62" s="460" t="s">
        <v>479</v>
      </c>
      <c r="B62" s="472" t="s">
        <v>517</v>
      </c>
      <c r="C62" s="456" t="s">
        <v>212</v>
      </c>
      <c r="D62" s="456" t="s">
        <v>518</v>
      </c>
      <c r="E62" s="462" t="s">
        <v>497</v>
      </c>
      <c r="F62" s="463" t="s">
        <v>497</v>
      </c>
      <c r="G62" s="464">
        <f>SUM(G64)</f>
        <v>12007</v>
      </c>
      <c r="H62" s="440"/>
      <c r="I62" s="521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</row>
    <row r="63" spans="1:72" s="522" customFormat="1" ht="15.75" customHeight="1" x14ac:dyDescent="0.2">
      <c r="A63" s="454"/>
      <c r="B63" s="465"/>
      <c r="C63" s="456"/>
      <c r="D63" s="456"/>
      <c r="E63" s="456"/>
      <c r="F63" s="466"/>
      <c r="G63" s="523"/>
      <c r="H63" s="440"/>
      <c r="I63" s="521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</row>
    <row r="64" spans="1:72" s="522" customFormat="1" ht="15.75" customHeight="1" x14ac:dyDescent="0.2">
      <c r="A64" s="454"/>
      <c r="B64" s="524" t="s">
        <v>210</v>
      </c>
      <c r="C64" s="456"/>
      <c r="D64" s="456"/>
      <c r="E64" s="456"/>
      <c r="F64" s="466"/>
      <c r="G64" s="523">
        <f>SUM(G65:G65)</f>
        <v>12007</v>
      </c>
      <c r="H64" s="440"/>
      <c r="I64" s="521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</row>
    <row r="65" spans="1:72" s="522" customFormat="1" ht="15.75" customHeight="1" x14ac:dyDescent="0.2">
      <c r="A65" s="454"/>
      <c r="B65" s="455"/>
      <c r="C65" s="473"/>
      <c r="D65" s="456"/>
      <c r="E65" s="456" t="s">
        <v>500</v>
      </c>
      <c r="F65" s="466" t="s">
        <v>497</v>
      </c>
      <c r="G65" s="467">
        <f>795+795+594+694+694+695+553+623+3576+2988</f>
        <v>12007</v>
      </c>
      <c r="H65" s="440"/>
      <c r="I65" s="521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</row>
    <row r="66" spans="1:72" s="522" customFormat="1" ht="15.75" customHeight="1" x14ac:dyDescent="0.2">
      <c r="A66" s="468"/>
      <c r="B66" s="469"/>
      <c r="C66" s="470"/>
      <c r="D66" s="457"/>
      <c r="E66" s="457"/>
      <c r="F66" s="459"/>
      <c r="G66" s="471"/>
      <c r="H66" s="440"/>
      <c r="I66" s="521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</row>
    <row r="67" spans="1:72" s="522" customFormat="1" ht="15.75" customHeight="1" x14ac:dyDescent="0.2">
      <c r="A67" s="454"/>
      <c r="B67" s="455"/>
      <c r="C67" s="456"/>
      <c r="D67" s="456"/>
      <c r="E67" s="457" t="s">
        <v>35</v>
      </c>
      <c r="F67" s="458">
        <f>452.4+422.24+400.77+197.21+259.95+172.55+154.38+78.44+61.63+97.11+49.3+285.34+84.42+24.65+84.66+70.01+16.13+338.17+38.84+295.75+200.86+25.89</f>
        <v>3810.7000000000012</v>
      </c>
      <c r="G67" s="459" t="s">
        <v>497</v>
      </c>
      <c r="H67" s="440"/>
      <c r="I67" s="521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</row>
    <row r="68" spans="1:72" s="522" customFormat="1" ht="60.75" customHeight="1" x14ac:dyDescent="0.2">
      <c r="A68" s="460" t="s">
        <v>480</v>
      </c>
      <c r="B68" s="472" t="s">
        <v>519</v>
      </c>
      <c r="C68" s="456" t="s">
        <v>520</v>
      </c>
      <c r="D68" s="456" t="s">
        <v>521</v>
      </c>
      <c r="E68" s="462" t="s">
        <v>497</v>
      </c>
      <c r="F68" s="463" t="s">
        <v>497</v>
      </c>
      <c r="G68" s="464">
        <f>SUM(G70)</f>
        <v>2936.0600000000004</v>
      </c>
      <c r="H68" s="440"/>
      <c r="I68" s="99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</row>
    <row r="69" spans="1:72" s="522" customFormat="1" ht="15.75" customHeight="1" x14ac:dyDescent="0.2">
      <c r="A69" s="454"/>
      <c r="B69" s="465"/>
      <c r="C69" s="456"/>
      <c r="D69" s="456"/>
      <c r="E69" s="456"/>
      <c r="F69" s="466"/>
      <c r="G69" s="523"/>
      <c r="H69" s="440"/>
      <c r="I69" s="521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  <c r="BE69" s="440"/>
      <c r="BF69" s="440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0"/>
      <c r="BS69" s="440"/>
      <c r="BT69" s="440"/>
    </row>
    <row r="70" spans="1:72" s="522" customFormat="1" ht="15.75" customHeight="1" x14ac:dyDescent="0.2">
      <c r="A70" s="454"/>
      <c r="B70" s="524" t="s">
        <v>230</v>
      </c>
      <c r="C70" s="456"/>
      <c r="D70" s="456"/>
      <c r="E70" s="456"/>
      <c r="F70" s="466"/>
      <c r="G70" s="523">
        <f>SUM(G71:G72)</f>
        <v>2936.0600000000004</v>
      </c>
      <c r="H70" s="440"/>
      <c r="I70" s="521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</row>
    <row r="71" spans="1:72" s="522" customFormat="1" ht="15.75" customHeight="1" x14ac:dyDescent="0.2">
      <c r="A71" s="454"/>
      <c r="B71" s="524"/>
      <c r="C71" s="473"/>
      <c r="D71" s="456"/>
      <c r="E71" s="456" t="s">
        <v>504</v>
      </c>
      <c r="F71" s="466" t="s">
        <v>497</v>
      </c>
      <c r="G71" s="467">
        <f>334.98+164.84+129.04+361.5+117.07+122.37+400.43+72+315.12+247.19+189.53</f>
        <v>2454.0700000000006</v>
      </c>
      <c r="H71" s="440"/>
      <c r="I71" s="521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</row>
    <row r="72" spans="1:72" s="522" customFormat="1" ht="15.75" customHeight="1" x14ac:dyDescent="0.2">
      <c r="A72" s="454"/>
      <c r="B72" s="524"/>
      <c r="C72" s="473"/>
      <c r="D72" s="456"/>
      <c r="E72" s="456" t="s">
        <v>505</v>
      </c>
      <c r="F72" s="466" t="s">
        <v>497</v>
      </c>
      <c r="G72" s="467">
        <f>65.79+32.37+25.34+71+23+24.04+78.64+14.14+61.89+48.56+37.22</f>
        <v>481.99</v>
      </c>
      <c r="H72" s="440"/>
      <c r="I72" s="521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</row>
    <row r="73" spans="1:72" s="522" customFormat="1" ht="15.75" customHeight="1" x14ac:dyDescent="0.2">
      <c r="A73" s="468"/>
      <c r="B73" s="526"/>
      <c r="C73" s="470"/>
      <c r="D73" s="457"/>
      <c r="E73" s="457"/>
      <c r="F73" s="459"/>
      <c r="G73" s="527"/>
      <c r="H73" s="440"/>
      <c r="I73" s="521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</row>
    <row r="74" spans="1:72" s="522" customFormat="1" ht="15.75" customHeight="1" x14ac:dyDescent="0.2">
      <c r="A74" s="454"/>
      <c r="B74" s="455"/>
      <c r="C74" s="456" t="s">
        <v>522</v>
      </c>
      <c r="D74" s="456" t="s">
        <v>32</v>
      </c>
      <c r="E74" s="457" t="s">
        <v>35</v>
      </c>
      <c r="F74" s="458">
        <f>190930+49631+274881+56959+220565+52228+242513+58646+236005+62821+240460+63735+232920+56430+233620+54905+53021+232936+192694+71474+299544</f>
        <v>3176918</v>
      </c>
      <c r="G74" s="459" t="s">
        <v>497</v>
      </c>
      <c r="H74" s="440"/>
      <c r="I74" s="521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</row>
    <row r="75" spans="1:72" s="522" customFormat="1" ht="23.25" customHeight="1" x14ac:dyDescent="0.2">
      <c r="A75" s="460" t="s">
        <v>482</v>
      </c>
      <c r="B75" s="461" t="s">
        <v>523</v>
      </c>
      <c r="C75" s="456"/>
      <c r="D75" s="456"/>
      <c r="E75" s="462" t="s">
        <v>497</v>
      </c>
      <c r="F75" s="463" t="s">
        <v>497</v>
      </c>
      <c r="G75" s="464">
        <f>SUM(G77,G87,G92,G101,G110,G115,G124,G133,G138,G147,G152,G161,G166,G175,G180,G185,G192)</f>
        <v>3331120.4499999997</v>
      </c>
      <c r="H75" s="440"/>
      <c r="I75" s="99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</row>
    <row r="76" spans="1:72" s="522" customFormat="1" ht="15.75" customHeight="1" x14ac:dyDescent="0.2">
      <c r="A76" s="454"/>
      <c r="B76" s="455"/>
      <c r="C76" s="473"/>
      <c r="D76" s="456"/>
      <c r="E76" s="456"/>
      <c r="F76" s="466"/>
      <c r="G76" s="467"/>
      <c r="H76" s="440"/>
      <c r="I76" s="521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</row>
    <row r="77" spans="1:72" s="522" customFormat="1" ht="15.75" customHeight="1" x14ac:dyDescent="0.2">
      <c r="A77" s="454"/>
      <c r="B77" s="524" t="s">
        <v>139</v>
      </c>
      <c r="C77" s="456" t="s">
        <v>524</v>
      </c>
      <c r="D77" s="456" t="s">
        <v>525</v>
      </c>
      <c r="E77" s="462" t="s">
        <v>497</v>
      </c>
      <c r="F77" s="463" t="s">
        <v>497</v>
      </c>
      <c r="G77" s="464">
        <f>SUM(G79)</f>
        <v>2047206.59</v>
      </c>
      <c r="H77" s="440"/>
      <c r="I77" s="521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</row>
    <row r="78" spans="1:72" s="522" customFormat="1" ht="15.75" customHeight="1" x14ac:dyDescent="0.2">
      <c r="A78" s="454"/>
      <c r="B78" s="455"/>
      <c r="C78" s="473"/>
      <c r="D78" s="456"/>
      <c r="E78" s="456"/>
      <c r="F78" s="466"/>
      <c r="G78" s="467"/>
      <c r="H78" s="440"/>
      <c r="I78" s="521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</row>
    <row r="79" spans="1:72" s="522" customFormat="1" ht="15.75" customHeight="1" x14ac:dyDescent="0.2">
      <c r="A79" s="454"/>
      <c r="B79" s="455"/>
      <c r="C79" s="473"/>
      <c r="D79" s="456"/>
      <c r="E79" s="456"/>
      <c r="F79" s="466"/>
      <c r="G79" s="523">
        <f>SUM(G80:G85)</f>
        <v>2047206.59</v>
      </c>
      <c r="H79" s="440"/>
      <c r="I79" s="521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</row>
    <row r="80" spans="1:72" s="522" customFormat="1" ht="15.75" customHeight="1" x14ac:dyDescent="0.2">
      <c r="A80" s="454"/>
      <c r="B80" s="455"/>
      <c r="C80" s="473"/>
      <c r="D80" s="456"/>
      <c r="E80" s="456" t="s">
        <v>149</v>
      </c>
      <c r="F80" s="466" t="s">
        <v>497</v>
      </c>
      <c r="G80" s="467">
        <f>117182.98+128847+162969+174526+362860+166130.29+24823+105218+163809</f>
        <v>1406365.27</v>
      </c>
      <c r="H80" s="440"/>
      <c r="I80" s="521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</row>
    <row r="81" spans="1:72" s="522" customFormat="1" ht="15.75" customHeight="1" x14ac:dyDescent="0.2">
      <c r="A81" s="454"/>
      <c r="B81" s="455"/>
      <c r="C81" s="473"/>
      <c r="D81" s="456"/>
      <c r="E81" s="456" t="s">
        <v>151</v>
      </c>
      <c r="F81" s="466" t="s">
        <v>497</v>
      </c>
      <c r="G81" s="467">
        <f>14507-2971+7179</f>
        <v>18715</v>
      </c>
      <c r="H81" s="440"/>
      <c r="I81" s="521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</row>
    <row r="82" spans="1:72" s="522" customFormat="1" ht="15.75" customHeight="1" x14ac:dyDescent="0.2">
      <c r="A82" s="454"/>
      <c r="B82" s="455"/>
      <c r="C82" s="473"/>
      <c r="D82" s="456"/>
      <c r="E82" s="456" t="s">
        <v>504</v>
      </c>
      <c r="F82" s="466" t="s">
        <v>497</v>
      </c>
      <c r="G82" s="467">
        <f>10800</f>
        <v>10800</v>
      </c>
      <c r="H82" s="440"/>
      <c r="I82" s="521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</row>
    <row r="83" spans="1:72" s="522" customFormat="1" ht="15.75" customHeight="1" x14ac:dyDescent="0.2">
      <c r="A83" s="454"/>
      <c r="B83" s="455"/>
      <c r="C83" s="473"/>
      <c r="D83" s="456"/>
      <c r="E83" s="456" t="s">
        <v>526</v>
      </c>
      <c r="F83" s="466" t="s">
        <v>497</v>
      </c>
      <c r="G83" s="467">
        <f>148065+158540+131624-98198-142934+2783.77+131210+42900-43028</f>
        <v>330962.77</v>
      </c>
      <c r="H83" s="440"/>
      <c r="I83" s="521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</row>
    <row r="84" spans="1:72" s="522" customFormat="1" ht="15.75" customHeight="1" x14ac:dyDescent="0.2">
      <c r="A84" s="454"/>
      <c r="B84" s="455"/>
      <c r="C84" s="473"/>
      <c r="D84" s="456"/>
      <c r="E84" s="456" t="s">
        <v>505</v>
      </c>
      <c r="F84" s="466" t="s">
        <v>497</v>
      </c>
      <c r="G84" s="467">
        <f>36187.09+38748.72+34808.8-26465-41283+522.94+27004+8130-6925</f>
        <v>70728.55</v>
      </c>
      <c r="H84" s="440"/>
      <c r="I84" s="521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</row>
    <row r="85" spans="1:72" s="522" customFormat="1" ht="15.75" customHeight="1" x14ac:dyDescent="0.2">
      <c r="A85" s="454"/>
      <c r="B85" s="455"/>
      <c r="C85" s="473"/>
      <c r="D85" s="456"/>
      <c r="E85" s="456" t="s">
        <v>241</v>
      </c>
      <c r="F85" s="466" t="s">
        <v>497</v>
      </c>
      <c r="G85" s="467">
        <f>173137+3000-6230+39728</f>
        <v>209635</v>
      </c>
      <c r="H85" s="440"/>
      <c r="I85" s="521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</row>
    <row r="86" spans="1:72" s="522" customFormat="1" ht="12" customHeight="1" x14ac:dyDescent="0.2">
      <c r="A86" s="468"/>
      <c r="B86" s="469"/>
      <c r="C86" s="470"/>
      <c r="D86" s="457"/>
      <c r="E86" s="457"/>
      <c r="F86" s="459"/>
      <c r="G86" s="471"/>
      <c r="H86" s="440"/>
      <c r="I86" s="521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</row>
    <row r="87" spans="1:72" s="522" customFormat="1" ht="21.75" customHeight="1" x14ac:dyDescent="0.2">
      <c r="A87" s="454"/>
      <c r="B87" s="524" t="s">
        <v>137</v>
      </c>
      <c r="C87" s="456" t="s">
        <v>524</v>
      </c>
      <c r="D87" s="456" t="s">
        <v>525</v>
      </c>
      <c r="E87" s="457" t="s">
        <v>497</v>
      </c>
      <c r="F87" s="459" t="s">
        <v>497</v>
      </c>
      <c r="G87" s="458">
        <f>SUM(G89)</f>
        <v>13000.54</v>
      </c>
      <c r="H87" s="440"/>
      <c r="I87" s="521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</row>
    <row r="88" spans="1:72" s="522" customFormat="1" ht="15.75" customHeight="1" x14ac:dyDescent="0.2">
      <c r="A88" s="454"/>
      <c r="B88" s="455"/>
      <c r="C88" s="473"/>
      <c r="D88" s="456"/>
      <c r="E88" s="456"/>
      <c r="F88" s="466"/>
      <c r="G88" s="467"/>
      <c r="H88" s="440"/>
      <c r="I88" s="521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</row>
    <row r="89" spans="1:72" s="522" customFormat="1" ht="15.75" customHeight="1" x14ac:dyDescent="0.2">
      <c r="A89" s="454"/>
      <c r="B89" s="455"/>
      <c r="C89" s="473"/>
      <c r="D89" s="456"/>
      <c r="E89" s="456"/>
      <c r="F89" s="466"/>
      <c r="G89" s="523">
        <f>SUM(G90)</f>
        <v>13000.54</v>
      </c>
      <c r="H89" s="440"/>
      <c r="I89" s="521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</row>
    <row r="90" spans="1:72" s="522" customFormat="1" ht="15.75" customHeight="1" x14ac:dyDescent="0.2">
      <c r="A90" s="454"/>
      <c r="B90" s="455"/>
      <c r="C90" s="473"/>
      <c r="D90" s="456"/>
      <c r="E90" s="456" t="s">
        <v>157</v>
      </c>
      <c r="F90" s="466" t="s">
        <v>497</v>
      </c>
      <c r="G90" s="467">
        <f>1182.91+1343.84+1213.79+1344+1300+1344+1300+1344+1343+1285</f>
        <v>13000.54</v>
      </c>
      <c r="H90" s="440"/>
      <c r="I90" s="521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</row>
    <row r="91" spans="1:72" s="522" customFormat="1" ht="12" customHeight="1" x14ac:dyDescent="0.2">
      <c r="A91" s="454"/>
      <c r="B91" s="455"/>
      <c r="C91" s="473"/>
      <c r="D91" s="456"/>
      <c r="E91" s="457"/>
      <c r="F91" s="459"/>
      <c r="G91" s="471"/>
      <c r="H91" s="440"/>
      <c r="I91" s="521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</row>
    <row r="92" spans="1:72" s="522" customFormat="1" ht="19.5" customHeight="1" x14ac:dyDescent="0.2">
      <c r="A92" s="454"/>
      <c r="B92" s="524" t="s">
        <v>139</v>
      </c>
      <c r="C92" s="456" t="s">
        <v>524</v>
      </c>
      <c r="D92" s="456" t="s">
        <v>527</v>
      </c>
      <c r="E92" s="457" t="s">
        <v>497</v>
      </c>
      <c r="F92" s="459" t="s">
        <v>497</v>
      </c>
      <c r="G92" s="458">
        <f>SUM(G94)</f>
        <v>101184.5</v>
      </c>
      <c r="H92" s="440"/>
      <c r="I92" s="521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/>
      <c r="AM92" s="440"/>
      <c r="AN92" s="440"/>
      <c r="AO92" s="440"/>
      <c r="AP92" s="440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</row>
    <row r="93" spans="1:72" s="522" customFormat="1" ht="15.75" customHeight="1" x14ac:dyDescent="0.2">
      <c r="A93" s="454"/>
      <c r="B93" s="455"/>
      <c r="C93" s="473"/>
      <c r="D93" s="456"/>
      <c r="E93" s="456"/>
      <c r="F93" s="466"/>
      <c r="G93" s="467"/>
      <c r="H93" s="440"/>
      <c r="I93" s="521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</row>
    <row r="94" spans="1:72" s="522" customFormat="1" ht="15.75" customHeight="1" x14ac:dyDescent="0.2">
      <c r="A94" s="454"/>
      <c r="B94" s="455"/>
      <c r="C94" s="473"/>
      <c r="D94" s="456"/>
      <c r="E94" s="456"/>
      <c r="F94" s="466"/>
      <c r="G94" s="523">
        <f>SUM(G95:G99)</f>
        <v>101184.5</v>
      </c>
      <c r="H94" s="440"/>
      <c r="I94" s="521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</row>
    <row r="95" spans="1:72" s="522" customFormat="1" ht="15.75" customHeight="1" x14ac:dyDescent="0.2">
      <c r="A95" s="454"/>
      <c r="B95" s="455"/>
      <c r="C95" s="473"/>
      <c r="D95" s="456"/>
      <c r="E95" s="456" t="s">
        <v>149</v>
      </c>
      <c r="F95" s="466" t="s">
        <v>497</v>
      </c>
      <c r="G95" s="467">
        <f>3162.57+834+6860+8674+20702+8078+11273+12956</f>
        <v>72539.570000000007</v>
      </c>
      <c r="H95" s="440"/>
      <c r="I95" s="521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</row>
    <row r="96" spans="1:72" s="522" customFormat="1" ht="15.75" customHeight="1" x14ac:dyDescent="0.2">
      <c r="A96" s="454"/>
      <c r="B96" s="455"/>
      <c r="C96" s="473"/>
      <c r="D96" s="456"/>
      <c r="E96" s="456" t="s">
        <v>151</v>
      </c>
      <c r="F96" s="466" t="s">
        <v>497</v>
      </c>
      <c r="G96" s="467">
        <f>1500+2000+400</f>
        <v>3900</v>
      </c>
      <c r="H96" s="440"/>
      <c r="I96" s="521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</row>
    <row r="97" spans="1:72" s="522" customFormat="1" ht="15.75" customHeight="1" x14ac:dyDescent="0.2">
      <c r="A97" s="454"/>
      <c r="B97" s="455"/>
      <c r="C97" s="473"/>
      <c r="D97" s="456"/>
      <c r="E97" s="456" t="s">
        <v>526</v>
      </c>
      <c r="F97" s="466" t="s">
        <v>497</v>
      </c>
      <c r="G97" s="467">
        <f>6150.93+6701+6069-9900+6576+1424</f>
        <v>17020.93</v>
      </c>
      <c r="H97" s="440"/>
      <c r="I97" s="521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0"/>
      <c r="AX97" s="440"/>
      <c r="AY97" s="440"/>
      <c r="AZ97" s="440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</row>
    <row r="98" spans="1:72" s="522" customFormat="1" ht="15.75" customHeight="1" x14ac:dyDescent="0.2">
      <c r="A98" s="454"/>
      <c r="B98" s="455"/>
      <c r="C98" s="473"/>
      <c r="D98" s="456"/>
      <c r="E98" s="456" t="s">
        <v>505</v>
      </c>
      <c r="F98" s="466" t="s">
        <v>497</v>
      </c>
      <c r="G98" s="467">
        <f>1503+1638+1483-2800+1500</f>
        <v>3324</v>
      </c>
      <c r="H98" s="440"/>
      <c r="I98" s="521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</row>
    <row r="99" spans="1:72" s="522" customFormat="1" ht="15.75" customHeight="1" x14ac:dyDescent="0.2">
      <c r="A99" s="454"/>
      <c r="B99" s="455"/>
      <c r="C99" s="473"/>
      <c r="D99" s="456"/>
      <c r="E99" s="456" t="s">
        <v>241</v>
      </c>
      <c r="F99" s="466" t="s">
        <v>497</v>
      </c>
      <c r="G99" s="467">
        <f>6000-2000+400</f>
        <v>4400</v>
      </c>
      <c r="H99" s="440"/>
      <c r="I99" s="521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0"/>
      <c r="AX99" s="440"/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0"/>
      <c r="BP99" s="440"/>
      <c r="BQ99" s="440"/>
      <c r="BR99" s="440"/>
      <c r="BS99" s="440"/>
      <c r="BT99" s="440"/>
    </row>
    <row r="100" spans="1:72" s="522" customFormat="1" ht="15.75" customHeight="1" x14ac:dyDescent="0.2">
      <c r="A100" s="454"/>
      <c r="B100" s="455"/>
      <c r="C100" s="473"/>
      <c r="D100" s="456"/>
      <c r="E100" s="456"/>
      <c r="F100" s="466"/>
      <c r="G100" s="467"/>
      <c r="H100" s="440"/>
      <c r="I100" s="521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/>
      <c r="AV100" s="440"/>
      <c r="AW100" s="440"/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  <c r="BQ100" s="440"/>
      <c r="BR100" s="440"/>
      <c r="BS100" s="440"/>
      <c r="BT100" s="440"/>
    </row>
    <row r="101" spans="1:72" s="522" customFormat="1" ht="15.75" customHeight="1" x14ac:dyDescent="0.2">
      <c r="A101" s="454"/>
      <c r="B101" s="524" t="s">
        <v>139</v>
      </c>
      <c r="C101" s="456" t="s">
        <v>524</v>
      </c>
      <c r="D101" s="456" t="s">
        <v>528</v>
      </c>
      <c r="E101" s="462" t="s">
        <v>497</v>
      </c>
      <c r="F101" s="463" t="s">
        <v>497</v>
      </c>
      <c r="G101" s="464">
        <f>SUM(G103)</f>
        <v>445325.01</v>
      </c>
      <c r="H101" s="440"/>
      <c r="I101" s="521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40"/>
      <c r="BA101" s="440"/>
      <c r="BB101" s="440"/>
      <c r="BC101" s="440"/>
      <c r="BD101" s="440"/>
      <c r="BE101" s="440"/>
      <c r="BF101" s="440"/>
      <c r="BG101" s="440"/>
      <c r="BH101" s="440"/>
      <c r="BI101" s="440"/>
      <c r="BJ101" s="440"/>
      <c r="BK101" s="440"/>
      <c r="BL101" s="440"/>
      <c r="BM101" s="440"/>
      <c r="BN101" s="440"/>
      <c r="BO101" s="440"/>
      <c r="BP101" s="440"/>
      <c r="BQ101" s="440"/>
      <c r="BR101" s="440"/>
      <c r="BS101" s="440"/>
      <c r="BT101" s="440"/>
    </row>
    <row r="102" spans="1:72" s="522" customFormat="1" ht="15.75" customHeight="1" x14ac:dyDescent="0.2">
      <c r="A102" s="454"/>
      <c r="B102" s="455"/>
      <c r="C102" s="473"/>
      <c r="D102" s="456"/>
      <c r="E102" s="456"/>
      <c r="F102" s="466"/>
      <c r="G102" s="467"/>
      <c r="H102" s="440"/>
      <c r="I102" s="521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</row>
    <row r="103" spans="1:72" s="522" customFormat="1" ht="15.75" customHeight="1" x14ac:dyDescent="0.2">
      <c r="A103" s="454"/>
      <c r="B103" s="455"/>
      <c r="C103" s="473"/>
      <c r="D103" s="456"/>
      <c r="E103" s="456"/>
      <c r="F103" s="466"/>
      <c r="G103" s="523">
        <f>SUM(G104:G108)</f>
        <v>445325.01</v>
      </c>
      <c r="H103" s="440"/>
      <c r="I103" s="521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</row>
    <row r="104" spans="1:72" s="522" customFormat="1" ht="15.75" customHeight="1" x14ac:dyDescent="0.2">
      <c r="A104" s="454"/>
      <c r="B104" s="455"/>
      <c r="C104" s="473"/>
      <c r="D104" s="456"/>
      <c r="E104" s="456" t="s">
        <v>149</v>
      </c>
      <c r="F104" s="466" t="s">
        <v>497</v>
      </c>
      <c r="G104" s="467">
        <f>10113.01+72423+47240+48295+46050+50471+36622+25281+45514</f>
        <v>382009.01</v>
      </c>
      <c r="H104" s="440"/>
      <c r="I104" s="521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0"/>
      <c r="AX104" s="440"/>
      <c r="AY104" s="440"/>
      <c r="AZ104" s="440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</row>
    <row r="105" spans="1:72" s="522" customFormat="1" ht="15.75" customHeight="1" x14ac:dyDescent="0.2">
      <c r="A105" s="454"/>
      <c r="B105" s="455"/>
      <c r="C105" s="473"/>
      <c r="D105" s="456"/>
      <c r="E105" s="456" t="s">
        <v>151</v>
      </c>
      <c r="F105" s="466" t="s">
        <v>497</v>
      </c>
      <c r="G105" s="467">
        <f>5731+100+565+2152</f>
        <v>8548</v>
      </c>
      <c r="H105" s="440"/>
      <c r="I105" s="521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</row>
    <row r="106" spans="1:72" s="522" customFormat="1" ht="15.75" customHeight="1" x14ac:dyDescent="0.2">
      <c r="A106" s="454"/>
      <c r="B106" s="455"/>
      <c r="C106" s="473"/>
      <c r="D106" s="456"/>
      <c r="E106" s="456" t="s">
        <v>526</v>
      </c>
      <c r="F106" s="466" t="s">
        <v>497</v>
      </c>
      <c r="G106" s="467">
        <f>47074+24851-70679+850-2096</f>
        <v>0</v>
      </c>
      <c r="H106" s="440"/>
      <c r="I106" s="521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</row>
    <row r="107" spans="1:72" s="522" customFormat="1" ht="15.75" customHeight="1" x14ac:dyDescent="0.2">
      <c r="A107" s="454"/>
      <c r="B107" s="455"/>
      <c r="C107" s="473"/>
      <c r="D107" s="456"/>
      <c r="E107" s="456" t="s">
        <v>505</v>
      </c>
      <c r="F107" s="466" t="s">
        <v>497</v>
      </c>
      <c r="G107" s="467">
        <f>11505+6071-17227+176-525</f>
        <v>0</v>
      </c>
      <c r="H107" s="440"/>
      <c r="I107" s="521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/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/>
    </row>
    <row r="108" spans="1:72" s="522" customFormat="1" ht="15.75" customHeight="1" x14ac:dyDescent="0.2">
      <c r="A108" s="454"/>
      <c r="B108" s="455"/>
      <c r="C108" s="473"/>
      <c r="D108" s="456"/>
      <c r="E108" s="456" t="s">
        <v>241</v>
      </c>
      <c r="F108" s="466" t="s">
        <v>497</v>
      </c>
      <c r="G108" s="467">
        <f>46698+800+3020+4250</f>
        <v>54768</v>
      </c>
      <c r="H108" s="440"/>
      <c r="I108" s="521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0"/>
      <c r="BI108" s="440"/>
      <c r="BJ108" s="440"/>
      <c r="BK108" s="440"/>
      <c r="BL108" s="440"/>
      <c r="BM108" s="440"/>
      <c r="BN108" s="440"/>
      <c r="BO108" s="440"/>
      <c r="BP108" s="440"/>
      <c r="BQ108" s="440"/>
      <c r="BR108" s="440"/>
      <c r="BS108" s="440"/>
      <c r="BT108" s="440"/>
    </row>
    <row r="109" spans="1:72" s="522" customFormat="1" ht="10.5" customHeight="1" x14ac:dyDescent="0.2">
      <c r="A109" s="454"/>
      <c r="B109" s="455"/>
      <c r="C109" s="473"/>
      <c r="D109" s="456"/>
      <c r="E109" s="456"/>
      <c r="F109" s="466"/>
      <c r="G109" s="467"/>
      <c r="H109" s="440"/>
      <c r="I109" s="521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/>
      <c r="BN109" s="440"/>
      <c r="BO109" s="440"/>
      <c r="BP109" s="440"/>
      <c r="BQ109" s="440"/>
      <c r="BR109" s="440"/>
      <c r="BS109" s="440"/>
      <c r="BT109" s="440"/>
    </row>
    <row r="110" spans="1:72" s="522" customFormat="1" ht="15.75" customHeight="1" x14ac:dyDescent="0.2">
      <c r="A110" s="454"/>
      <c r="B110" s="524" t="s">
        <v>137</v>
      </c>
      <c r="C110" s="456" t="s">
        <v>524</v>
      </c>
      <c r="D110" s="456" t="s">
        <v>528</v>
      </c>
      <c r="E110" s="462" t="s">
        <v>497</v>
      </c>
      <c r="F110" s="463" t="s">
        <v>497</v>
      </c>
      <c r="G110" s="464">
        <f>SUM(G112)</f>
        <v>60295.85</v>
      </c>
      <c r="H110" s="440"/>
      <c r="I110" s="521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0"/>
      <c r="AO110" s="440"/>
      <c r="AP110" s="440"/>
      <c r="AQ110" s="440"/>
      <c r="AR110" s="440"/>
      <c r="AS110" s="440"/>
      <c r="AT110" s="440"/>
      <c r="AU110" s="440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0"/>
      <c r="BO110" s="440"/>
      <c r="BP110" s="440"/>
      <c r="BQ110" s="440"/>
      <c r="BR110" s="440"/>
      <c r="BS110" s="440"/>
      <c r="BT110" s="440"/>
    </row>
    <row r="111" spans="1:72" s="522" customFormat="1" ht="9.75" customHeight="1" x14ac:dyDescent="0.2">
      <c r="A111" s="454"/>
      <c r="B111" s="455"/>
      <c r="C111" s="473"/>
      <c r="D111" s="456"/>
      <c r="E111" s="456"/>
      <c r="F111" s="466"/>
      <c r="G111" s="467"/>
      <c r="H111" s="440"/>
      <c r="I111" s="521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  <c r="AS111" s="440"/>
      <c r="AT111" s="440"/>
      <c r="AU111" s="440"/>
      <c r="AV111" s="440"/>
      <c r="AW111" s="440"/>
      <c r="AX111" s="440"/>
      <c r="AY111" s="440"/>
      <c r="AZ111" s="440"/>
      <c r="BA111" s="440"/>
      <c r="BB111" s="440"/>
      <c r="BC111" s="440"/>
      <c r="BD111" s="440"/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</row>
    <row r="112" spans="1:72" s="522" customFormat="1" ht="15.75" customHeight="1" x14ac:dyDescent="0.2">
      <c r="A112" s="454"/>
      <c r="B112" s="455"/>
      <c r="C112" s="473"/>
      <c r="D112" s="456"/>
      <c r="E112" s="456"/>
      <c r="F112" s="466"/>
      <c r="G112" s="523">
        <f>SUM(G113)</f>
        <v>60295.85</v>
      </c>
      <c r="H112" s="440"/>
      <c r="I112" s="521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</row>
    <row r="113" spans="1:72" s="522" customFormat="1" ht="15.75" customHeight="1" x14ac:dyDescent="0.2">
      <c r="A113" s="454"/>
      <c r="B113" s="455"/>
      <c r="C113" s="473"/>
      <c r="D113" s="456"/>
      <c r="E113" s="456" t="s">
        <v>157</v>
      </c>
      <c r="F113" s="466" t="s">
        <v>497</v>
      </c>
      <c r="G113" s="467">
        <f>10372.44+5081.41+5625+5444+5625+5991+5598+6138+4897+5524</f>
        <v>60295.85</v>
      </c>
      <c r="H113" s="440"/>
      <c r="I113" s="521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  <c r="AS113" s="440"/>
      <c r="AT113" s="440"/>
      <c r="AU113" s="440"/>
      <c r="AV113" s="440"/>
      <c r="AW113" s="440"/>
      <c r="AX113" s="440"/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</row>
    <row r="114" spans="1:72" s="522" customFormat="1" ht="12" customHeight="1" x14ac:dyDescent="0.2">
      <c r="A114" s="454"/>
      <c r="B114" s="455"/>
      <c r="C114" s="473"/>
      <c r="D114" s="456"/>
      <c r="E114" s="456"/>
      <c r="F114" s="466"/>
      <c r="G114" s="467"/>
      <c r="H114" s="440"/>
      <c r="I114" s="521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</row>
    <row r="115" spans="1:72" s="522" customFormat="1" ht="15.75" customHeight="1" x14ac:dyDescent="0.2">
      <c r="A115" s="454"/>
      <c r="B115" s="524" t="s">
        <v>139</v>
      </c>
      <c r="C115" s="456" t="s">
        <v>524</v>
      </c>
      <c r="D115" s="456" t="s">
        <v>529</v>
      </c>
      <c r="E115" s="462" t="s">
        <v>497</v>
      </c>
      <c r="F115" s="463" t="s">
        <v>497</v>
      </c>
      <c r="G115" s="464">
        <f>SUM(G117)</f>
        <v>66703.520000000004</v>
      </c>
      <c r="H115" s="440"/>
      <c r="I115" s="521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</row>
    <row r="116" spans="1:72" s="522" customFormat="1" ht="12" customHeight="1" x14ac:dyDescent="0.2">
      <c r="A116" s="454"/>
      <c r="B116" s="455"/>
      <c r="C116" s="473"/>
      <c r="D116" s="456"/>
      <c r="E116" s="456"/>
      <c r="F116" s="466"/>
      <c r="G116" s="467"/>
      <c r="H116" s="440"/>
      <c r="I116" s="521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40"/>
      <c r="BC116" s="440"/>
      <c r="BD116" s="440"/>
      <c r="BE116" s="440"/>
      <c r="BF116" s="440"/>
      <c r="BG116" s="440"/>
      <c r="BH116" s="440"/>
      <c r="BI116" s="440"/>
      <c r="BJ116" s="440"/>
      <c r="BK116" s="440"/>
      <c r="BL116" s="440"/>
      <c r="BM116" s="440"/>
      <c r="BN116" s="440"/>
      <c r="BO116" s="440"/>
      <c r="BP116" s="440"/>
      <c r="BQ116" s="440"/>
      <c r="BR116" s="440"/>
      <c r="BS116" s="440"/>
      <c r="BT116" s="440"/>
    </row>
    <row r="117" spans="1:72" s="522" customFormat="1" ht="15.75" customHeight="1" x14ac:dyDescent="0.2">
      <c r="A117" s="454"/>
      <c r="B117" s="455"/>
      <c r="C117" s="473"/>
      <c r="D117" s="456"/>
      <c r="E117" s="456"/>
      <c r="F117" s="466"/>
      <c r="G117" s="523">
        <f>SUM(G118:G122)</f>
        <v>66703.520000000004</v>
      </c>
      <c r="H117" s="440"/>
      <c r="I117" s="521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</row>
    <row r="118" spans="1:72" s="522" customFormat="1" ht="15.75" customHeight="1" x14ac:dyDescent="0.2">
      <c r="A118" s="454"/>
      <c r="B118" s="455"/>
      <c r="C118" s="473"/>
      <c r="D118" s="456"/>
      <c r="E118" s="456" t="s">
        <v>149</v>
      </c>
      <c r="F118" s="466" t="s">
        <v>497</v>
      </c>
      <c r="G118" s="467">
        <f>696.52+7770+6552+6770+21746+6770+4770+6268+2148</f>
        <v>63490.520000000004</v>
      </c>
      <c r="H118" s="440"/>
      <c r="I118" s="521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0"/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</row>
    <row r="119" spans="1:72" s="522" customFormat="1" ht="15.75" customHeight="1" x14ac:dyDescent="0.2">
      <c r="A119" s="454"/>
      <c r="B119" s="455"/>
      <c r="C119" s="473"/>
      <c r="D119" s="456"/>
      <c r="E119" s="456" t="s">
        <v>151</v>
      </c>
      <c r="F119" s="466" t="s">
        <v>497</v>
      </c>
      <c r="G119" s="467">
        <f>713+700+500</f>
        <v>1913</v>
      </c>
      <c r="H119" s="440"/>
      <c r="I119" s="521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</row>
    <row r="120" spans="1:72" s="522" customFormat="1" ht="15.75" customHeight="1" x14ac:dyDescent="0.2">
      <c r="A120" s="454"/>
      <c r="B120" s="455"/>
      <c r="C120" s="473"/>
      <c r="D120" s="456"/>
      <c r="E120" s="456" t="s">
        <v>526</v>
      </c>
      <c r="F120" s="466" t="s">
        <v>497</v>
      </c>
      <c r="G120" s="467">
        <f>4416+5864+4914-15194</f>
        <v>0</v>
      </c>
      <c r="H120" s="440"/>
      <c r="I120" s="521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40"/>
      <c r="AY120" s="440"/>
      <c r="AZ120" s="440"/>
      <c r="BA120" s="440"/>
      <c r="BB120" s="440"/>
      <c r="BC120" s="440"/>
      <c r="BD120" s="440"/>
      <c r="BE120" s="440"/>
      <c r="BF120" s="440"/>
      <c r="BG120" s="440"/>
      <c r="BH120" s="440"/>
      <c r="BI120" s="440"/>
      <c r="BJ120" s="440"/>
      <c r="BK120" s="440"/>
      <c r="BL120" s="440"/>
      <c r="BM120" s="440"/>
      <c r="BN120" s="440"/>
      <c r="BO120" s="440"/>
      <c r="BP120" s="440"/>
      <c r="BQ120" s="440"/>
      <c r="BR120" s="440"/>
      <c r="BS120" s="440"/>
      <c r="BT120" s="440"/>
    </row>
    <row r="121" spans="1:72" s="522" customFormat="1" ht="15.75" customHeight="1" x14ac:dyDescent="0.2">
      <c r="A121" s="454"/>
      <c r="B121" s="455"/>
      <c r="C121" s="473"/>
      <c r="D121" s="456"/>
      <c r="E121" s="456" t="s">
        <v>505</v>
      </c>
      <c r="F121" s="466" t="s">
        <v>497</v>
      </c>
      <c r="G121" s="467">
        <f>1079+1433+1201-3713</f>
        <v>0</v>
      </c>
      <c r="H121" s="440"/>
      <c r="I121" s="521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  <c r="BG121" s="440"/>
      <c r="BH121" s="440"/>
      <c r="BI121" s="440"/>
      <c r="BJ121" s="440"/>
      <c r="BK121" s="440"/>
      <c r="BL121" s="440"/>
      <c r="BM121" s="440"/>
      <c r="BN121" s="440"/>
      <c r="BO121" s="440"/>
      <c r="BP121" s="440"/>
      <c r="BQ121" s="440"/>
      <c r="BR121" s="440"/>
      <c r="BS121" s="440"/>
      <c r="BT121" s="440"/>
    </row>
    <row r="122" spans="1:72" s="522" customFormat="1" ht="15.75" customHeight="1" x14ac:dyDescent="0.2">
      <c r="A122" s="454"/>
      <c r="B122" s="455"/>
      <c r="C122" s="473"/>
      <c r="D122" s="456"/>
      <c r="E122" s="456" t="s">
        <v>241</v>
      </c>
      <c r="F122" s="466" t="s">
        <v>497</v>
      </c>
      <c r="G122" s="467">
        <f>2000-700</f>
        <v>1300</v>
      </c>
      <c r="H122" s="440"/>
      <c r="I122" s="521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0"/>
      <c r="AY122" s="440"/>
      <c r="AZ122" s="440"/>
      <c r="BA122" s="440"/>
      <c r="BB122" s="440"/>
      <c r="BC122" s="440"/>
      <c r="BD122" s="440"/>
      <c r="BE122" s="440"/>
      <c r="BF122" s="440"/>
      <c r="BG122" s="440"/>
      <c r="BH122" s="440"/>
      <c r="BI122" s="440"/>
      <c r="BJ122" s="440"/>
      <c r="BK122" s="440"/>
      <c r="BL122" s="440"/>
      <c r="BM122" s="440"/>
      <c r="BN122" s="440"/>
      <c r="BO122" s="440"/>
      <c r="BP122" s="440"/>
      <c r="BQ122" s="440"/>
      <c r="BR122" s="440"/>
      <c r="BS122" s="440"/>
      <c r="BT122" s="440"/>
    </row>
    <row r="123" spans="1:72" s="522" customFormat="1" ht="15.75" customHeight="1" x14ac:dyDescent="0.2">
      <c r="A123" s="454"/>
      <c r="B123" s="455"/>
      <c r="C123" s="473"/>
      <c r="D123" s="456"/>
      <c r="E123" s="456"/>
      <c r="F123" s="466"/>
      <c r="G123" s="467"/>
      <c r="H123" s="440"/>
      <c r="I123" s="521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0"/>
      <c r="BD123" s="440"/>
      <c r="BE123" s="440"/>
      <c r="BF123" s="440"/>
      <c r="BG123" s="440"/>
      <c r="BH123" s="440"/>
      <c r="BI123" s="440"/>
      <c r="BJ123" s="440"/>
      <c r="BK123" s="440"/>
      <c r="BL123" s="440"/>
      <c r="BM123" s="440"/>
      <c r="BN123" s="440"/>
      <c r="BO123" s="440"/>
      <c r="BP123" s="440"/>
      <c r="BQ123" s="440"/>
      <c r="BR123" s="440"/>
      <c r="BS123" s="440"/>
      <c r="BT123" s="440"/>
    </row>
    <row r="124" spans="1:72" s="522" customFormat="1" ht="15.75" customHeight="1" x14ac:dyDescent="0.2">
      <c r="A124" s="454"/>
      <c r="B124" s="524" t="s">
        <v>139</v>
      </c>
      <c r="C124" s="456" t="s">
        <v>524</v>
      </c>
      <c r="D124" s="456" t="s">
        <v>530</v>
      </c>
      <c r="E124" s="462" t="s">
        <v>497</v>
      </c>
      <c r="F124" s="463" t="s">
        <v>497</v>
      </c>
      <c r="G124" s="464">
        <f>SUM(G126)</f>
        <v>133452.40999999997</v>
      </c>
      <c r="H124" s="440"/>
      <c r="I124" s="521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40"/>
      <c r="AV124" s="440"/>
      <c r="AW124" s="440"/>
      <c r="AX124" s="440"/>
      <c r="AY124" s="440"/>
      <c r="AZ124" s="440"/>
      <c r="BA124" s="440"/>
      <c r="BB124" s="440"/>
      <c r="BC124" s="440"/>
      <c r="BD124" s="440"/>
      <c r="BE124" s="440"/>
      <c r="BF124" s="440"/>
      <c r="BG124" s="440"/>
      <c r="BH124" s="440"/>
      <c r="BI124" s="440"/>
      <c r="BJ124" s="440"/>
      <c r="BK124" s="440"/>
      <c r="BL124" s="440"/>
      <c r="BM124" s="440"/>
      <c r="BN124" s="440"/>
      <c r="BO124" s="440"/>
      <c r="BP124" s="440"/>
      <c r="BQ124" s="440"/>
      <c r="BR124" s="440"/>
      <c r="BS124" s="440"/>
      <c r="BT124" s="440"/>
    </row>
    <row r="125" spans="1:72" s="522" customFormat="1" ht="11.25" customHeight="1" x14ac:dyDescent="0.2">
      <c r="A125" s="454"/>
      <c r="B125" s="455"/>
      <c r="C125" s="473"/>
      <c r="D125" s="456"/>
      <c r="E125" s="456"/>
      <c r="F125" s="466"/>
      <c r="G125" s="467"/>
      <c r="H125" s="440"/>
      <c r="I125" s="521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40"/>
      <c r="BB125" s="440"/>
      <c r="BC125" s="440"/>
      <c r="BD125" s="440"/>
      <c r="BE125" s="440"/>
      <c r="BF125" s="440"/>
      <c r="BG125" s="440"/>
      <c r="BH125" s="440"/>
      <c r="BI125" s="440"/>
      <c r="BJ125" s="440"/>
      <c r="BK125" s="440"/>
      <c r="BL125" s="440"/>
      <c r="BM125" s="440"/>
      <c r="BN125" s="440"/>
      <c r="BO125" s="440"/>
      <c r="BP125" s="440"/>
      <c r="BQ125" s="440"/>
      <c r="BR125" s="440"/>
      <c r="BS125" s="440"/>
      <c r="BT125" s="440"/>
    </row>
    <row r="126" spans="1:72" s="522" customFormat="1" ht="15.75" customHeight="1" x14ac:dyDescent="0.2">
      <c r="A126" s="454"/>
      <c r="B126" s="455"/>
      <c r="C126" s="473"/>
      <c r="D126" s="456"/>
      <c r="E126" s="456"/>
      <c r="F126" s="466"/>
      <c r="G126" s="523">
        <f>SUM(G127:G131)</f>
        <v>133452.40999999997</v>
      </c>
      <c r="H126" s="440"/>
      <c r="I126" s="521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  <c r="AS126" s="440"/>
      <c r="AT126" s="440"/>
      <c r="AU126" s="440"/>
      <c r="AV126" s="440"/>
      <c r="AW126" s="440"/>
      <c r="AX126" s="440"/>
      <c r="AY126" s="440"/>
      <c r="AZ126" s="440"/>
      <c r="BA126" s="440"/>
      <c r="BB126" s="440"/>
      <c r="BC126" s="440"/>
      <c r="BD126" s="440"/>
      <c r="BE126" s="440"/>
      <c r="BF126" s="440"/>
      <c r="BG126" s="440"/>
      <c r="BH126" s="440"/>
      <c r="BI126" s="440"/>
      <c r="BJ126" s="440"/>
      <c r="BK126" s="440"/>
      <c r="BL126" s="440"/>
      <c r="BM126" s="440"/>
      <c r="BN126" s="440"/>
      <c r="BO126" s="440"/>
      <c r="BP126" s="440"/>
      <c r="BQ126" s="440"/>
      <c r="BR126" s="440"/>
      <c r="BS126" s="440"/>
      <c r="BT126" s="440"/>
    </row>
    <row r="127" spans="1:72" s="522" customFormat="1" ht="15.75" customHeight="1" x14ac:dyDescent="0.2">
      <c r="A127" s="454"/>
      <c r="B127" s="455"/>
      <c r="C127" s="473"/>
      <c r="D127" s="456"/>
      <c r="E127" s="456" t="s">
        <v>149</v>
      </c>
      <c r="F127" s="466" t="s">
        <v>497</v>
      </c>
      <c r="G127" s="467">
        <f>4417.41+137-137+12272+33562+15078-75+869+23240</f>
        <v>89363.41</v>
      </c>
      <c r="H127" s="440"/>
      <c r="I127" s="521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  <c r="AZ127" s="440"/>
      <c r="BA127" s="440"/>
      <c r="BB127" s="440"/>
      <c r="BC127" s="440"/>
      <c r="BD127" s="440"/>
      <c r="BE127" s="440"/>
      <c r="BF127" s="440"/>
      <c r="BG127" s="440"/>
      <c r="BH127" s="440"/>
      <c r="BI127" s="440"/>
      <c r="BJ127" s="440"/>
      <c r="BK127" s="440"/>
      <c r="BL127" s="440"/>
      <c r="BM127" s="440"/>
      <c r="BN127" s="440"/>
      <c r="BO127" s="440"/>
      <c r="BP127" s="440"/>
      <c r="BQ127" s="440"/>
      <c r="BR127" s="440"/>
      <c r="BS127" s="440"/>
      <c r="BT127" s="440"/>
    </row>
    <row r="128" spans="1:72" s="522" customFormat="1" ht="15.75" customHeight="1" x14ac:dyDescent="0.2">
      <c r="A128" s="454"/>
      <c r="B128" s="455"/>
      <c r="C128" s="473"/>
      <c r="D128" s="456"/>
      <c r="E128" s="456" t="s">
        <v>151</v>
      </c>
      <c r="F128" s="466" t="s">
        <v>497</v>
      </c>
      <c r="G128" s="467">
        <f>105+215+30+410</f>
        <v>760</v>
      </c>
      <c r="H128" s="440"/>
      <c r="I128" s="521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  <c r="AZ128" s="440"/>
      <c r="BA128" s="440"/>
      <c r="BB128" s="440"/>
      <c r="BC128" s="440"/>
      <c r="BD128" s="440"/>
      <c r="BE128" s="440"/>
      <c r="BF128" s="440"/>
      <c r="BG128" s="440"/>
      <c r="BH128" s="440"/>
      <c r="BI128" s="440"/>
      <c r="BJ128" s="440"/>
      <c r="BK128" s="440"/>
      <c r="BL128" s="440"/>
      <c r="BM128" s="440"/>
      <c r="BN128" s="440"/>
      <c r="BO128" s="440"/>
      <c r="BP128" s="440"/>
      <c r="BQ128" s="440"/>
      <c r="BR128" s="440"/>
      <c r="BS128" s="440"/>
      <c r="BT128" s="440"/>
    </row>
    <row r="129" spans="1:72" s="522" customFormat="1" ht="15.75" customHeight="1" x14ac:dyDescent="0.2">
      <c r="A129" s="454"/>
      <c r="B129" s="455"/>
      <c r="C129" s="473"/>
      <c r="D129" s="456"/>
      <c r="E129" s="456" t="s">
        <v>526</v>
      </c>
      <c r="F129" s="466" t="s">
        <v>497</v>
      </c>
      <c r="G129" s="467">
        <f>7396+8670+6065+4705+6442-15716.29+9572+8352-8474</f>
        <v>27011.71</v>
      </c>
      <c r="H129" s="440"/>
      <c r="I129" s="521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  <c r="BP129" s="440"/>
      <c r="BQ129" s="440"/>
      <c r="BR129" s="440"/>
      <c r="BS129" s="440"/>
      <c r="BT129" s="440"/>
    </row>
    <row r="130" spans="1:72" s="522" customFormat="1" ht="15.75" customHeight="1" x14ac:dyDescent="0.2">
      <c r="A130" s="454"/>
      <c r="B130" s="455"/>
      <c r="C130" s="473"/>
      <c r="D130" s="456"/>
      <c r="E130" s="456" t="s">
        <v>505</v>
      </c>
      <c r="F130" s="466" t="s">
        <v>497</v>
      </c>
      <c r="G130" s="467">
        <f>1808+2118+1483+650+844-3086.71+2702+1249-2010</f>
        <v>5757.29</v>
      </c>
      <c r="H130" s="440"/>
      <c r="I130" s="521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  <c r="BP130" s="440"/>
      <c r="BQ130" s="440"/>
      <c r="BR130" s="440"/>
      <c r="BS130" s="440"/>
      <c r="BT130" s="440"/>
    </row>
    <row r="131" spans="1:72" s="522" customFormat="1" ht="15.75" customHeight="1" x14ac:dyDescent="0.2">
      <c r="A131" s="454"/>
      <c r="B131" s="455"/>
      <c r="C131" s="473"/>
      <c r="D131" s="456"/>
      <c r="E131" s="456" t="s">
        <v>241</v>
      </c>
      <c r="F131" s="466" t="s">
        <v>497</v>
      </c>
      <c r="G131" s="467">
        <f>6580+470-1160+4670</f>
        <v>10560</v>
      </c>
      <c r="H131" s="440"/>
      <c r="I131" s="521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440"/>
      <c r="BN131" s="440"/>
      <c r="BO131" s="440"/>
      <c r="BP131" s="440"/>
      <c r="BQ131" s="440"/>
      <c r="BR131" s="440"/>
      <c r="BS131" s="440"/>
      <c r="BT131" s="440"/>
    </row>
    <row r="132" spans="1:72" s="522" customFormat="1" ht="15.75" customHeight="1" x14ac:dyDescent="0.2">
      <c r="A132" s="468"/>
      <c r="B132" s="469"/>
      <c r="C132" s="470"/>
      <c r="D132" s="457"/>
      <c r="E132" s="457"/>
      <c r="F132" s="459"/>
      <c r="G132" s="471"/>
      <c r="H132" s="440"/>
      <c r="I132" s="521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40"/>
      <c r="AY132" s="440"/>
      <c r="AZ132" s="440"/>
      <c r="BA132" s="440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0"/>
      <c r="BQ132" s="440"/>
      <c r="BR132" s="440"/>
      <c r="BS132" s="440"/>
      <c r="BT132" s="440"/>
    </row>
    <row r="133" spans="1:72" s="522" customFormat="1" ht="21.75" customHeight="1" x14ac:dyDescent="0.2">
      <c r="A133" s="454"/>
      <c r="B133" s="524" t="s">
        <v>137</v>
      </c>
      <c r="C133" s="456" t="s">
        <v>524</v>
      </c>
      <c r="D133" s="456" t="s">
        <v>530</v>
      </c>
      <c r="E133" s="457" t="s">
        <v>497</v>
      </c>
      <c r="F133" s="459" t="s">
        <v>497</v>
      </c>
      <c r="G133" s="458">
        <f>SUM(G135)</f>
        <v>1826</v>
      </c>
      <c r="H133" s="440"/>
      <c r="I133" s="521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/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  <c r="BQ133" s="440"/>
      <c r="BR133" s="440"/>
      <c r="BS133" s="440"/>
      <c r="BT133" s="440"/>
    </row>
    <row r="134" spans="1:72" s="522" customFormat="1" ht="15.75" customHeight="1" x14ac:dyDescent="0.2">
      <c r="A134" s="454"/>
      <c r="B134" s="455"/>
      <c r="C134" s="473"/>
      <c r="D134" s="456"/>
      <c r="E134" s="456"/>
      <c r="F134" s="466"/>
      <c r="G134" s="467"/>
      <c r="H134" s="440"/>
      <c r="I134" s="521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40"/>
      <c r="BB134" s="440"/>
      <c r="BC134" s="440"/>
      <c r="BD134" s="440"/>
      <c r="BE134" s="440"/>
      <c r="BF134" s="440"/>
      <c r="BG134" s="440"/>
      <c r="BH134" s="440"/>
      <c r="BI134" s="440"/>
      <c r="BJ134" s="440"/>
      <c r="BK134" s="440"/>
      <c r="BL134" s="440"/>
      <c r="BM134" s="440"/>
      <c r="BN134" s="440"/>
      <c r="BO134" s="440"/>
      <c r="BP134" s="440"/>
      <c r="BQ134" s="440"/>
      <c r="BR134" s="440"/>
      <c r="BS134" s="440"/>
      <c r="BT134" s="440"/>
    </row>
    <row r="135" spans="1:72" s="522" customFormat="1" ht="15.75" customHeight="1" x14ac:dyDescent="0.2">
      <c r="A135" s="454"/>
      <c r="B135" s="455"/>
      <c r="C135" s="473"/>
      <c r="D135" s="456"/>
      <c r="E135" s="456"/>
      <c r="F135" s="466"/>
      <c r="G135" s="523">
        <f>SUM(G136)</f>
        <v>1826</v>
      </c>
      <c r="H135" s="440"/>
      <c r="I135" s="521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40"/>
      <c r="BB135" s="440"/>
      <c r="BC135" s="440"/>
      <c r="BD135" s="440"/>
      <c r="BE135" s="440"/>
      <c r="BF135" s="440"/>
      <c r="BG135" s="440"/>
      <c r="BH135" s="440"/>
      <c r="BI135" s="440"/>
      <c r="BJ135" s="440"/>
      <c r="BK135" s="440"/>
      <c r="BL135" s="440"/>
      <c r="BM135" s="440"/>
      <c r="BN135" s="440"/>
      <c r="BO135" s="440"/>
      <c r="BP135" s="440"/>
      <c r="BQ135" s="440"/>
      <c r="BR135" s="440"/>
      <c r="BS135" s="440"/>
      <c r="BT135" s="440"/>
    </row>
    <row r="136" spans="1:72" s="522" customFormat="1" ht="15.75" customHeight="1" x14ac:dyDescent="0.2">
      <c r="A136" s="454"/>
      <c r="B136" s="455"/>
      <c r="C136" s="473"/>
      <c r="D136" s="456"/>
      <c r="E136" s="456" t="s">
        <v>157</v>
      </c>
      <c r="F136" s="466" t="s">
        <v>497</v>
      </c>
      <c r="G136" s="467">
        <f>899+927</f>
        <v>1826</v>
      </c>
      <c r="H136" s="440"/>
      <c r="I136" s="521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</row>
    <row r="137" spans="1:72" s="522" customFormat="1" ht="15.6" customHeight="1" x14ac:dyDescent="0.2">
      <c r="A137" s="454"/>
      <c r="B137" s="455"/>
      <c r="C137" s="473"/>
      <c r="D137" s="456"/>
      <c r="E137" s="456"/>
      <c r="F137" s="466"/>
      <c r="G137" s="467"/>
      <c r="H137" s="440"/>
      <c r="I137" s="521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</row>
    <row r="138" spans="1:72" s="522" customFormat="1" ht="15.75" customHeight="1" x14ac:dyDescent="0.2">
      <c r="A138" s="454"/>
      <c r="B138" s="524" t="s">
        <v>139</v>
      </c>
      <c r="C138" s="456" t="s">
        <v>524</v>
      </c>
      <c r="D138" s="456" t="s">
        <v>531</v>
      </c>
      <c r="E138" s="462" t="s">
        <v>497</v>
      </c>
      <c r="F138" s="463" t="s">
        <v>497</v>
      </c>
      <c r="G138" s="464">
        <f>SUM(G140)</f>
        <v>48537</v>
      </c>
      <c r="H138" s="440"/>
      <c r="I138" s="521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</row>
    <row r="139" spans="1:72" s="522" customFormat="1" ht="6.75" customHeight="1" x14ac:dyDescent="0.2">
      <c r="A139" s="454"/>
      <c r="B139" s="455"/>
      <c r="C139" s="473"/>
      <c r="D139" s="456"/>
      <c r="E139" s="456"/>
      <c r="F139" s="466"/>
      <c r="G139" s="467"/>
      <c r="H139" s="440"/>
      <c r="I139" s="521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</row>
    <row r="140" spans="1:72" s="522" customFormat="1" ht="15.75" customHeight="1" x14ac:dyDescent="0.2">
      <c r="A140" s="454"/>
      <c r="B140" s="455"/>
      <c r="C140" s="473"/>
      <c r="D140" s="456"/>
      <c r="E140" s="456"/>
      <c r="F140" s="466"/>
      <c r="G140" s="523">
        <f>SUM(G141:G145)</f>
        <v>48537</v>
      </c>
      <c r="H140" s="440"/>
      <c r="I140" s="521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40"/>
      <c r="BB140" s="440"/>
      <c r="BC140" s="440"/>
      <c r="BD140" s="440"/>
      <c r="BE140" s="440"/>
      <c r="BF140" s="440"/>
      <c r="BG140" s="440"/>
      <c r="BH140" s="440"/>
      <c r="BI140" s="440"/>
      <c r="BJ140" s="440"/>
      <c r="BK140" s="440"/>
      <c r="BL140" s="440"/>
      <c r="BM140" s="440"/>
      <c r="BN140" s="440"/>
      <c r="BO140" s="440"/>
      <c r="BP140" s="440"/>
      <c r="BQ140" s="440"/>
      <c r="BR140" s="440"/>
      <c r="BS140" s="440"/>
      <c r="BT140" s="440"/>
    </row>
    <row r="141" spans="1:72" s="522" customFormat="1" ht="15.75" customHeight="1" x14ac:dyDescent="0.2">
      <c r="A141" s="454"/>
      <c r="B141" s="455"/>
      <c r="C141" s="473"/>
      <c r="D141" s="456"/>
      <c r="E141" s="456" t="s">
        <v>149</v>
      </c>
      <c r="F141" s="466" t="s">
        <v>497</v>
      </c>
      <c r="G141" s="467">
        <f>3683+6308+2889+1000+2500+7302</f>
        <v>23682</v>
      </c>
      <c r="H141" s="440"/>
      <c r="I141" s="521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  <c r="BJ141" s="440"/>
      <c r="BK141" s="440"/>
      <c r="BL141" s="440"/>
      <c r="BM141" s="440"/>
      <c r="BN141" s="440"/>
      <c r="BO141" s="440"/>
      <c r="BP141" s="440"/>
      <c r="BQ141" s="440"/>
      <c r="BR141" s="440"/>
      <c r="BS141" s="440"/>
      <c r="BT141" s="440"/>
    </row>
    <row r="142" spans="1:72" s="522" customFormat="1" ht="15.75" customHeight="1" x14ac:dyDescent="0.2">
      <c r="A142" s="454"/>
      <c r="B142" s="455"/>
      <c r="C142" s="473"/>
      <c r="D142" s="456"/>
      <c r="E142" s="456" t="s">
        <v>151</v>
      </c>
      <c r="F142" s="466" t="s">
        <v>497</v>
      </c>
      <c r="G142" s="467">
        <f>200+330</f>
        <v>530</v>
      </c>
      <c r="H142" s="440"/>
      <c r="I142" s="521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  <c r="BP142" s="440"/>
      <c r="BQ142" s="440"/>
      <c r="BR142" s="440"/>
      <c r="BS142" s="440"/>
      <c r="BT142" s="440"/>
    </row>
    <row r="143" spans="1:72" s="522" customFormat="1" ht="15.75" customHeight="1" x14ac:dyDescent="0.2">
      <c r="A143" s="454"/>
      <c r="B143" s="455"/>
      <c r="C143" s="473"/>
      <c r="D143" s="456"/>
      <c r="E143" s="456" t="s">
        <v>526</v>
      </c>
      <c r="F143" s="466" t="s">
        <v>497</v>
      </c>
      <c r="G143" s="467">
        <f>2060+2334+4352-3000-2166+2423+9441-3400</f>
        <v>12044</v>
      </c>
      <c r="H143" s="440"/>
      <c r="I143" s="521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  <c r="BJ143" s="440"/>
      <c r="BK143" s="440"/>
      <c r="BL143" s="440"/>
      <c r="BM143" s="440"/>
      <c r="BN143" s="440"/>
      <c r="BO143" s="440"/>
      <c r="BP143" s="440"/>
      <c r="BQ143" s="440"/>
      <c r="BR143" s="440"/>
      <c r="BS143" s="440"/>
      <c r="BT143" s="440"/>
    </row>
    <row r="144" spans="1:72" s="522" customFormat="1" ht="15.75" customHeight="1" x14ac:dyDescent="0.2">
      <c r="A144" s="454"/>
      <c r="B144" s="455"/>
      <c r="C144" s="473"/>
      <c r="D144" s="456"/>
      <c r="E144" s="456" t="s">
        <v>505</v>
      </c>
      <c r="F144" s="466" t="s">
        <v>497</v>
      </c>
      <c r="G144" s="467">
        <f>504+570+1062-1000-476+500+1885-334</f>
        <v>2711</v>
      </c>
      <c r="H144" s="440"/>
      <c r="I144" s="521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40"/>
      <c r="AL144" s="440"/>
      <c r="AM144" s="440"/>
      <c r="AN144" s="440"/>
      <c r="AO144" s="440"/>
      <c r="AP144" s="440"/>
      <c r="AQ144" s="440"/>
      <c r="AR144" s="440"/>
      <c r="AS144" s="440"/>
      <c r="AT144" s="440"/>
      <c r="AU144" s="440"/>
      <c r="AV144" s="440"/>
      <c r="AW144" s="440"/>
      <c r="AX144" s="440"/>
      <c r="AY144" s="440"/>
      <c r="AZ144" s="440"/>
      <c r="BA144" s="440"/>
      <c r="BB144" s="440"/>
      <c r="BC144" s="440"/>
      <c r="BD144" s="440"/>
      <c r="BE144" s="440"/>
      <c r="BF144" s="440"/>
      <c r="BG144" s="440"/>
      <c r="BH144" s="440"/>
      <c r="BI144" s="440"/>
      <c r="BJ144" s="440"/>
      <c r="BK144" s="440"/>
      <c r="BL144" s="440"/>
      <c r="BM144" s="440"/>
      <c r="BN144" s="440"/>
      <c r="BO144" s="440"/>
      <c r="BP144" s="440"/>
      <c r="BQ144" s="440"/>
      <c r="BR144" s="440"/>
      <c r="BS144" s="440"/>
      <c r="BT144" s="440"/>
    </row>
    <row r="145" spans="1:72" s="522" customFormat="1" ht="15.75" customHeight="1" x14ac:dyDescent="0.2">
      <c r="A145" s="454"/>
      <c r="B145" s="455"/>
      <c r="C145" s="473"/>
      <c r="D145" s="456"/>
      <c r="E145" s="456" t="s">
        <v>241</v>
      </c>
      <c r="F145" s="466" t="s">
        <v>497</v>
      </c>
      <c r="G145" s="467">
        <f>4800+100+4670</f>
        <v>9570</v>
      </c>
      <c r="H145" s="440"/>
      <c r="I145" s="521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440"/>
      <c r="BE145" s="440"/>
      <c r="BF145" s="440"/>
      <c r="BG145" s="440"/>
      <c r="BH145" s="440"/>
      <c r="BI145" s="440"/>
      <c r="BJ145" s="440"/>
      <c r="BK145" s="440"/>
      <c r="BL145" s="440"/>
      <c r="BM145" s="440"/>
      <c r="BN145" s="440"/>
      <c r="BO145" s="440"/>
      <c r="BP145" s="440"/>
      <c r="BQ145" s="440"/>
      <c r="BR145" s="440"/>
      <c r="BS145" s="440"/>
      <c r="BT145" s="440"/>
    </row>
    <row r="146" spans="1:72" s="522" customFormat="1" ht="7.5" customHeight="1" x14ac:dyDescent="0.2">
      <c r="A146" s="454"/>
      <c r="B146" s="455"/>
      <c r="C146" s="473"/>
      <c r="D146" s="456"/>
      <c r="E146" s="457"/>
      <c r="F146" s="459"/>
      <c r="G146" s="471"/>
      <c r="H146" s="440"/>
      <c r="I146" s="521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440"/>
      <c r="BE146" s="440"/>
      <c r="BF146" s="440"/>
      <c r="BG146" s="440"/>
      <c r="BH146" s="440"/>
      <c r="BI146" s="440"/>
      <c r="BJ146" s="440"/>
      <c r="BK146" s="440"/>
      <c r="BL146" s="440"/>
      <c r="BM146" s="440"/>
      <c r="BN146" s="440"/>
      <c r="BO146" s="440"/>
      <c r="BP146" s="440"/>
      <c r="BQ146" s="440"/>
      <c r="BR146" s="440"/>
      <c r="BS146" s="440"/>
      <c r="BT146" s="440"/>
    </row>
    <row r="147" spans="1:72" s="522" customFormat="1" ht="18.75" customHeight="1" x14ac:dyDescent="0.2">
      <c r="A147" s="454"/>
      <c r="B147" s="524" t="s">
        <v>137</v>
      </c>
      <c r="C147" s="456" t="s">
        <v>524</v>
      </c>
      <c r="D147" s="456" t="s">
        <v>531</v>
      </c>
      <c r="E147" s="457" t="s">
        <v>497</v>
      </c>
      <c r="F147" s="459" t="s">
        <v>497</v>
      </c>
      <c r="G147" s="458">
        <f>SUM(G149)</f>
        <v>12282.67</v>
      </c>
      <c r="H147" s="440"/>
      <c r="I147" s="521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0"/>
      <c r="BD147" s="440"/>
      <c r="BE147" s="440"/>
      <c r="BF147" s="440"/>
      <c r="BG147" s="440"/>
      <c r="BH147" s="440"/>
      <c r="BI147" s="440"/>
      <c r="BJ147" s="440"/>
      <c r="BK147" s="440"/>
      <c r="BL147" s="440"/>
      <c r="BM147" s="440"/>
      <c r="BN147" s="440"/>
      <c r="BO147" s="440"/>
      <c r="BP147" s="440"/>
      <c r="BQ147" s="440"/>
      <c r="BR147" s="440"/>
      <c r="BS147" s="440"/>
      <c r="BT147" s="440"/>
    </row>
    <row r="148" spans="1:72" s="522" customFormat="1" ht="6" customHeight="1" x14ac:dyDescent="0.2">
      <c r="A148" s="454"/>
      <c r="B148" s="455"/>
      <c r="C148" s="473"/>
      <c r="D148" s="456"/>
      <c r="E148" s="456"/>
      <c r="F148" s="466"/>
      <c r="G148" s="467"/>
      <c r="H148" s="440"/>
      <c r="I148" s="521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40"/>
      <c r="AK148" s="440"/>
      <c r="AL148" s="440"/>
      <c r="AM148" s="440"/>
      <c r="AN148" s="440"/>
      <c r="AO148" s="440"/>
      <c r="AP148" s="440"/>
      <c r="AQ148" s="440"/>
      <c r="AR148" s="440"/>
      <c r="AS148" s="440"/>
      <c r="AT148" s="440"/>
      <c r="AU148" s="440"/>
      <c r="AV148" s="440"/>
      <c r="AW148" s="440"/>
      <c r="AX148" s="440"/>
      <c r="AY148" s="440"/>
      <c r="AZ148" s="440"/>
      <c r="BA148" s="440"/>
      <c r="BB148" s="440"/>
      <c r="BC148" s="440"/>
      <c r="BD148" s="440"/>
      <c r="BE148" s="440"/>
      <c r="BF148" s="440"/>
      <c r="BG148" s="440"/>
      <c r="BH148" s="440"/>
      <c r="BI148" s="440"/>
      <c r="BJ148" s="440"/>
      <c r="BK148" s="440"/>
      <c r="BL148" s="440"/>
      <c r="BM148" s="440"/>
      <c r="BN148" s="440"/>
      <c r="BO148" s="440"/>
      <c r="BP148" s="440"/>
      <c r="BQ148" s="440"/>
      <c r="BR148" s="440"/>
      <c r="BS148" s="440"/>
      <c r="BT148" s="440"/>
    </row>
    <row r="149" spans="1:72" s="522" customFormat="1" ht="15.75" customHeight="1" x14ac:dyDescent="0.2">
      <c r="A149" s="454"/>
      <c r="B149" s="455"/>
      <c r="C149" s="473"/>
      <c r="D149" s="456"/>
      <c r="E149" s="456"/>
      <c r="F149" s="466"/>
      <c r="G149" s="523">
        <f>SUM(G150)</f>
        <v>12282.67</v>
      </c>
      <c r="H149" s="440"/>
      <c r="I149" s="521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40"/>
      <c r="AL149" s="440"/>
      <c r="AM149" s="440"/>
      <c r="AN149" s="440"/>
      <c r="AO149" s="440"/>
      <c r="AP149" s="440"/>
      <c r="AQ149" s="440"/>
      <c r="AR149" s="440"/>
      <c r="AS149" s="440"/>
      <c r="AT149" s="440"/>
      <c r="AU149" s="440"/>
      <c r="AV149" s="440"/>
      <c r="AW149" s="440"/>
      <c r="AX149" s="440"/>
      <c r="AY149" s="440"/>
      <c r="AZ149" s="440"/>
      <c r="BA149" s="440"/>
      <c r="BB149" s="440"/>
      <c r="BC149" s="440"/>
      <c r="BD149" s="440"/>
      <c r="BE149" s="440"/>
      <c r="BF149" s="440"/>
      <c r="BG149" s="440"/>
      <c r="BH149" s="440"/>
      <c r="BI149" s="440"/>
      <c r="BJ149" s="440"/>
      <c r="BK149" s="440"/>
      <c r="BL149" s="440"/>
      <c r="BM149" s="440"/>
      <c r="BN149" s="440"/>
      <c r="BO149" s="440"/>
      <c r="BP149" s="440"/>
      <c r="BQ149" s="440"/>
      <c r="BR149" s="440"/>
      <c r="BS149" s="440"/>
      <c r="BT149" s="440"/>
    </row>
    <row r="150" spans="1:72" s="522" customFormat="1" ht="15.75" customHeight="1" x14ac:dyDescent="0.2">
      <c r="A150" s="454"/>
      <c r="B150" s="455"/>
      <c r="C150" s="473"/>
      <c r="D150" s="456"/>
      <c r="E150" s="456" t="s">
        <v>157</v>
      </c>
      <c r="F150" s="466" t="s">
        <v>497</v>
      </c>
      <c r="G150" s="467">
        <f>741.67+861+776+10353+828+796-8665+856+854+2404+2478</f>
        <v>12282.67</v>
      </c>
      <c r="H150" s="440"/>
      <c r="I150" s="521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440"/>
      <c r="AM150" s="440"/>
      <c r="AN150" s="440"/>
      <c r="AO150" s="440"/>
      <c r="AP150" s="440"/>
      <c r="AQ150" s="440"/>
      <c r="AR150" s="440"/>
      <c r="AS150" s="440"/>
      <c r="AT150" s="440"/>
      <c r="AU150" s="440"/>
      <c r="AV150" s="440"/>
      <c r="AW150" s="440"/>
      <c r="AX150" s="440"/>
      <c r="AY150" s="440"/>
      <c r="AZ150" s="440"/>
      <c r="BA150" s="440"/>
      <c r="BB150" s="440"/>
      <c r="BC150" s="440"/>
      <c r="BD150" s="440"/>
      <c r="BE150" s="440"/>
      <c r="BF150" s="440"/>
      <c r="BG150" s="440"/>
      <c r="BH150" s="440"/>
      <c r="BI150" s="440"/>
      <c r="BJ150" s="440"/>
      <c r="BK150" s="440"/>
      <c r="BL150" s="440"/>
      <c r="BM150" s="440"/>
      <c r="BN150" s="440"/>
      <c r="BO150" s="440"/>
      <c r="BP150" s="440"/>
      <c r="BQ150" s="440"/>
      <c r="BR150" s="440"/>
      <c r="BS150" s="440"/>
      <c r="BT150" s="440"/>
    </row>
    <row r="151" spans="1:72" s="522" customFormat="1" ht="6" customHeight="1" x14ac:dyDescent="0.2">
      <c r="A151" s="454"/>
      <c r="B151" s="455"/>
      <c r="C151" s="473"/>
      <c r="D151" s="456"/>
      <c r="E151" s="457"/>
      <c r="F151" s="459"/>
      <c r="G151" s="471"/>
      <c r="H151" s="440"/>
      <c r="I151" s="521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0"/>
      <c r="AS151" s="440"/>
      <c r="AT151" s="440"/>
      <c r="AU151" s="440"/>
      <c r="AV151" s="440"/>
      <c r="AW151" s="440"/>
      <c r="AX151" s="440"/>
      <c r="AY151" s="440"/>
      <c r="AZ151" s="440"/>
      <c r="BA151" s="440"/>
      <c r="BB151" s="440"/>
      <c r="BC151" s="440"/>
      <c r="BD151" s="440"/>
      <c r="BE151" s="440"/>
      <c r="BF151" s="440"/>
      <c r="BG151" s="440"/>
      <c r="BH151" s="440"/>
      <c r="BI151" s="440"/>
      <c r="BJ151" s="440"/>
      <c r="BK151" s="440"/>
      <c r="BL151" s="440"/>
      <c r="BM151" s="440"/>
      <c r="BN151" s="440"/>
      <c r="BO151" s="440"/>
      <c r="BP151" s="440"/>
      <c r="BQ151" s="440"/>
      <c r="BR151" s="440"/>
      <c r="BS151" s="440"/>
      <c r="BT151" s="440"/>
    </row>
    <row r="152" spans="1:72" s="522" customFormat="1" ht="18.75" customHeight="1" x14ac:dyDescent="0.2">
      <c r="A152" s="454"/>
      <c r="B152" s="524" t="s">
        <v>139</v>
      </c>
      <c r="C152" s="456" t="s">
        <v>524</v>
      </c>
      <c r="D152" s="456" t="s">
        <v>532</v>
      </c>
      <c r="E152" s="457" t="s">
        <v>497</v>
      </c>
      <c r="F152" s="459" t="s">
        <v>497</v>
      </c>
      <c r="G152" s="458">
        <f>SUM(G154)</f>
        <v>173350.75</v>
      </c>
      <c r="H152" s="440"/>
      <c r="I152" s="521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0"/>
      <c r="AS152" s="440"/>
      <c r="AT152" s="440"/>
      <c r="AU152" s="440"/>
      <c r="AV152" s="440"/>
      <c r="AW152" s="440"/>
      <c r="AX152" s="440"/>
      <c r="AY152" s="440"/>
      <c r="AZ152" s="440"/>
      <c r="BA152" s="440"/>
      <c r="BB152" s="440"/>
      <c r="BC152" s="440"/>
      <c r="BD152" s="440"/>
      <c r="BE152" s="440"/>
      <c r="BF152" s="440"/>
      <c r="BG152" s="440"/>
      <c r="BH152" s="440"/>
      <c r="BI152" s="440"/>
      <c r="BJ152" s="440"/>
      <c r="BK152" s="440"/>
      <c r="BL152" s="440"/>
      <c r="BM152" s="440"/>
      <c r="BN152" s="440"/>
      <c r="BO152" s="440"/>
      <c r="BP152" s="440"/>
      <c r="BQ152" s="440"/>
      <c r="BR152" s="440"/>
      <c r="BS152" s="440"/>
      <c r="BT152" s="440"/>
    </row>
    <row r="153" spans="1:72" s="522" customFormat="1" ht="6" customHeight="1" x14ac:dyDescent="0.2">
      <c r="A153" s="454"/>
      <c r="B153" s="455"/>
      <c r="C153" s="473"/>
      <c r="D153" s="456"/>
      <c r="E153" s="456"/>
      <c r="F153" s="466"/>
      <c r="G153" s="467"/>
      <c r="H153" s="440"/>
      <c r="I153" s="521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AI153" s="440"/>
      <c r="AJ153" s="440"/>
      <c r="AK153" s="440"/>
      <c r="AL153" s="440"/>
      <c r="AM153" s="440"/>
      <c r="AN153" s="440"/>
      <c r="AO153" s="440"/>
      <c r="AP153" s="440"/>
      <c r="AQ153" s="440"/>
      <c r="AR153" s="440"/>
      <c r="AS153" s="440"/>
      <c r="AT153" s="440"/>
      <c r="AU153" s="440"/>
      <c r="AV153" s="440"/>
      <c r="AW153" s="440"/>
      <c r="AX153" s="440"/>
      <c r="AY153" s="440"/>
      <c r="AZ153" s="440"/>
      <c r="BA153" s="440"/>
      <c r="BB153" s="440"/>
      <c r="BC153" s="440"/>
      <c r="BD153" s="440"/>
      <c r="BE153" s="440"/>
      <c r="BF153" s="440"/>
      <c r="BG153" s="440"/>
      <c r="BH153" s="440"/>
      <c r="BI153" s="440"/>
      <c r="BJ153" s="440"/>
      <c r="BK153" s="440"/>
      <c r="BL153" s="440"/>
      <c r="BM153" s="440"/>
      <c r="BN153" s="440"/>
      <c r="BO153" s="440"/>
      <c r="BP153" s="440"/>
      <c r="BQ153" s="440"/>
      <c r="BR153" s="440"/>
      <c r="BS153" s="440"/>
      <c r="BT153" s="440"/>
    </row>
    <row r="154" spans="1:72" s="522" customFormat="1" ht="15.75" customHeight="1" x14ac:dyDescent="0.2">
      <c r="A154" s="454"/>
      <c r="B154" s="455"/>
      <c r="C154" s="473"/>
      <c r="D154" s="456"/>
      <c r="E154" s="456"/>
      <c r="F154" s="466"/>
      <c r="G154" s="523">
        <f>SUM(G155:G159)</f>
        <v>173350.75</v>
      </c>
      <c r="H154" s="440"/>
      <c r="I154" s="521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40"/>
      <c r="AF154" s="440"/>
      <c r="AG154" s="440"/>
      <c r="AH154" s="440"/>
      <c r="AI154" s="440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  <c r="AX154" s="440"/>
      <c r="AY154" s="440"/>
      <c r="AZ154" s="440"/>
      <c r="BA154" s="440"/>
      <c r="BB154" s="440"/>
      <c r="BC154" s="440"/>
      <c r="BD154" s="440"/>
      <c r="BE154" s="440"/>
      <c r="BF154" s="440"/>
      <c r="BG154" s="440"/>
      <c r="BH154" s="440"/>
      <c r="BI154" s="440"/>
      <c r="BJ154" s="440"/>
      <c r="BK154" s="440"/>
      <c r="BL154" s="440"/>
      <c r="BM154" s="440"/>
      <c r="BN154" s="440"/>
      <c r="BO154" s="440"/>
      <c r="BP154" s="440"/>
      <c r="BQ154" s="440"/>
      <c r="BR154" s="440"/>
      <c r="BS154" s="440"/>
      <c r="BT154" s="440"/>
    </row>
    <row r="155" spans="1:72" s="522" customFormat="1" ht="15.75" customHeight="1" x14ac:dyDescent="0.2">
      <c r="A155" s="454"/>
      <c r="B155" s="455"/>
      <c r="C155" s="473"/>
      <c r="D155" s="456"/>
      <c r="E155" s="456" t="s">
        <v>149</v>
      </c>
      <c r="F155" s="466" t="s">
        <v>497</v>
      </c>
      <c r="G155" s="467">
        <f>14616.75+1000+7819+34972+11749+1000+11708</f>
        <v>82864.75</v>
      </c>
      <c r="H155" s="440"/>
      <c r="I155" s="521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  <c r="AJ155" s="440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  <c r="AX155" s="440"/>
      <c r="AY155" s="440"/>
      <c r="AZ155" s="440"/>
      <c r="BA155" s="440"/>
      <c r="BB155" s="440"/>
      <c r="BC155" s="440"/>
      <c r="BD155" s="440"/>
      <c r="BE155" s="440"/>
      <c r="BF155" s="440"/>
      <c r="BG155" s="440"/>
      <c r="BH155" s="440"/>
      <c r="BI155" s="440"/>
      <c r="BJ155" s="440"/>
      <c r="BK155" s="440"/>
      <c r="BL155" s="440"/>
      <c r="BM155" s="440"/>
      <c r="BN155" s="440"/>
      <c r="BO155" s="440"/>
      <c r="BP155" s="440"/>
      <c r="BQ155" s="440"/>
      <c r="BR155" s="440"/>
      <c r="BS155" s="440"/>
      <c r="BT155" s="440"/>
    </row>
    <row r="156" spans="1:72" s="522" customFormat="1" ht="15.75" customHeight="1" x14ac:dyDescent="0.2">
      <c r="A156" s="454"/>
      <c r="B156" s="455"/>
      <c r="C156" s="473"/>
      <c r="D156" s="456"/>
      <c r="E156" s="456" t="s">
        <v>151</v>
      </c>
      <c r="F156" s="466" t="s">
        <v>497</v>
      </c>
      <c r="G156" s="467">
        <f>530+150-100+306</f>
        <v>886</v>
      </c>
      <c r="H156" s="440"/>
      <c r="I156" s="521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  <c r="AJ156" s="440"/>
      <c r="AK156" s="440"/>
      <c r="AL156" s="440"/>
      <c r="AM156" s="440"/>
      <c r="AN156" s="440"/>
      <c r="AO156" s="440"/>
      <c r="AP156" s="440"/>
      <c r="AQ156" s="440"/>
      <c r="AR156" s="440"/>
      <c r="AS156" s="440"/>
      <c r="AT156" s="440"/>
      <c r="AU156" s="440"/>
      <c r="AV156" s="440"/>
      <c r="AW156" s="440"/>
      <c r="AX156" s="440"/>
      <c r="AY156" s="440"/>
      <c r="AZ156" s="440"/>
      <c r="BA156" s="440"/>
      <c r="BB156" s="440"/>
      <c r="BC156" s="440"/>
      <c r="BD156" s="440"/>
      <c r="BE156" s="440"/>
      <c r="BF156" s="440"/>
      <c r="BG156" s="440"/>
      <c r="BH156" s="440"/>
      <c r="BI156" s="440"/>
      <c r="BJ156" s="440"/>
      <c r="BK156" s="440"/>
      <c r="BL156" s="440"/>
      <c r="BM156" s="440"/>
      <c r="BN156" s="440"/>
      <c r="BO156" s="440"/>
      <c r="BP156" s="440"/>
      <c r="BQ156" s="440"/>
      <c r="BR156" s="440"/>
      <c r="BS156" s="440"/>
      <c r="BT156" s="440"/>
    </row>
    <row r="157" spans="1:72" s="522" customFormat="1" ht="15.75" customHeight="1" x14ac:dyDescent="0.2">
      <c r="A157" s="454"/>
      <c r="B157" s="455"/>
      <c r="C157" s="473"/>
      <c r="D157" s="456"/>
      <c r="E157" s="456" t="s">
        <v>526</v>
      </c>
      <c r="F157" s="466" t="s">
        <v>497</v>
      </c>
      <c r="G157" s="467">
        <f>8879+10058+9065+2972+14457+8521-15798+9732+9749+3202</f>
        <v>60837</v>
      </c>
      <c r="H157" s="440"/>
      <c r="I157" s="521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  <c r="AJ157" s="440"/>
      <c r="AK157" s="440"/>
      <c r="AL157" s="440"/>
      <c r="AM157" s="440"/>
      <c r="AN157" s="440"/>
      <c r="AO157" s="440"/>
      <c r="AP157" s="440"/>
      <c r="AQ157" s="440"/>
      <c r="AR157" s="440"/>
      <c r="AS157" s="440"/>
      <c r="AT157" s="440"/>
      <c r="AU157" s="440"/>
      <c r="AV157" s="440"/>
      <c r="AW157" s="440"/>
      <c r="AX157" s="440"/>
      <c r="AY157" s="440"/>
      <c r="AZ157" s="440"/>
      <c r="BA157" s="440"/>
      <c r="BB157" s="440"/>
      <c r="BC157" s="440"/>
      <c r="BD157" s="440"/>
      <c r="BE157" s="440"/>
      <c r="BF157" s="440"/>
      <c r="BG157" s="440"/>
      <c r="BH157" s="440"/>
      <c r="BI157" s="440"/>
      <c r="BJ157" s="440"/>
      <c r="BK157" s="440"/>
      <c r="BL157" s="440"/>
      <c r="BM157" s="440"/>
      <c r="BN157" s="440"/>
      <c r="BO157" s="440"/>
      <c r="BP157" s="440"/>
      <c r="BQ157" s="440"/>
      <c r="BR157" s="440"/>
      <c r="BS157" s="440"/>
      <c r="BT157" s="440"/>
    </row>
    <row r="158" spans="1:72" s="522" customFormat="1" ht="15.75" customHeight="1" x14ac:dyDescent="0.2">
      <c r="A158" s="454"/>
      <c r="B158" s="455"/>
      <c r="C158" s="473"/>
      <c r="D158" s="456"/>
      <c r="E158" s="456" t="s">
        <v>505</v>
      </c>
      <c r="F158" s="466" t="s">
        <v>497</v>
      </c>
      <c r="G158" s="467">
        <f>2170+2458+2216+1210+3500-3699+2000+2686+476</f>
        <v>13017</v>
      </c>
      <c r="H158" s="440"/>
      <c r="I158" s="521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  <c r="AX158" s="440"/>
      <c r="AY158" s="440"/>
      <c r="AZ158" s="440"/>
      <c r="BA158" s="440"/>
      <c r="BB158" s="440"/>
      <c r="BC158" s="440"/>
      <c r="BD158" s="440"/>
      <c r="BE158" s="440"/>
      <c r="BF158" s="440"/>
      <c r="BG158" s="440"/>
      <c r="BH158" s="440"/>
      <c r="BI158" s="440"/>
      <c r="BJ158" s="440"/>
      <c r="BK158" s="440"/>
      <c r="BL158" s="440"/>
      <c r="BM158" s="440"/>
      <c r="BN158" s="440"/>
      <c r="BO158" s="440"/>
      <c r="BP158" s="440"/>
      <c r="BQ158" s="440"/>
      <c r="BR158" s="440"/>
      <c r="BS158" s="440"/>
      <c r="BT158" s="440"/>
    </row>
    <row r="159" spans="1:72" s="522" customFormat="1" ht="15.75" customHeight="1" x14ac:dyDescent="0.2">
      <c r="A159" s="454"/>
      <c r="B159" s="455"/>
      <c r="C159" s="473"/>
      <c r="D159" s="456"/>
      <c r="E159" s="456" t="s">
        <v>241</v>
      </c>
      <c r="F159" s="466" t="s">
        <v>497</v>
      </c>
      <c r="G159" s="467">
        <f>8946+9554-4000+1246</f>
        <v>15746</v>
      </c>
      <c r="H159" s="440"/>
      <c r="I159" s="521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0"/>
      <c r="AS159" s="440"/>
      <c r="AT159" s="440"/>
      <c r="AU159" s="440"/>
      <c r="AV159" s="440"/>
      <c r="AW159" s="440"/>
      <c r="AX159" s="440"/>
      <c r="AY159" s="440"/>
      <c r="AZ159" s="440"/>
      <c r="BA159" s="440"/>
      <c r="BB159" s="440"/>
      <c r="BC159" s="440"/>
      <c r="BD159" s="440"/>
      <c r="BE159" s="440"/>
      <c r="BF159" s="440"/>
      <c r="BG159" s="440"/>
      <c r="BH159" s="440"/>
      <c r="BI159" s="440"/>
      <c r="BJ159" s="440"/>
      <c r="BK159" s="440"/>
      <c r="BL159" s="440"/>
      <c r="BM159" s="440"/>
      <c r="BN159" s="440"/>
      <c r="BO159" s="440"/>
      <c r="BP159" s="440"/>
      <c r="BQ159" s="440"/>
      <c r="BR159" s="440"/>
      <c r="BS159" s="440"/>
      <c r="BT159" s="440"/>
    </row>
    <row r="160" spans="1:72" s="522" customFormat="1" ht="6" customHeight="1" x14ac:dyDescent="0.2">
      <c r="A160" s="454"/>
      <c r="B160" s="455"/>
      <c r="C160" s="473"/>
      <c r="D160" s="456"/>
      <c r="E160" s="456"/>
      <c r="F160" s="466"/>
      <c r="G160" s="467"/>
      <c r="H160" s="440"/>
      <c r="I160" s="521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40"/>
      <c r="AG160" s="440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40"/>
      <c r="AV160" s="440"/>
      <c r="AW160" s="440"/>
      <c r="AX160" s="440"/>
      <c r="AY160" s="440"/>
      <c r="AZ160" s="440"/>
      <c r="BA160" s="440"/>
      <c r="BB160" s="440"/>
      <c r="BC160" s="440"/>
      <c r="BD160" s="440"/>
      <c r="BE160" s="440"/>
      <c r="BF160" s="440"/>
      <c r="BG160" s="440"/>
      <c r="BH160" s="440"/>
      <c r="BI160" s="440"/>
      <c r="BJ160" s="440"/>
      <c r="BK160" s="440"/>
      <c r="BL160" s="440"/>
      <c r="BM160" s="440"/>
      <c r="BN160" s="440"/>
      <c r="BO160" s="440"/>
      <c r="BP160" s="440"/>
      <c r="BQ160" s="440"/>
      <c r="BR160" s="440"/>
      <c r="BS160" s="440"/>
      <c r="BT160" s="440"/>
    </row>
    <row r="161" spans="1:72" s="522" customFormat="1" ht="15.75" customHeight="1" x14ac:dyDescent="0.2">
      <c r="A161" s="454"/>
      <c r="B161" s="524" t="s">
        <v>137</v>
      </c>
      <c r="C161" s="456" t="s">
        <v>524</v>
      </c>
      <c r="D161" s="456" t="s">
        <v>532</v>
      </c>
      <c r="E161" s="462" t="s">
        <v>497</v>
      </c>
      <c r="F161" s="463" t="s">
        <v>497</v>
      </c>
      <c r="G161" s="464">
        <f>SUM(G163)</f>
        <v>97453.4</v>
      </c>
      <c r="H161" s="440"/>
      <c r="I161" s="521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  <c r="AJ161" s="440"/>
      <c r="AK161" s="440"/>
      <c r="AL161" s="440"/>
      <c r="AM161" s="440"/>
      <c r="AN161" s="440"/>
      <c r="AO161" s="440"/>
      <c r="AP161" s="440"/>
      <c r="AQ161" s="440"/>
      <c r="AR161" s="440"/>
      <c r="AS161" s="440"/>
      <c r="AT161" s="440"/>
      <c r="AU161" s="440"/>
      <c r="AV161" s="440"/>
      <c r="AW161" s="440"/>
      <c r="AX161" s="440"/>
      <c r="AY161" s="440"/>
      <c r="AZ161" s="440"/>
      <c r="BA161" s="440"/>
      <c r="BB161" s="440"/>
      <c r="BC161" s="440"/>
      <c r="BD161" s="440"/>
      <c r="BE161" s="440"/>
      <c r="BF161" s="440"/>
      <c r="BG161" s="440"/>
      <c r="BH161" s="440"/>
      <c r="BI161" s="440"/>
      <c r="BJ161" s="440"/>
      <c r="BK161" s="440"/>
      <c r="BL161" s="440"/>
      <c r="BM161" s="440"/>
      <c r="BN161" s="440"/>
      <c r="BO161" s="440"/>
      <c r="BP161" s="440"/>
      <c r="BQ161" s="440"/>
      <c r="BR161" s="440"/>
      <c r="BS161" s="440"/>
      <c r="BT161" s="440"/>
    </row>
    <row r="162" spans="1:72" s="522" customFormat="1" ht="6" customHeight="1" x14ac:dyDescent="0.2">
      <c r="A162" s="454"/>
      <c r="B162" s="455"/>
      <c r="C162" s="473"/>
      <c r="D162" s="456"/>
      <c r="E162" s="456"/>
      <c r="F162" s="466"/>
      <c r="G162" s="467"/>
      <c r="H162" s="440"/>
      <c r="I162" s="521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0"/>
      <c r="AW162" s="440"/>
      <c r="AX162" s="440"/>
      <c r="AY162" s="440"/>
      <c r="AZ162" s="440"/>
      <c r="BA162" s="440"/>
      <c r="BB162" s="440"/>
      <c r="BC162" s="440"/>
      <c r="BD162" s="440"/>
      <c r="BE162" s="440"/>
      <c r="BF162" s="440"/>
      <c r="BG162" s="440"/>
      <c r="BH162" s="440"/>
      <c r="BI162" s="440"/>
      <c r="BJ162" s="440"/>
      <c r="BK162" s="440"/>
      <c r="BL162" s="440"/>
      <c r="BM162" s="440"/>
      <c r="BN162" s="440"/>
      <c r="BO162" s="440"/>
      <c r="BP162" s="440"/>
      <c r="BQ162" s="440"/>
      <c r="BR162" s="440"/>
      <c r="BS162" s="440"/>
      <c r="BT162" s="440"/>
    </row>
    <row r="163" spans="1:72" s="522" customFormat="1" ht="15.75" customHeight="1" x14ac:dyDescent="0.2">
      <c r="A163" s="454"/>
      <c r="B163" s="455"/>
      <c r="C163" s="473"/>
      <c r="D163" s="456"/>
      <c r="E163" s="456"/>
      <c r="F163" s="466"/>
      <c r="G163" s="523">
        <f>SUM(G164)</f>
        <v>97453.4</v>
      </c>
      <c r="H163" s="440"/>
      <c r="I163" s="521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</row>
    <row r="164" spans="1:72" s="522" customFormat="1" ht="15.75" customHeight="1" x14ac:dyDescent="0.2">
      <c r="A164" s="454"/>
      <c r="B164" s="455"/>
      <c r="C164" s="473"/>
      <c r="D164" s="456"/>
      <c r="E164" s="456" t="s">
        <v>157</v>
      </c>
      <c r="F164" s="466" t="s">
        <v>497</v>
      </c>
      <c r="G164" s="467">
        <f>8442.4+10140+9354+859+9992+9982+19497+10331+10316+4204+4336</f>
        <v>97453.4</v>
      </c>
      <c r="H164" s="440"/>
      <c r="I164" s="521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440"/>
      <c r="BD164" s="440"/>
      <c r="BE164" s="440"/>
      <c r="BF164" s="440"/>
      <c r="BG164" s="440"/>
      <c r="BH164" s="440"/>
      <c r="BI164" s="440"/>
      <c r="BJ164" s="440"/>
      <c r="BK164" s="440"/>
      <c r="BL164" s="440"/>
      <c r="BM164" s="440"/>
      <c r="BN164" s="440"/>
      <c r="BO164" s="440"/>
      <c r="BP164" s="440"/>
      <c r="BQ164" s="440"/>
      <c r="BR164" s="440"/>
      <c r="BS164" s="440"/>
      <c r="BT164" s="440"/>
    </row>
    <row r="165" spans="1:72" s="522" customFormat="1" ht="11.25" customHeight="1" x14ac:dyDescent="0.2">
      <c r="A165" s="454"/>
      <c r="B165" s="455"/>
      <c r="C165" s="473"/>
      <c r="D165" s="456"/>
      <c r="E165" s="456"/>
      <c r="F165" s="466"/>
      <c r="G165" s="467"/>
      <c r="H165" s="440"/>
      <c r="I165" s="521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0"/>
      <c r="AY165" s="440"/>
      <c r="AZ165" s="440"/>
      <c r="BA165" s="440"/>
      <c r="BB165" s="440"/>
      <c r="BC165" s="440"/>
      <c r="BD165" s="440"/>
      <c r="BE165" s="440"/>
      <c r="BF165" s="440"/>
      <c r="BG165" s="440"/>
      <c r="BH165" s="440"/>
      <c r="BI165" s="440"/>
      <c r="BJ165" s="440"/>
      <c r="BK165" s="440"/>
      <c r="BL165" s="440"/>
      <c r="BM165" s="440"/>
      <c r="BN165" s="440"/>
      <c r="BO165" s="440"/>
      <c r="BP165" s="440"/>
      <c r="BQ165" s="440"/>
      <c r="BR165" s="440"/>
      <c r="BS165" s="440"/>
      <c r="BT165" s="440"/>
    </row>
    <row r="166" spans="1:72" s="522" customFormat="1" ht="15.75" customHeight="1" x14ac:dyDescent="0.2">
      <c r="A166" s="454"/>
      <c r="B166" s="524" t="s">
        <v>139</v>
      </c>
      <c r="C166" s="456" t="s">
        <v>524</v>
      </c>
      <c r="D166" s="456" t="s">
        <v>533</v>
      </c>
      <c r="E166" s="462" t="s">
        <v>497</v>
      </c>
      <c r="F166" s="463" t="s">
        <v>497</v>
      </c>
      <c r="G166" s="464">
        <f>SUM(G168)</f>
        <v>62261.78</v>
      </c>
      <c r="H166" s="440"/>
      <c r="I166" s="521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40"/>
      <c r="AV166" s="440"/>
      <c r="AW166" s="440"/>
      <c r="AX166" s="440"/>
      <c r="AY166" s="440"/>
      <c r="AZ166" s="440"/>
      <c r="BA166" s="440"/>
      <c r="BB166" s="440"/>
      <c r="BC166" s="440"/>
      <c r="BD166" s="440"/>
      <c r="BE166" s="440"/>
      <c r="BF166" s="440"/>
      <c r="BG166" s="440"/>
      <c r="BH166" s="440"/>
      <c r="BI166" s="440"/>
      <c r="BJ166" s="440"/>
      <c r="BK166" s="440"/>
      <c r="BL166" s="440"/>
      <c r="BM166" s="440"/>
      <c r="BN166" s="440"/>
      <c r="BO166" s="440"/>
      <c r="BP166" s="440"/>
      <c r="BQ166" s="440"/>
      <c r="BR166" s="440"/>
      <c r="BS166" s="440"/>
      <c r="BT166" s="440"/>
    </row>
    <row r="167" spans="1:72" s="522" customFormat="1" ht="9" customHeight="1" x14ac:dyDescent="0.2">
      <c r="A167" s="454"/>
      <c r="B167" s="455"/>
      <c r="C167" s="473"/>
      <c r="D167" s="456"/>
      <c r="E167" s="456"/>
      <c r="F167" s="466"/>
      <c r="G167" s="467"/>
      <c r="H167" s="440"/>
      <c r="I167" s="521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0"/>
      <c r="AW167" s="440"/>
      <c r="AX167" s="440"/>
      <c r="AY167" s="440"/>
      <c r="AZ167" s="440"/>
      <c r="BA167" s="440"/>
      <c r="BB167" s="440"/>
      <c r="BC167" s="440"/>
      <c r="BD167" s="440"/>
      <c r="BE167" s="440"/>
      <c r="BF167" s="440"/>
      <c r="BG167" s="440"/>
      <c r="BH167" s="440"/>
      <c r="BI167" s="440"/>
      <c r="BJ167" s="440"/>
      <c r="BK167" s="440"/>
      <c r="BL167" s="440"/>
      <c r="BM167" s="440"/>
      <c r="BN167" s="440"/>
      <c r="BO167" s="440"/>
      <c r="BP167" s="440"/>
      <c r="BQ167" s="440"/>
      <c r="BR167" s="440"/>
      <c r="BS167" s="440"/>
      <c r="BT167" s="440"/>
    </row>
    <row r="168" spans="1:72" s="522" customFormat="1" ht="15.75" customHeight="1" x14ac:dyDescent="0.2">
      <c r="A168" s="454"/>
      <c r="B168" s="455"/>
      <c r="C168" s="473"/>
      <c r="D168" s="456"/>
      <c r="E168" s="456"/>
      <c r="F168" s="466"/>
      <c r="G168" s="523">
        <f>SUM(G169:G173)</f>
        <v>62261.78</v>
      </c>
      <c r="H168" s="440"/>
      <c r="I168" s="521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40"/>
      <c r="AP168" s="440"/>
      <c r="AQ168" s="440"/>
      <c r="AR168" s="440"/>
      <c r="AS168" s="440"/>
      <c r="AT168" s="440"/>
      <c r="AU168" s="440"/>
      <c r="AV168" s="440"/>
      <c r="AW168" s="440"/>
      <c r="AX168" s="440"/>
      <c r="AY168" s="440"/>
      <c r="AZ168" s="440"/>
      <c r="BA168" s="440"/>
      <c r="BB168" s="440"/>
      <c r="BC168" s="440"/>
      <c r="BD168" s="440"/>
      <c r="BE168" s="440"/>
      <c r="BF168" s="440"/>
      <c r="BG168" s="440"/>
      <c r="BH168" s="440"/>
      <c r="BI168" s="440"/>
      <c r="BJ168" s="440"/>
      <c r="BK168" s="440"/>
      <c r="BL168" s="440"/>
      <c r="BM168" s="440"/>
      <c r="BN168" s="440"/>
      <c r="BO168" s="440"/>
      <c r="BP168" s="440"/>
      <c r="BQ168" s="440"/>
      <c r="BR168" s="440"/>
      <c r="BS168" s="440"/>
      <c r="BT168" s="440"/>
    </row>
    <row r="169" spans="1:72" s="522" customFormat="1" ht="15.75" customHeight="1" x14ac:dyDescent="0.2">
      <c r="A169" s="454"/>
      <c r="B169" s="455"/>
      <c r="C169" s="473"/>
      <c r="D169" s="456"/>
      <c r="E169" s="456" t="s">
        <v>149</v>
      </c>
      <c r="F169" s="466" t="s">
        <v>497</v>
      </c>
      <c r="G169" s="467">
        <f>461.78+1000+3872+14334+5924+728</f>
        <v>26319.78</v>
      </c>
      <c r="H169" s="440"/>
      <c r="I169" s="521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  <c r="AF169" s="440"/>
      <c r="AG169" s="440"/>
      <c r="AH169" s="440"/>
      <c r="AI169" s="440"/>
      <c r="AJ169" s="440"/>
      <c r="AK169" s="440"/>
      <c r="AL169" s="440"/>
      <c r="AM169" s="440"/>
      <c r="AN169" s="440"/>
      <c r="AO169" s="440"/>
      <c r="AP169" s="440"/>
      <c r="AQ169" s="440"/>
      <c r="AR169" s="440"/>
      <c r="AS169" s="440"/>
      <c r="AT169" s="440"/>
      <c r="AU169" s="440"/>
      <c r="AV169" s="440"/>
      <c r="AW169" s="440"/>
      <c r="AX169" s="440"/>
      <c r="AY169" s="440"/>
      <c r="AZ169" s="440"/>
      <c r="BA169" s="440"/>
      <c r="BB169" s="440"/>
      <c r="BC169" s="440"/>
      <c r="BD169" s="440"/>
      <c r="BE169" s="440"/>
      <c r="BF169" s="440"/>
      <c r="BG169" s="440"/>
      <c r="BH169" s="440"/>
      <c r="BI169" s="440"/>
      <c r="BJ169" s="440"/>
      <c r="BK169" s="440"/>
      <c r="BL169" s="440"/>
      <c r="BM169" s="440"/>
      <c r="BN169" s="440"/>
      <c r="BO169" s="440"/>
      <c r="BP169" s="440"/>
      <c r="BQ169" s="440"/>
      <c r="BR169" s="440"/>
      <c r="BS169" s="440"/>
      <c r="BT169" s="440"/>
    </row>
    <row r="170" spans="1:72" s="522" customFormat="1" ht="15.75" customHeight="1" x14ac:dyDescent="0.2">
      <c r="A170" s="454"/>
      <c r="B170" s="455"/>
      <c r="C170" s="473"/>
      <c r="D170" s="456"/>
      <c r="E170" s="456" t="s">
        <v>151</v>
      </c>
      <c r="F170" s="466" t="s">
        <v>497</v>
      </c>
      <c r="G170" s="467">
        <f>100+110</f>
        <v>210</v>
      </c>
      <c r="H170" s="440"/>
      <c r="I170" s="521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440"/>
      <c r="AD170" s="440"/>
      <c r="AE170" s="440"/>
      <c r="AF170" s="440"/>
      <c r="AG170" s="440"/>
      <c r="AH170" s="440"/>
      <c r="AI170" s="440"/>
      <c r="AJ170" s="440"/>
      <c r="AK170" s="440"/>
      <c r="AL170" s="440"/>
      <c r="AM170" s="440"/>
      <c r="AN170" s="440"/>
      <c r="AO170" s="440"/>
      <c r="AP170" s="440"/>
      <c r="AQ170" s="440"/>
      <c r="AR170" s="440"/>
      <c r="AS170" s="440"/>
      <c r="AT170" s="440"/>
      <c r="AU170" s="440"/>
      <c r="AV170" s="440"/>
      <c r="AW170" s="440"/>
      <c r="AX170" s="440"/>
      <c r="AY170" s="440"/>
      <c r="AZ170" s="440"/>
      <c r="BA170" s="440"/>
      <c r="BB170" s="440"/>
      <c r="BC170" s="440"/>
      <c r="BD170" s="440"/>
      <c r="BE170" s="440"/>
      <c r="BF170" s="440"/>
      <c r="BG170" s="440"/>
      <c r="BH170" s="440"/>
      <c r="BI170" s="440"/>
      <c r="BJ170" s="440"/>
      <c r="BK170" s="440"/>
      <c r="BL170" s="440"/>
      <c r="BM170" s="440"/>
      <c r="BN170" s="440"/>
      <c r="BO170" s="440"/>
      <c r="BP170" s="440"/>
      <c r="BQ170" s="440"/>
      <c r="BR170" s="440"/>
      <c r="BS170" s="440"/>
      <c r="BT170" s="440"/>
    </row>
    <row r="171" spans="1:72" s="522" customFormat="1" ht="15.75" customHeight="1" x14ac:dyDescent="0.2">
      <c r="A171" s="454"/>
      <c r="B171" s="455"/>
      <c r="C171" s="473"/>
      <c r="D171" s="456"/>
      <c r="E171" s="456" t="s">
        <v>526</v>
      </c>
      <c r="F171" s="466" t="s">
        <v>497</v>
      </c>
      <c r="G171" s="467">
        <f>4126+4769+4304+1329+4432+2239-7000+4921+4617+600</f>
        <v>24337</v>
      </c>
      <c r="H171" s="440"/>
      <c r="I171" s="521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  <c r="AF171" s="440"/>
      <c r="AG171" s="440"/>
      <c r="AH171" s="440"/>
      <c r="AI171" s="440"/>
      <c r="AJ171" s="440"/>
      <c r="AK171" s="440"/>
      <c r="AL171" s="440"/>
      <c r="AM171" s="440"/>
      <c r="AN171" s="440"/>
      <c r="AO171" s="440"/>
      <c r="AP171" s="440"/>
      <c r="AQ171" s="440"/>
      <c r="AR171" s="440"/>
      <c r="AS171" s="440"/>
      <c r="AT171" s="440"/>
      <c r="AU171" s="440"/>
      <c r="AV171" s="440"/>
      <c r="AW171" s="440"/>
      <c r="AX171" s="440"/>
      <c r="AY171" s="440"/>
      <c r="AZ171" s="440"/>
      <c r="BA171" s="440"/>
      <c r="BB171" s="440"/>
      <c r="BC171" s="440"/>
      <c r="BD171" s="440"/>
      <c r="BE171" s="440"/>
      <c r="BF171" s="440"/>
      <c r="BG171" s="440"/>
      <c r="BH171" s="440"/>
      <c r="BI171" s="440"/>
      <c r="BJ171" s="440"/>
      <c r="BK171" s="440"/>
      <c r="BL171" s="440"/>
      <c r="BM171" s="440"/>
      <c r="BN171" s="440"/>
      <c r="BO171" s="440"/>
      <c r="BP171" s="440"/>
      <c r="BQ171" s="440"/>
      <c r="BR171" s="440"/>
      <c r="BS171" s="440"/>
      <c r="BT171" s="440"/>
    </row>
    <row r="172" spans="1:72" s="522" customFormat="1" ht="15.75" customHeight="1" x14ac:dyDescent="0.2">
      <c r="A172" s="454"/>
      <c r="B172" s="455"/>
      <c r="C172" s="473"/>
      <c r="D172" s="456"/>
      <c r="E172" s="456" t="s">
        <v>505</v>
      </c>
      <c r="F172" s="466" t="s">
        <v>497</v>
      </c>
      <c r="G172" s="467">
        <f>1008+1165+1052+1300-1600+1000+1370</f>
        <v>5295</v>
      </c>
      <c r="H172" s="440"/>
      <c r="I172" s="521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  <c r="AX172" s="440"/>
      <c r="AY172" s="440"/>
      <c r="AZ172" s="440"/>
      <c r="BA172" s="440"/>
      <c r="BB172" s="440"/>
      <c r="BC172" s="440"/>
      <c r="BD172" s="440"/>
      <c r="BE172" s="440"/>
      <c r="BF172" s="440"/>
      <c r="BG172" s="440"/>
      <c r="BH172" s="440"/>
      <c r="BI172" s="440"/>
      <c r="BJ172" s="440"/>
      <c r="BK172" s="440"/>
      <c r="BL172" s="440"/>
      <c r="BM172" s="440"/>
      <c r="BN172" s="440"/>
      <c r="BO172" s="440"/>
      <c r="BP172" s="440"/>
      <c r="BQ172" s="440"/>
      <c r="BR172" s="440"/>
      <c r="BS172" s="440"/>
      <c r="BT172" s="440"/>
    </row>
    <row r="173" spans="1:72" s="522" customFormat="1" ht="15.75" customHeight="1" x14ac:dyDescent="0.2">
      <c r="A173" s="454"/>
      <c r="B173" s="455"/>
      <c r="C173" s="473"/>
      <c r="D173" s="456"/>
      <c r="E173" s="456" t="s">
        <v>241</v>
      </c>
      <c r="F173" s="466" t="s">
        <v>497</v>
      </c>
      <c r="G173" s="467">
        <f>3500+2600</f>
        <v>6100</v>
      </c>
      <c r="H173" s="440"/>
      <c r="I173" s="521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440"/>
      <c r="BA173" s="440"/>
      <c r="BB173" s="440"/>
      <c r="BC173" s="440"/>
      <c r="BD173" s="440"/>
      <c r="BE173" s="440"/>
      <c r="BF173" s="440"/>
      <c r="BG173" s="440"/>
      <c r="BH173" s="440"/>
      <c r="BI173" s="440"/>
      <c r="BJ173" s="440"/>
      <c r="BK173" s="440"/>
      <c r="BL173" s="440"/>
      <c r="BM173" s="440"/>
      <c r="BN173" s="440"/>
      <c r="BO173" s="440"/>
      <c r="BP173" s="440"/>
      <c r="BQ173" s="440"/>
      <c r="BR173" s="440"/>
      <c r="BS173" s="440"/>
      <c r="BT173" s="440"/>
    </row>
    <row r="174" spans="1:72" s="522" customFormat="1" ht="15.6" customHeight="1" x14ac:dyDescent="0.2">
      <c r="A174" s="454"/>
      <c r="B174" s="455"/>
      <c r="C174" s="473"/>
      <c r="D174" s="456"/>
      <c r="E174" s="456"/>
      <c r="F174" s="466"/>
      <c r="G174" s="467"/>
      <c r="H174" s="440"/>
      <c r="I174" s="521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440"/>
      <c r="BA174" s="440"/>
      <c r="BB174" s="440"/>
      <c r="BC174" s="440"/>
      <c r="BD174" s="440"/>
      <c r="BE174" s="440"/>
      <c r="BF174" s="440"/>
      <c r="BG174" s="440"/>
      <c r="BH174" s="440"/>
      <c r="BI174" s="440"/>
      <c r="BJ174" s="440"/>
      <c r="BK174" s="440"/>
      <c r="BL174" s="440"/>
      <c r="BM174" s="440"/>
      <c r="BN174" s="440"/>
      <c r="BO174" s="440"/>
      <c r="BP174" s="440"/>
      <c r="BQ174" s="440"/>
      <c r="BR174" s="440"/>
      <c r="BS174" s="440"/>
      <c r="BT174" s="440"/>
    </row>
    <row r="175" spans="1:72" s="522" customFormat="1" ht="15.6" customHeight="1" x14ac:dyDescent="0.2">
      <c r="A175" s="454"/>
      <c r="B175" s="524" t="s">
        <v>139</v>
      </c>
      <c r="C175" s="456" t="s">
        <v>524</v>
      </c>
      <c r="D175" s="456" t="s">
        <v>534</v>
      </c>
      <c r="E175" s="462" t="s">
        <v>497</v>
      </c>
      <c r="F175" s="463" t="s">
        <v>497</v>
      </c>
      <c r="G175" s="464">
        <f>SUM(G177)</f>
        <v>1727</v>
      </c>
      <c r="H175" s="440"/>
      <c r="I175" s="521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440"/>
      <c r="AV175" s="440"/>
      <c r="AW175" s="440"/>
      <c r="AX175" s="440"/>
      <c r="AY175" s="440"/>
      <c r="AZ175" s="440"/>
      <c r="BA175" s="440"/>
      <c r="BB175" s="440"/>
      <c r="BC175" s="440"/>
      <c r="BD175" s="440"/>
      <c r="BE175" s="440"/>
      <c r="BF175" s="440"/>
      <c r="BG175" s="440"/>
      <c r="BH175" s="440"/>
      <c r="BI175" s="440"/>
      <c r="BJ175" s="440"/>
      <c r="BK175" s="440"/>
      <c r="BL175" s="440"/>
      <c r="BM175" s="440"/>
      <c r="BN175" s="440"/>
      <c r="BO175" s="440"/>
      <c r="BP175" s="440"/>
      <c r="BQ175" s="440"/>
      <c r="BR175" s="440"/>
      <c r="BS175" s="440"/>
      <c r="BT175" s="440"/>
    </row>
    <row r="176" spans="1:72" s="522" customFormat="1" ht="15.6" customHeight="1" x14ac:dyDescent="0.2">
      <c r="A176" s="454"/>
      <c r="B176" s="455"/>
      <c r="C176" s="473"/>
      <c r="D176" s="456"/>
      <c r="E176" s="456"/>
      <c r="F176" s="466"/>
      <c r="G176" s="467"/>
      <c r="H176" s="440"/>
      <c r="I176" s="521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440"/>
      <c r="AV176" s="440"/>
      <c r="AW176" s="440"/>
      <c r="AX176" s="440"/>
      <c r="AY176" s="440"/>
      <c r="AZ176" s="440"/>
      <c r="BA176" s="440"/>
      <c r="BB176" s="440"/>
      <c r="BC176" s="440"/>
      <c r="BD176" s="440"/>
      <c r="BE176" s="440"/>
      <c r="BF176" s="440"/>
      <c r="BG176" s="440"/>
      <c r="BH176" s="440"/>
      <c r="BI176" s="440"/>
      <c r="BJ176" s="440"/>
      <c r="BK176" s="440"/>
      <c r="BL176" s="440"/>
      <c r="BM176" s="440"/>
      <c r="BN176" s="440"/>
      <c r="BO176" s="440"/>
      <c r="BP176" s="440"/>
      <c r="BQ176" s="440"/>
      <c r="BR176" s="440"/>
      <c r="BS176" s="440"/>
      <c r="BT176" s="440"/>
    </row>
    <row r="177" spans="1:72" s="522" customFormat="1" ht="15.6" customHeight="1" x14ac:dyDescent="0.2">
      <c r="A177" s="454"/>
      <c r="B177" s="455"/>
      <c r="C177" s="473"/>
      <c r="D177" s="456"/>
      <c r="E177" s="456"/>
      <c r="F177" s="466"/>
      <c r="G177" s="523">
        <f>SUM(G178:G178)</f>
        <v>1727</v>
      </c>
      <c r="H177" s="440"/>
      <c r="I177" s="521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440"/>
      <c r="AV177" s="440"/>
      <c r="AW177" s="440"/>
      <c r="AX177" s="440"/>
      <c r="AY177" s="440"/>
      <c r="AZ177" s="440"/>
      <c r="BA177" s="440"/>
      <c r="BB177" s="440"/>
      <c r="BC177" s="440"/>
      <c r="BD177" s="440"/>
      <c r="BE177" s="440"/>
      <c r="BF177" s="440"/>
      <c r="BG177" s="440"/>
      <c r="BH177" s="440"/>
      <c r="BI177" s="440"/>
      <c r="BJ177" s="440"/>
      <c r="BK177" s="440"/>
      <c r="BL177" s="440"/>
      <c r="BM177" s="440"/>
      <c r="BN177" s="440"/>
      <c r="BO177" s="440"/>
      <c r="BP177" s="440"/>
      <c r="BQ177" s="440"/>
      <c r="BR177" s="440"/>
      <c r="BS177" s="440"/>
      <c r="BT177" s="440"/>
    </row>
    <row r="178" spans="1:72" s="522" customFormat="1" ht="15.6" customHeight="1" x14ac:dyDescent="0.2">
      <c r="A178" s="454"/>
      <c r="B178" s="455"/>
      <c r="C178" s="473"/>
      <c r="D178" s="456"/>
      <c r="E178" s="456" t="s">
        <v>149</v>
      </c>
      <c r="F178" s="466" t="s">
        <v>497</v>
      </c>
      <c r="G178" s="467">
        <f>661+1066</f>
        <v>1727</v>
      </c>
      <c r="H178" s="440"/>
      <c r="I178" s="521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40"/>
      <c r="AF178" s="440"/>
      <c r="AG178" s="440"/>
      <c r="AH178" s="440"/>
      <c r="AI178" s="440"/>
      <c r="AJ178" s="440"/>
      <c r="AK178" s="440"/>
      <c r="AL178" s="440"/>
      <c r="AM178" s="440"/>
      <c r="AN178" s="440"/>
      <c r="AO178" s="440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440"/>
      <c r="BA178" s="440"/>
      <c r="BB178" s="440"/>
      <c r="BC178" s="440"/>
      <c r="BD178" s="440"/>
      <c r="BE178" s="440"/>
      <c r="BF178" s="440"/>
      <c r="BG178" s="440"/>
      <c r="BH178" s="440"/>
      <c r="BI178" s="440"/>
      <c r="BJ178" s="440"/>
      <c r="BK178" s="440"/>
      <c r="BL178" s="440"/>
      <c r="BM178" s="440"/>
      <c r="BN178" s="440"/>
      <c r="BO178" s="440"/>
      <c r="BP178" s="440"/>
      <c r="BQ178" s="440"/>
      <c r="BR178" s="440"/>
      <c r="BS178" s="440"/>
      <c r="BT178" s="440"/>
    </row>
    <row r="179" spans="1:72" s="522" customFormat="1" ht="15.6" customHeight="1" x14ac:dyDescent="0.2">
      <c r="A179" s="468"/>
      <c r="B179" s="469"/>
      <c r="C179" s="470"/>
      <c r="D179" s="457"/>
      <c r="E179" s="457"/>
      <c r="F179" s="459"/>
      <c r="G179" s="471"/>
      <c r="H179" s="440"/>
      <c r="I179" s="521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  <c r="AF179" s="440"/>
      <c r="AG179" s="440"/>
      <c r="AH179" s="440"/>
      <c r="AI179" s="440"/>
      <c r="AJ179" s="440"/>
      <c r="AK179" s="440"/>
      <c r="AL179" s="440"/>
      <c r="AM179" s="440"/>
      <c r="AN179" s="440"/>
      <c r="AO179" s="440"/>
      <c r="AP179" s="440"/>
      <c r="AQ179" s="440"/>
      <c r="AR179" s="440"/>
      <c r="AS179" s="440"/>
      <c r="AT179" s="440"/>
      <c r="AU179" s="440"/>
      <c r="AV179" s="440"/>
      <c r="AW179" s="440"/>
      <c r="AX179" s="440"/>
      <c r="AY179" s="440"/>
      <c r="AZ179" s="440"/>
      <c r="BA179" s="440"/>
      <c r="BB179" s="440"/>
      <c r="BC179" s="440"/>
      <c r="BD179" s="440"/>
      <c r="BE179" s="440"/>
      <c r="BF179" s="440"/>
      <c r="BG179" s="440"/>
      <c r="BH179" s="440"/>
      <c r="BI179" s="440"/>
      <c r="BJ179" s="440"/>
      <c r="BK179" s="440"/>
      <c r="BL179" s="440"/>
      <c r="BM179" s="440"/>
      <c r="BN179" s="440"/>
      <c r="BO179" s="440"/>
      <c r="BP179" s="440"/>
      <c r="BQ179" s="440"/>
      <c r="BR179" s="440"/>
      <c r="BS179" s="440"/>
      <c r="BT179" s="440"/>
    </row>
    <row r="180" spans="1:72" s="522" customFormat="1" ht="24.75" customHeight="1" x14ac:dyDescent="0.2">
      <c r="A180" s="454"/>
      <c r="B180" s="524" t="s">
        <v>139</v>
      </c>
      <c r="C180" s="456" t="s">
        <v>524</v>
      </c>
      <c r="D180" s="456" t="s">
        <v>535</v>
      </c>
      <c r="E180" s="457" t="s">
        <v>497</v>
      </c>
      <c r="F180" s="459" t="s">
        <v>497</v>
      </c>
      <c r="G180" s="458">
        <f>SUM(G182)</f>
        <v>12500</v>
      </c>
      <c r="H180" s="440"/>
      <c r="I180" s="521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  <c r="AA180" s="440"/>
      <c r="AB180" s="440"/>
      <c r="AC180" s="440"/>
      <c r="AD180" s="440"/>
      <c r="AE180" s="440"/>
      <c r="AF180" s="440"/>
      <c r="AG180" s="440"/>
      <c r="AH180" s="440"/>
      <c r="AI180" s="440"/>
      <c r="AJ180" s="440"/>
      <c r="AK180" s="440"/>
      <c r="AL180" s="440"/>
      <c r="AM180" s="440"/>
      <c r="AN180" s="440"/>
      <c r="AO180" s="440"/>
      <c r="AP180" s="440"/>
      <c r="AQ180" s="440"/>
      <c r="AR180" s="440"/>
      <c r="AS180" s="440"/>
      <c r="AT180" s="440"/>
      <c r="AU180" s="440"/>
      <c r="AV180" s="440"/>
      <c r="AW180" s="440"/>
      <c r="AX180" s="440"/>
      <c r="AY180" s="440"/>
      <c r="AZ180" s="440"/>
      <c r="BA180" s="440"/>
      <c r="BB180" s="440"/>
      <c r="BC180" s="440"/>
      <c r="BD180" s="440"/>
      <c r="BE180" s="440"/>
      <c r="BF180" s="440"/>
      <c r="BG180" s="440"/>
      <c r="BH180" s="440"/>
      <c r="BI180" s="440"/>
      <c r="BJ180" s="440"/>
      <c r="BK180" s="440"/>
      <c r="BL180" s="440"/>
      <c r="BM180" s="440"/>
      <c r="BN180" s="440"/>
      <c r="BO180" s="440"/>
      <c r="BP180" s="440"/>
      <c r="BQ180" s="440"/>
      <c r="BR180" s="440"/>
      <c r="BS180" s="440"/>
      <c r="BT180" s="440"/>
    </row>
    <row r="181" spans="1:72" s="522" customFormat="1" ht="9" customHeight="1" x14ac:dyDescent="0.2">
      <c r="A181" s="454"/>
      <c r="B181" s="455"/>
      <c r="C181" s="473"/>
      <c r="D181" s="456"/>
      <c r="E181" s="456"/>
      <c r="F181" s="466"/>
      <c r="G181" s="467"/>
      <c r="H181" s="440"/>
      <c r="I181" s="521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440"/>
      <c r="AD181" s="440"/>
      <c r="AE181" s="440"/>
      <c r="AF181" s="440"/>
      <c r="AG181" s="440"/>
      <c r="AH181" s="440"/>
      <c r="AI181" s="440"/>
      <c r="AJ181" s="440"/>
      <c r="AK181" s="440"/>
      <c r="AL181" s="440"/>
      <c r="AM181" s="440"/>
      <c r="AN181" s="440"/>
      <c r="AO181" s="440"/>
      <c r="AP181" s="440"/>
      <c r="AQ181" s="440"/>
      <c r="AR181" s="440"/>
      <c r="AS181" s="440"/>
      <c r="AT181" s="440"/>
      <c r="AU181" s="440"/>
      <c r="AV181" s="440"/>
      <c r="AW181" s="440"/>
      <c r="AX181" s="440"/>
      <c r="AY181" s="440"/>
      <c r="AZ181" s="440"/>
      <c r="BA181" s="440"/>
      <c r="BB181" s="440"/>
      <c r="BC181" s="440"/>
      <c r="BD181" s="440"/>
      <c r="BE181" s="440"/>
      <c r="BF181" s="440"/>
      <c r="BG181" s="440"/>
      <c r="BH181" s="440"/>
      <c r="BI181" s="440"/>
      <c r="BJ181" s="440"/>
      <c r="BK181" s="440"/>
      <c r="BL181" s="440"/>
      <c r="BM181" s="440"/>
      <c r="BN181" s="440"/>
      <c r="BO181" s="440"/>
      <c r="BP181" s="440"/>
      <c r="BQ181" s="440"/>
      <c r="BR181" s="440"/>
      <c r="BS181" s="440"/>
      <c r="BT181" s="440"/>
    </row>
    <row r="182" spans="1:72" s="522" customFormat="1" ht="15.75" customHeight="1" x14ac:dyDescent="0.2">
      <c r="A182" s="454"/>
      <c r="B182" s="455"/>
      <c r="C182" s="473"/>
      <c r="D182" s="456"/>
      <c r="E182" s="456"/>
      <c r="F182" s="466"/>
      <c r="G182" s="523">
        <f>SUM(G183:G183)</f>
        <v>12500</v>
      </c>
      <c r="H182" s="440"/>
      <c r="I182" s="521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40"/>
      <c r="AE182" s="440"/>
      <c r="AF182" s="440"/>
      <c r="AG182" s="440"/>
      <c r="AH182" s="440"/>
      <c r="AI182" s="440"/>
      <c r="AJ182" s="440"/>
      <c r="AK182" s="440"/>
      <c r="AL182" s="440"/>
      <c r="AM182" s="440"/>
      <c r="AN182" s="440"/>
      <c r="AO182" s="440"/>
      <c r="AP182" s="440"/>
      <c r="AQ182" s="440"/>
      <c r="AR182" s="440"/>
      <c r="AS182" s="440"/>
      <c r="AT182" s="440"/>
      <c r="AU182" s="440"/>
      <c r="AV182" s="440"/>
      <c r="AW182" s="440"/>
      <c r="AX182" s="440"/>
      <c r="AY182" s="440"/>
      <c r="AZ182" s="440"/>
      <c r="BA182" s="440"/>
      <c r="BB182" s="440"/>
      <c r="BC182" s="440"/>
      <c r="BD182" s="440"/>
      <c r="BE182" s="440"/>
      <c r="BF182" s="440"/>
      <c r="BG182" s="440"/>
      <c r="BH182" s="440"/>
      <c r="BI182" s="440"/>
      <c r="BJ182" s="440"/>
      <c r="BK182" s="440"/>
      <c r="BL182" s="440"/>
      <c r="BM182" s="440"/>
      <c r="BN182" s="440"/>
      <c r="BO182" s="440"/>
      <c r="BP182" s="440"/>
      <c r="BQ182" s="440"/>
      <c r="BR182" s="440"/>
      <c r="BS182" s="440"/>
      <c r="BT182" s="440"/>
    </row>
    <row r="183" spans="1:72" s="522" customFormat="1" ht="15.75" customHeight="1" x14ac:dyDescent="0.2">
      <c r="A183" s="454"/>
      <c r="B183" s="455"/>
      <c r="C183" s="473"/>
      <c r="D183" s="456"/>
      <c r="E183" s="456" t="s">
        <v>149</v>
      </c>
      <c r="F183" s="466" t="s">
        <v>497</v>
      </c>
      <c r="G183" s="467">
        <f>12500</f>
        <v>12500</v>
      </c>
      <c r="H183" s="440"/>
      <c r="I183" s="521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40"/>
      <c r="AE183" s="440"/>
      <c r="AF183" s="440"/>
      <c r="AG183" s="440"/>
      <c r="AH183" s="440"/>
      <c r="AI183" s="440"/>
      <c r="AJ183" s="440"/>
      <c r="AK183" s="440"/>
      <c r="AL183" s="440"/>
      <c r="AM183" s="440"/>
      <c r="AN183" s="440"/>
      <c r="AO183" s="440"/>
      <c r="AP183" s="440"/>
      <c r="AQ183" s="440"/>
      <c r="AR183" s="440"/>
      <c r="AS183" s="440"/>
      <c r="AT183" s="440"/>
      <c r="AU183" s="440"/>
      <c r="AV183" s="440"/>
      <c r="AW183" s="440"/>
      <c r="AX183" s="440"/>
      <c r="AY183" s="440"/>
      <c r="AZ183" s="440"/>
      <c r="BA183" s="440"/>
      <c r="BB183" s="440"/>
      <c r="BC183" s="440"/>
      <c r="BD183" s="440"/>
      <c r="BE183" s="440"/>
      <c r="BF183" s="440"/>
      <c r="BG183" s="440"/>
      <c r="BH183" s="440"/>
      <c r="BI183" s="440"/>
      <c r="BJ183" s="440"/>
      <c r="BK183" s="440"/>
      <c r="BL183" s="440"/>
      <c r="BM183" s="440"/>
      <c r="BN183" s="440"/>
      <c r="BO183" s="440"/>
      <c r="BP183" s="440"/>
      <c r="BQ183" s="440"/>
      <c r="BR183" s="440"/>
      <c r="BS183" s="440"/>
      <c r="BT183" s="440"/>
    </row>
    <row r="184" spans="1:72" s="522" customFormat="1" ht="9" customHeight="1" x14ac:dyDescent="0.2">
      <c r="A184" s="454"/>
      <c r="B184" s="455"/>
      <c r="C184" s="473"/>
      <c r="D184" s="456"/>
      <c r="E184" s="456"/>
      <c r="F184" s="466"/>
      <c r="G184" s="467"/>
      <c r="H184" s="440"/>
      <c r="I184" s="521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40"/>
      <c r="AF184" s="440"/>
      <c r="AG184" s="440"/>
      <c r="AH184" s="440"/>
      <c r="AI184" s="440"/>
      <c r="AJ184" s="440"/>
      <c r="AK184" s="440"/>
      <c r="AL184" s="440"/>
      <c r="AM184" s="440"/>
      <c r="AN184" s="440"/>
      <c r="AO184" s="440"/>
      <c r="AP184" s="440"/>
      <c r="AQ184" s="440"/>
      <c r="AR184" s="440"/>
      <c r="AS184" s="440"/>
      <c r="AT184" s="440"/>
      <c r="AU184" s="440"/>
      <c r="AV184" s="440"/>
      <c r="AW184" s="440"/>
      <c r="AX184" s="440"/>
      <c r="AY184" s="440"/>
      <c r="AZ184" s="440"/>
      <c r="BA184" s="440"/>
      <c r="BB184" s="440"/>
      <c r="BC184" s="440"/>
      <c r="BD184" s="440"/>
      <c r="BE184" s="440"/>
      <c r="BF184" s="440"/>
      <c r="BG184" s="440"/>
      <c r="BH184" s="440"/>
      <c r="BI184" s="440"/>
      <c r="BJ184" s="440"/>
      <c r="BK184" s="440"/>
      <c r="BL184" s="440"/>
      <c r="BM184" s="440"/>
      <c r="BN184" s="440"/>
      <c r="BO184" s="440"/>
      <c r="BP184" s="440"/>
      <c r="BQ184" s="440"/>
      <c r="BR184" s="440"/>
      <c r="BS184" s="440"/>
      <c r="BT184" s="440"/>
    </row>
    <row r="185" spans="1:72" s="522" customFormat="1" ht="15.75" customHeight="1" x14ac:dyDescent="0.2">
      <c r="A185" s="454"/>
      <c r="B185" s="524" t="s">
        <v>139</v>
      </c>
      <c r="C185" s="456" t="s">
        <v>536</v>
      </c>
      <c r="D185" s="456" t="s">
        <v>537</v>
      </c>
      <c r="E185" s="462" t="s">
        <v>497</v>
      </c>
      <c r="F185" s="463" t="s">
        <v>497</v>
      </c>
      <c r="G185" s="464">
        <f>SUM(G187)</f>
        <v>44216.43</v>
      </c>
      <c r="H185" s="440"/>
      <c r="I185" s="521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440"/>
      <c r="AD185" s="440"/>
      <c r="AE185" s="440"/>
      <c r="AF185" s="440"/>
      <c r="AG185" s="440"/>
      <c r="AH185" s="440"/>
      <c r="AI185" s="440"/>
      <c r="AJ185" s="440"/>
      <c r="AK185" s="440"/>
      <c r="AL185" s="440"/>
      <c r="AM185" s="440"/>
      <c r="AN185" s="440"/>
      <c r="AO185" s="440"/>
      <c r="AP185" s="440"/>
      <c r="AQ185" s="440"/>
      <c r="AR185" s="440"/>
      <c r="AS185" s="440"/>
      <c r="AT185" s="440"/>
      <c r="AU185" s="440"/>
      <c r="AV185" s="440"/>
      <c r="AW185" s="440"/>
      <c r="AX185" s="440"/>
      <c r="AY185" s="440"/>
      <c r="AZ185" s="440"/>
      <c r="BA185" s="440"/>
      <c r="BB185" s="440"/>
      <c r="BC185" s="440"/>
      <c r="BD185" s="440"/>
      <c r="BE185" s="440"/>
      <c r="BF185" s="440"/>
      <c r="BG185" s="440"/>
      <c r="BH185" s="440"/>
      <c r="BI185" s="440"/>
      <c r="BJ185" s="440"/>
      <c r="BK185" s="440"/>
      <c r="BL185" s="440"/>
      <c r="BM185" s="440"/>
      <c r="BN185" s="440"/>
      <c r="BO185" s="440"/>
      <c r="BP185" s="440"/>
      <c r="BQ185" s="440"/>
      <c r="BR185" s="440"/>
      <c r="BS185" s="440"/>
      <c r="BT185" s="440"/>
    </row>
    <row r="186" spans="1:72" s="522" customFormat="1" ht="4.5" customHeight="1" x14ac:dyDescent="0.2">
      <c r="A186" s="454"/>
      <c r="B186" s="455"/>
      <c r="C186" s="473"/>
      <c r="D186" s="456"/>
      <c r="E186" s="456"/>
      <c r="F186" s="466"/>
      <c r="G186" s="467"/>
      <c r="H186" s="440"/>
      <c r="I186" s="521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  <c r="AF186" s="440"/>
      <c r="AG186" s="440"/>
      <c r="AH186" s="440"/>
      <c r="AI186" s="440"/>
      <c r="AJ186" s="440"/>
      <c r="AK186" s="440"/>
      <c r="AL186" s="440"/>
      <c r="AM186" s="440"/>
      <c r="AN186" s="440"/>
      <c r="AO186" s="440"/>
      <c r="AP186" s="440"/>
      <c r="AQ186" s="440"/>
      <c r="AR186" s="440"/>
      <c r="AS186" s="440"/>
      <c r="AT186" s="440"/>
      <c r="AU186" s="440"/>
      <c r="AV186" s="440"/>
      <c r="AW186" s="440"/>
      <c r="AX186" s="440"/>
      <c r="AY186" s="440"/>
      <c r="AZ186" s="440"/>
      <c r="BA186" s="440"/>
      <c r="BB186" s="440"/>
      <c r="BC186" s="440"/>
      <c r="BD186" s="440"/>
      <c r="BE186" s="440"/>
      <c r="BF186" s="440"/>
      <c r="BG186" s="440"/>
      <c r="BH186" s="440"/>
      <c r="BI186" s="440"/>
      <c r="BJ186" s="440"/>
      <c r="BK186" s="440"/>
      <c r="BL186" s="440"/>
      <c r="BM186" s="440"/>
      <c r="BN186" s="440"/>
      <c r="BO186" s="440"/>
      <c r="BP186" s="440"/>
      <c r="BQ186" s="440"/>
      <c r="BR186" s="440"/>
      <c r="BS186" s="440"/>
      <c r="BT186" s="440"/>
    </row>
    <row r="187" spans="1:72" s="522" customFormat="1" ht="15.75" customHeight="1" x14ac:dyDescent="0.2">
      <c r="A187" s="454"/>
      <c r="B187" s="455"/>
      <c r="C187" s="473"/>
      <c r="D187" s="456"/>
      <c r="E187" s="456"/>
      <c r="F187" s="466"/>
      <c r="G187" s="523">
        <f>SUM(G188:G190)</f>
        <v>44216.43</v>
      </c>
      <c r="H187" s="440"/>
      <c r="I187" s="521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0"/>
      <c r="AI187" s="440"/>
      <c r="AJ187" s="440"/>
      <c r="AK187" s="440"/>
      <c r="AL187" s="440"/>
      <c r="AM187" s="440"/>
      <c r="AN187" s="440"/>
      <c r="AO187" s="440"/>
      <c r="AP187" s="440"/>
      <c r="AQ187" s="440"/>
      <c r="AR187" s="440"/>
      <c r="AS187" s="440"/>
      <c r="AT187" s="440"/>
      <c r="AU187" s="440"/>
      <c r="AV187" s="440"/>
      <c r="AW187" s="440"/>
      <c r="AX187" s="440"/>
      <c r="AY187" s="440"/>
      <c r="AZ187" s="440"/>
      <c r="BA187" s="440"/>
      <c r="BB187" s="440"/>
      <c r="BC187" s="440"/>
      <c r="BD187" s="440"/>
      <c r="BE187" s="440"/>
      <c r="BF187" s="440"/>
      <c r="BG187" s="440"/>
      <c r="BH187" s="440"/>
      <c r="BI187" s="440"/>
      <c r="BJ187" s="440"/>
      <c r="BK187" s="440"/>
      <c r="BL187" s="440"/>
      <c r="BM187" s="440"/>
      <c r="BN187" s="440"/>
      <c r="BO187" s="440"/>
      <c r="BP187" s="440"/>
      <c r="BQ187" s="440"/>
      <c r="BR187" s="440"/>
      <c r="BS187" s="440"/>
      <c r="BT187" s="440"/>
    </row>
    <row r="188" spans="1:72" s="522" customFormat="1" ht="15.75" customHeight="1" x14ac:dyDescent="0.2">
      <c r="A188" s="454"/>
      <c r="B188" s="455"/>
      <c r="C188" s="473"/>
      <c r="D188" s="456"/>
      <c r="E188" s="456" t="s">
        <v>149</v>
      </c>
      <c r="F188" s="466" t="s">
        <v>497</v>
      </c>
      <c r="G188" s="467">
        <f>4842+5477+3551.43+4947+750+5127+5992+3180</f>
        <v>33866.43</v>
      </c>
      <c r="H188" s="440"/>
      <c r="I188" s="521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0"/>
      <c r="AI188" s="440"/>
      <c r="AJ188" s="440"/>
      <c r="AK188" s="440"/>
      <c r="AL188" s="440"/>
      <c r="AM188" s="440"/>
      <c r="AN188" s="440"/>
      <c r="AO188" s="440"/>
      <c r="AP188" s="440"/>
      <c r="AQ188" s="440"/>
      <c r="AR188" s="440"/>
      <c r="AS188" s="440"/>
      <c r="AT188" s="440"/>
      <c r="AU188" s="440"/>
      <c r="AV188" s="440"/>
      <c r="AW188" s="440"/>
      <c r="AX188" s="440"/>
      <c r="AY188" s="440"/>
      <c r="AZ188" s="440"/>
      <c r="BA188" s="440"/>
      <c r="BB188" s="440"/>
      <c r="BC188" s="440"/>
      <c r="BD188" s="440"/>
      <c r="BE188" s="440"/>
      <c r="BF188" s="440"/>
      <c r="BG188" s="440"/>
      <c r="BH188" s="440"/>
      <c r="BI188" s="440"/>
      <c r="BJ188" s="440"/>
      <c r="BK188" s="440"/>
      <c r="BL188" s="440"/>
      <c r="BM188" s="440"/>
      <c r="BN188" s="440"/>
      <c r="BO188" s="440"/>
      <c r="BP188" s="440"/>
      <c r="BQ188" s="440"/>
      <c r="BR188" s="440"/>
      <c r="BS188" s="440"/>
      <c r="BT188" s="440"/>
    </row>
    <row r="189" spans="1:72" s="522" customFormat="1" ht="15.75" customHeight="1" x14ac:dyDescent="0.2">
      <c r="A189" s="454"/>
      <c r="B189" s="455"/>
      <c r="C189" s="473"/>
      <c r="D189" s="456"/>
      <c r="E189" s="456" t="s">
        <v>151</v>
      </c>
      <c r="F189" s="466" t="s">
        <v>497</v>
      </c>
      <c r="G189" s="467">
        <f>750+1000</f>
        <v>1750</v>
      </c>
      <c r="H189" s="440"/>
      <c r="I189" s="521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  <c r="AF189" s="440"/>
      <c r="AG189" s="440"/>
      <c r="AH189" s="440"/>
      <c r="AI189" s="440"/>
      <c r="AJ189" s="440"/>
      <c r="AK189" s="440"/>
      <c r="AL189" s="440"/>
      <c r="AM189" s="440"/>
      <c r="AN189" s="440"/>
      <c r="AO189" s="440"/>
      <c r="AP189" s="440"/>
      <c r="AQ189" s="440"/>
      <c r="AR189" s="440"/>
      <c r="AS189" s="440"/>
      <c r="AT189" s="440"/>
      <c r="AU189" s="440"/>
      <c r="AV189" s="440"/>
      <c r="AW189" s="440"/>
      <c r="AX189" s="440"/>
      <c r="AY189" s="440"/>
      <c r="AZ189" s="440"/>
      <c r="BA189" s="440"/>
      <c r="BB189" s="440"/>
      <c r="BC189" s="440"/>
      <c r="BD189" s="440"/>
      <c r="BE189" s="440"/>
      <c r="BF189" s="440"/>
      <c r="BG189" s="440"/>
      <c r="BH189" s="440"/>
      <c r="BI189" s="440"/>
      <c r="BJ189" s="440"/>
      <c r="BK189" s="440"/>
      <c r="BL189" s="440"/>
      <c r="BM189" s="440"/>
      <c r="BN189" s="440"/>
      <c r="BO189" s="440"/>
      <c r="BP189" s="440"/>
      <c r="BQ189" s="440"/>
      <c r="BR189" s="440"/>
      <c r="BS189" s="440"/>
      <c r="BT189" s="440"/>
    </row>
    <row r="190" spans="1:72" s="522" customFormat="1" ht="15.75" customHeight="1" x14ac:dyDescent="0.2">
      <c r="A190" s="454"/>
      <c r="B190" s="455"/>
      <c r="C190" s="473"/>
      <c r="D190" s="456"/>
      <c r="E190" s="456" t="s">
        <v>241</v>
      </c>
      <c r="F190" s="466" t="s">
        <v>497</v>
      </c>
      <c r="G190" s="467">
        <f>5586+2914-2900+3000</f>
        <v>8600</v>
      </c>
      <c r="H190" s="440"/>
      <c r="I190" s="521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40"/>
      <c r="AF190" s="440"/>
      <c r="AG190" s="440"/>
      <c r="AH190" s="440"/>
      <c r="AI190" s="440"/>
      <c r="AJ190" s="440"/>
      <c r="AK190" s="440"/>
      <c r="AL190" s="440"/>
      <c r="AM190" s="440"/>
      <c r="AN190" s="440"/>
      <c r="AO190" s="440"/>
      <c r="AP190" s="440"/>
      <c r="AQ190" s="440"/>
      <c r="AR190" s="440"/>
      <c r="AS190" s="440"/>
      <c r="AT190" s="440"/>
      <c r="AU190" s="440"/>
      <c r="AV190" s="440"/>
      <c r="AW190" s="440"/>
      <c r="AX190" s="440"/>
      <c r="AY190" s="440"/>
      <c r="AZ190" s="440"/>
      <c r="BA190" s="440"/>
      <c r="BB190" s="440"/>
      <c r="BC190" s="440"/>
      <c r="BD190" s="440"/>
      <c r="BE190" s="440"/>
      <c r="BF190" s="440"/>
      <c r="BG190" s="440"/>
      <c r="BH190" s="440"/>
      <c r="BI190" s="440"/>
      <c r="BJ190" s="440"/>
      <c r="BK190" s="440"/>
      <c r="BL190" s="440"/>
      <c r="BM190" s="440"/>
      <c r="BN190" s="440"/>
      <c r="BO190" s="440"/>
      <c r="BP190" s="440"/>
      <c r="BQ190" s="440"/>
      <c r="BR190" s="440"/>
      <c r="BS190" s="440"/>
      <c r="BT190" s="440"/>
    </row>
    <row r="191" spans="1:72" s="522" customFormat="1" ht="15.75" customHeight="1" x14ac:dyDescent="0.2">
      <c r="A191" s="454"/>
      <c r="B191" s="455"/>
      <c r="C191" s="473"/>
      <c r="D191" s="456"/>
      <c r="E191" s="456"/>
      <c r="F191" s="466"/>
      <c r="G191" s="467"/>
      <c r="H191" s="440"/>
      <c r="I191" s="521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  <c r="AA191" s="440"/>
      <c r="AB191" s="440"/>
      <c r="AC191" s="440"/>
      <c r="AD191" s="440"/>
      <c r="AE191" s="440"/>
      <c r="AF191" s="440"/>
      <c r="AG191" s="440"/>
      <c r="AH191" s="440"/>
      <c r="AI191" s="440"/>
      <c r="AJ191" s="440"/>
      <c r="AK191" s="440"/>
      <c r="AL191" s="440"/>
      <c r="AM191" s="440"/>
      <c r="AN191" s="440"/>
      <c r="AO191" s="440"/>
      <c r="AP191" s="440"/>
      <c r="AQ191" s="440"/>
      <c r="AR191" s="440"/>
      <c r="AS191" s="440"/>
      <c r="AT191" s="440"/>
      <c r="AU191" s="440"/>
      <c r="AV191" s="440"/>
      <c r="AW191" s="440"/>
      <c r="AX191" s="440"/>
      <c r="AY191" s="440"/>
      <c r="AZ191" s="440"/>
      <c r="BA191" s="440"/>
      <c r="BB191" s="440"/>
      <c r="BC191" s="440"/>
      <c r="BD191" s="440"/>
      <c r="BE191" s="440"/>
      <c r="BF191" s="440"/>
      <c r="BG191" s="440"/>
      <c r="BH191" s="440"/>
      <c r="BI191" s="440"/>
      <c r="BJ191" s="440"/>
      <c r="BK191" s="440"/>
      <c r="BL191" s="440"/>
      <c r="BM191" s="440"/>
      <c r="BN191" s="440"/>
      <c r="BO191" s="440"/>
      <c r="BP191" s="440"/>
      <c r="BQ191" s="440"/>
      <c r="BR191" s="440"/>
      <c r="BS191" s="440"/>
      <c r="BT191" s="440"/>
    </row>
    <row r="192" spans="1:72" s="522" customFormat="1" ht="15.75" customHeight="1" x14ac:dyDescent="0.2">
      <c r="A192" s="454"/>
      <c r="B192" s="524" t="s">
        <v>139</v>
      </c>
      <c r="C192" s="456" t="s">
        <v>536</v>
      </c>
      <c r="D192" s="456" t="s">
        <v>538</v>
      </c>
      <c r="E192" s="462" t="s">
        <v>497</v>
      </c>
      <c r="F192" s="463" t="s">
        <v>497</v>
      </c>
      <c r="G192" s="464">
        <f>SUM(G194)</f>
        <v>9797</v>
      </c>
      <c r="H192" s="440"/>
      <c r="I192" s="521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  <c r="AJ192" s="440"/>
      <c r="AK192" s="440"/>
      <c r="AL192" s="440"/>
      <c r="AM192" s="440"/>
      <c r="AN192" s="440"/>
      <c r="AO192" s="440"/>
      <c r="AP192" s="440"/>
      <c r="AQ192" s="440"/>
      <c r="AR192" s="440"/>
      <c r="AS192" s="440"/>
      <c r="AT192" s="440"/>
      <c r="AU192" s="440"/>
      <c r="AV192" s="440"/>
      <c r="AW192" s="440"/>
      <c r="AX192" s="440"/>
      <c r="AY192" s="440"/>
      <c r="AZ192" s="440"/>
      <c r="BA192" s="440"/>
      <c r="BB192" s="440"/>
      <c r="BC192" s="440"/>
      <c r="BD192" s="440"/>
      <c r="BE192" s="440"/>
      <c r="BF192" s="440"/>
      <c r="BG192" s="440"/>
      <c r="BH192" s="440"/>
      <c r="BI192" s="440"/>
      <c r="BJ192" s="440"/>
      <c r="BK192" s="440"/>
      <c r="BL192" s="440"/>
      <c r="BM192" s="440"/>
      <c r="BN192" s="440"/>
      <c r="BO192" s="440"/>
      <c r="BP192" s="440"/>
      <c r="BQ192" s="440"/>
      <c r="BR192" s="440"/>
      <c r="BS192" s="440"/>
      <c r="BT192" s="440"/>
    </row>
    <row r="193" spans="1:72" s="522" customFormat="1" ht="15.75" customHeight="1" x14ac:dyDescent="0.2">
      <c r="A193" s="454"/>
      <c r="B193" s="455"/>
      <c r="C193" s="473"/>
      <c r="D193" s="456"/>
      <c r="E193" s="456"/>
      <c r="F193" s="466"/>
      <c r="G193" s="467"/>
      <c r="H193" s="440"/>
      <c r="I193" s="521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  <c r="AF193" s="440"/>
      <c r="AG193" s="440"/>
      <c r="AH193" s="440"/>
      <c r="AI193" s="440"/>
      <c r="AJ193" s="440"/>
      <c r="AK193" s="440"/>
      <c r="AL193" s="440"/>
      <c r="AM193" s="440"/>
      <c r="AN193" s="440"/>
      <c r="AO193" s="440"/>
      <c r="AP193" s="440"/>
      <c r="AQ193" s="440"/>
      <c r="AR193" s="440"/>
      <c r="AS193" s="440"/>
      <c r="AT193" s="440"/>
      <c r="AU193" s="440"/>
      <c r="AV193" s="440"/>
      <c r="AW193" s="440"/>
      <c r="AX193" s="440"/>
      <c r="AY193" s="440"/>
      <c r="AZ193" s="440"/>
      <c r="BA193" s="440"/>
      <c r="BB193" s="440"/>
      <c r="BC193" s="440"/>
      <c r="BD193" s="440"/>
      <c r="BE193" s="440"/>
      <c r="BF193" s="440"/>
      <c r="BG193" s="440"/>
      <c r="BH193" s="440"/>
      <c r="BI193" s="440"/>
      <c r="BJ193" s="440"/>
      <c r="BK193" s="440"/>
      <c r="BL193" s="440"/>
      <c r="BM193" s="440"/>
      <c r="BN193" s="440"/>
      <c r="BO193" s="440"/>
      <c r="BP193" s="440"/>
      <c r="BQ193" s="440"/>
      <c r="BR193" s="440"/>
      <c r="BS193" s="440"/>
      <c r="BT193" s="440"/>
    </row>
    <row r="194" spans="1:72" s="522" customFormat="1" ht="15.75" customHeight="1" x14ac:dyDescent="0.2">
      <c r="A194" s="454"/>
      <c r="B194" s="455"/>
      <c r="C194" s="473"/>
      <c r="D194" s="456"/>
      <c r="E194" s="456"/>
      <c r="F194" s="466"/>
      <c r="G194" s="523">
        <f>SUM(G195:G197)</f>
        <v>9797</v>
      </c>
      <c r="H194" s="440"/>
      <c r="I194" s="521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440"/>
      <c r="AD194" s="440"/>
      <c r="AE194" s="440"/>
      <c r="AF194" s="440"/>
      <c r="AG194" s="440"/>
      <c r="AH194" s="440"/>
      <c r="AI194" s="440"/>
      <c r="AJ194" s="440"/>
      <c r="AK194" s="440"/>
      <c r="AL194" s="440"/>
      <c r="AM194" s="440"/>
      <c r="AN194" s="440"/>
      <c r="AO194" s="440"/>
      <c r="AP194" s="440"/>
      <c r="AQ194" s="440"/>
      <c r="AR194" s="440"/>
      <c r="AS194" s="440"/>
      <c r="AT194" s="440"/>
      <c r="AU194" s="440"/>
      <c r="AV194" s="440"/>
      <c r="AW194" s="440"/>
      <c r="AX194" s="440"/>
      <c r="AY194" s="440"/>
      <c r="AZ194" s="440"/>
      <c r="BA194" s="440"/>
      <c r="BB194" s="440"/>
      <c r="BC194" s="440"/>
      <c r="BD194" s="440"/>
      <c r="BE194" s="440"/>
      <c r="BF194" s="440"/>
      <c r="BG194" s="440"/>
      <c r="BH194" s="440"/>
      <c r="BI194" s="440"/>
      <c r="BJ194" s="440"/>
      <c r="BK194" s="440"/>
      <c r="BL194" s="440"/>
      <c r="BM194" s="440"/>
      <c r="BN194" s="440"/>
      <c r="BO194" s="440"/>
      <c r="BP194" s="440"/>
      <c r="BQ194" s="440"/>
      <c r="BR194" s="440"/>
      <c r="BS194" s="440"/>
      <c r="BT194" s="440"/>
    </row>
    <row r="195" spans="1:72" s="522" customFormat="1" ht="15.75" customHeight="1" x14ac:dyDescent="0.2">
      <c r="A195" s="454"/>
      <c r="B195" s="455"/>
      <c r="C195" s="473"/>
      <c r="D195" s="456"/>
      <c r="E195" s="456" t="s">
        <v>149</v>
      </c>
      <c r="F195" s="466" t="s">
        <v>497</v>
      </c>
      <c r="G195" s="467">
        <f>3711+786</f>
        <v>4497</v>
      </c>
      <c r="H195" s="440"/>
      <c r="I195" s="521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  <c r="AJ195" s="440"/>
      <c r="AK195" s="440"/>
      <c r="AL195" s="440"/>
      <c r="AM195" s="440"/>
      <c r="AN195" s="440"/>
      <c r="AO195" s="440"/>
      <c r="AP195" s="440"/>
      <c r="AQ195" s="440"/>
      <c r="AR195" s="440"/>
      <c r="AS195" s="440"/>
      <c r="AT195" s="440"/>
      <c r="AU195" s="440"/>
      <c r="AV195" s="440"/>
      <c r="AW195" s="440"/>
      <c r="AX195" s="440"/>
      <c r="AY195" s="440"/>
      <c r="AZ195" s="440"/>
      <c r="BA195" s="440"/>
      <c r="BB195" s="440"/>
      <c r="BC195" s="440"/>
      <c r="BD195" s="440"/>
      <c r="BE195" s="440"/>
      <c r="BF195" s="440"/>
      <c r="BG195" s="440"/>
      <c r="BH195" s="440"/>
      <c r="BI195" s="440"/>
      <c r="BJ195" s="440"/>
      <c r="BK195" s="440"/>
      <c r="BL195" s="440"/>
      <c r="BM195" s="440"/>
      <c r="BN195" s="440"/>
      <c r="BO195" s="440"/>
      <c r="BP195" s="440"/>
      <c r="BQ195" s="440"/>
      <c r="BR195" s="440"/>
      <c r="BS195" s="440"/>
      <c r="BT195" s="440"/>
    </row>
    <row r="196" spans="1:72" s="522" customFormat="1" ht="15.75" customHeight="1" x14ac:dyDescent="0.2">
      <c r="A196" s="454"/>
      <c r="B196" s="455"/>
      <c r="C196" s="473"/>
      <c r="D196" s="456"/>
      <c r="E196" s="456" t="s">
        <v>151</v>
      </c>
      <c r="F196" s="466" t="s">
        <v>497</v>
      </c>
      <c r="G196" s="467">
        <f>300</f>
        <v>300</v>
      </c>
      <c r="H196" s="440"/>
      <c r="I196" s="521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40"/>
      <c r="AF196" s="440"/>
      <c r="AG196" s="440"/>
      <c r="AH196" s="440"/>
      <c r="AI196" s="440"/>
      <c r="AJ196" s="440"/>
      <c r="AK196" s="440"/>
      <c r="AL196" s="440"/>
      <c r="AM196" s="440"/>
      <c r="AN196" s="440"/>
      <c r="AO196" s="440"/>
      <c r="AP196" s="440"/>
      <c r="AQ196" s="440"/>
      <c r="AR196" s="440"/>
      <c r="AS196" s="440"/>
      <c r="AT196" s="440"/>
      <c r="AU196" s="440"/>
      <c r="AV196" s="440"/>
      <c r="AW196" s="440"/>
      <c r="AX196" s="440"/>
      <c r="AY196" s="440"/>
      <c r="AZ196" s="440"/>
      <c r="BA196" s="440"/>
      <c r="BB196" s="440"/>
      <c r="BC196" s="440"/>
      <c r="BD196" s="440"/>
      <c r="BE196" s="440"/>
      <c r="BF196" s="440"/>
      <c r="BG196" s="440"/>
      <c r="BH196" s="440"/>
      <c r="BI196" s="440"/>
      <c r="BJ196" s="440"/>
      <c r="BK196" s="440"/>
      <c r="BL196" s="440"/>
      <c r="BM196" s="440"/>
      <c r="BN196" s="440"/>
      <c r="BO196" s="440"/>
      <c r="BP196" s="440"/>
      <c r="BQ196" s="440"/>
      <c r="BR196" s="440"/>
      <c r="BS196" s="440"/>
      <c r="BT196" s="440"/>
    </row>
    <row r="197" spans="1:72" s="522" customFormat="1" ht="15.75" customHeight="1" x14ac:dyDescent="0.2">
      <c r="A197" s="454"/>
      <c r="B197" s="455"/>
      <c r="C197" s="473"/>
      <c r="D197" s="456"/>
      <c r="E197" s="456" t="s">
        <v>241</v>
      </c>
      <c r="F197" s="466" t="s">
        <v>497</v>
      </c>
      <c r="G197" s="467">
        <f>5000</f>
        <v>5000</v>
      </c>
      <c r="H197" s="440"/>
      <c r="I197" s="521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40"/>
      <c r="AE197" s="440"/>
      <c r="AF197" s="440"/>
      <c r="AG197" s="440"/>
      <c r="AH197" s="440"/>
      <c r="AI197" s="440"/>
      <c r="AJ197" s="440"/>
      <c r="AK197" s="440"/>
      <c r="AL197" s="440"/>
      <c r="AM197" s="440"/>
      <c r="AN197" s="440"/>
      <c r="AO197" s="440"/>
      <c r="AP197" s="440"/>
      <c r="AQ197" s="440"/>
      <c r="AR197" s="440"/>
      <c r="AS197" s="440"/>
      <c r="AT197" s="440"/>
      <c r="AU197" s="440"/>
      <c r="AV197" s="440"/>
      <c r="AW197" s="440"/>
      <c r="AX197" s="440"/>
      <c r="AY197" s="440"/>
      <c r="AZ197" s="440"/>
      <c r="BA197" s="440"/>
      <c r="BB197" s="440"/>
      <c r="BC197" s="440"/>
      <c r="BD197" s="440"/>
      <c r="BE197" s="440"/>
      <c r="BF197" s="440"/>
      <c r="BG197" s="440"/>
      <c r="BH197" s="440"/>
      <c r="BI197" s="440"/>
      <c r="BJ197" s="440"/>
      <c r="BK197" s="440"/>
      <c r="BL197" s="440"/>
      <c r="BM197" s="440"/>
      <c r="BN197" s="440"/>
      <c r="BO197" s="440"/>
      <c r="BP197" s="440"/>
      <c r="BQ197" s="440"/>
      <c r="BR197" s="440"/>
      <c r="BS197" s="440"/>
      <c r="BT197" s="440"/>
    </row>
    <row r="198" spans="1:72" s="522" customFormat="1" ht="12.75" customHeight="1" x14ac:dyDescent="0.2">
      <c r="A198" s="468"/>
      <c r="B198" s="469"/>
      <c r="C198" s="470"/>
      <c r="D198" s="457"/>
      <c r="E198" s="457"/>
      <c r="F198" s="459"/>
      <c r="G198" s="471"/>
      <c r="H198" s="440"/>
      <c r="I198" s="521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40"/>
      <c r="AE198" s="440"/>
      <c r="AF198" s="440"/>
      <c r="AG198" s="440"/>
      <c r="AH198" s="440"/>
      <c r="AI198" s="440"/>
      <c r="AJ198" s="440"/>
      <c r="AK198" s="440"/>
      <c r="AL198" s="440"/>
      <c r="AM198" s="440"/>
      <c r="AN198" s="440"/>
      <c r="AO198" s="440"/>
      <c r="AP198" s="440"/>
      <c r="AQ198" s="440"/>
      <c r="AR198" s="440"/>
      <c r="AS198" s="440"/>
      <c r="AT198" s="440"/>
      <c r="AU198" s="440"/>
      <c r="AV198" s="440"/>
      <c r="AW198" s="440"/>
      <c r="AX198" s="440"/>
      <c r="AY198" s="440"/>
      <c r="AZ198" s="440"/>
      <c r="BA198" s="440"/>
      <c r="BB198" s="440"/>
      <c r="BC198" s="440"/>
      <c r="BD198" s="440"/>
      <c r="BE198" s="440"/>
      <c r="BF198" s="440"/>
      <c r="BG198" s="440"/>
      <c r="BH198" s="440"/>
      <c r="BI198" s="440"/>
      <c r="BJ198" s="440"/>
      <c r="BK198" s="440"/>
      <c r="BL198" s="440"/>
      <c r="BM198" s="440"/>
      <c r="BN198" s="440"/>
      <c r="BO198" s="440"/>
      <c r="BP198" s="440"/>
      <c r="BQ198" s="440"/>
      <c r="BR198" s="440"/>
      <c r="BS198" s="440"/>
      <c r="BT198" s="440"/>
    </row>
    <row r="199" spans="1:72" s="522" customFormat="1" ht="18.75" customHeight="1" x14ac:dyDescent="0.2">
      <c r="A199" s="454"/>
      <c r="B199" s="455"/>
      <c r="C199" s="456" t="s">
        <v>524</v>
      </c>
      <c r="D199" s="456" t="s">
        <v>539</v>
      </c>
      <c r="E199" s="457" t="s">
        <v>35</v>
      </c>
      <c r="F199" s="458">
        <f>23088.67+942.17+2115.3+1002.4+1167.39</f>
        <v>28315.929999999997</v>
      </c>
      <c r="G199" s="459" t="s">
        <v>497</v>
      </c>
      <c r="H199" s="440"/>
      <c r="I199" s="521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  <c r="AJ199" s="440"/>
      <c r="AK199" s="440"/>
      <c r="AL199" s="440"/>
      <c r="AM199" s="440"/>
      <c r="AN199" s="440"/>
      <c r="AO199" s="440"/>
      <c r="AP199" s="440"/>
      <c r="AQ199" s="440"/>
      <c r="AR199" s="440"/>
      <c r="AS199" s="440"/>
      <c r="AT199" s="440"/>
      <c r="AU199" s="440"/>
      <c r="AV199" s="440"/>
      <c r="AW199" s="440"/>
      <c r="AX199" s="440"/>
      <c r="AY199" s="440"/>
      <c r="AZ199" s="440"/>
      <c r="BA199" s="440"/>
      <c r="BB199" s="440"/>
      <c r="BC199" s="440"/>
      <c r="BD199" s="440"/>
      <c r="BE199" s="440"/>
      <c r="BF199" s="440"/>
      <c r="BG199" s="440"/>
      <c r="BH199" s="440"/>
      <c r="BI199" s="440"/>
      <c r="BJ199" s="440"/>
      <c r="BK199" s="440"/>
      <c r="BL199" s="440"/>
      <c r="BM199" s="440"/>
      <c r="BN199" s="440"/>
      <c r="BO199" s="440"/>
      <c r="BP199" s="440"/>
      <c r="BQ199" s="440"/>
      <c r="BR199" s="440"/>
      <c r="BS199" s="440"/>
      <c r="BT199" s="440"/>
    </row>
    <row r="200" spans="1:72" s="522" customFormat="1" ht="62.25" customHeight="1" x14ac:dyDescent="0.2">
      <c r="A200" s="460" t="s">
        <v>484</v>
      </c>
      <c r="B200" s="461" t="s">
        <v>540</v>
      </c>
      <c r="C200" s="456"/>
      <c r="D200" s="456"/>
      <c r="E200" s="462" t="s">
        <v>497</v>
      </c>
      <c r="F200" s="463" t="s">
        <v>497</v>
      </c>
      <c r="G200" s="464">
        <f>SUM(G202,G207)</f>
        <v>28315.930000000004</v>
      </c>
      <c r="H200" s="440"/>
      <c r="I200" s="521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0"/>
      <c r="AL200" s="440"/>
      <c r="AM200" s="440"/>
      <c r="AN200" s="440"/>
      <c r="AO200" s="440"/>
      <c r="AP200" s="440"/>
      <c r="AQ200" s="440"/>
      <c r="AR200" s="440"/>
      <c r="AS200" s="440"/>
      <c r="AT200" s="440"/>
      <c r="AU200" s="440"/>
      <c r="AV200" s="440"/>
      <c r="AW200" s="440"/>
      <c r="AX200" s="440"/>
      <c r="AY200" s="440"/>
      <c r="AZ200" s="440"/>
      <c r="BA200" s="440"/>
      <c r="BB200" s="440"/>
      <c r="BC200" s="440"/>
      <c r="BD200" s="440"/>
      <c r="BE200" s="440"/>
      <c r="BF200" s="440"/>
      <c r="BG200" s="440"/>
      <c r="BH200" s="440"/>
      <c r="BI200" s="440"/>
      <c r="BJ200" s="440"/>
      <c r="BK200" s="440"/>
      <c r="BL200" s="440"/>
      <c r="BM200" s="440"/>
      <c r="BN200" s="440"/>
      <c r="BO200" s="440"/>
      <c r="BP200" s="440"/>
      <c r="BQ200" s="440"/>
      <c r="BR200" s="440"/>
      <c r="BS200" s="440"/>
      <c r="BT200" s="440"/>
    </row>
    <row r="201" spans="1:72" s="522" customFormat="1" ht="15.75" customHeight="1" x14ac:dyDescent="0.2">
      <c r="A201" s="454"/>
      <c r="B201" s="455"/>
      <c r="C201" s="473"/>
      <c r="D201" s="456"/>
      <c r="E201" s="456"/>
      <c r="F201" s="466"/>
      <c r="G201" s="467"/>
      <c r="H201" s="440"/>
      <c r="I201" s="521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440"/>
      <c r="AM201" s="440"/>
      <c r="AN201" s="440"/>
      <c r="AO201" s="440"/>
      <c r="AP201" s="440"/>
      <c r="AQ201" s="440"/>
      <c r="AR201" s="440"/>
      <c r="AS201" s="440"/>
      <c r="AT201" s="440"/>
      <c r="AU201" s="440"/>
      <c r="AV201" s="440"/>
      <c r="AW201" s="440"/>
      <c r="AX201" s="440"/>
      <c r="AY201" s="440"/>
      <c r="AZ201" s="440"/>
      <c r="BA201" s="440"/>
      <c r="BB201" s="440"/>
      <c r="BC201" s="440"/>
      <c r="BD201" s="440"/>
      <c r="BE201" s="440"/>
      <c r="BF201" s="440"/>
      <c r="BG201" s="440"/>
      <c r="BH201" s="440"/>
      <c r="BI201" s="440"/>
      <c r="BJ201" s="440"/>
      <c r="BK201" s="440"/>
      <c r="BL201" s="440"/>
      <c r="BM201" s="440"/>
      <c r="BN201" s="440"/>
      <c r="BO201" s="440"/>
      <c r="BP201" s="440"/>
      <c r="BQ201" s="440"/>
      <c r="BR201" s="440"/>
      <c r="BS201" s="440"/>
      <c r="BT201" s="440"/>
    </row>
    <row r="202" spans="1:72" s="522" customFormat="1" ht="15.75" customHeight="1" x14ac:dyDescent="0.2">
      <c r="A202" s="454"/>
      <c r="B202" s="524" t="s">
        <v>139</v>
      </c>
      <c r="C202" s="456"/>
      <c r="D202" s="456"/>
      <c r="E202" s="462" t="s">
        <v>497</v>
      </c>
      <c r="F202" s="463" t="s">
        <v>497</v>
      </c>
      <c r="G202" s="464">
        <f>SUM(G204)</f>
        <v>27992.050000000003</v>
      </c>
      <c r="H202" s="440"/>
      <c r="I202" s="521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  <c r="AF202" s="440"/>
      <c r="AG202" s="440"/>
      <c r="AH202" s="440"/>
      <c r="AI202" s="440"/>
      <c r="AJ202" s="440"/>
      <c r="AK202" s="440"/>
      <c r="AL202" s="440"/>
      <c r="AM202" s="440"/>
      <c r="AN202" s="440"/>
      <c r="AO202" s="440"/>
      <c r="AP202" s="440"/>
      <c r="AQ202" s="440"/>
      <c r="AR202" s="440"/>
      <c r="AS202" s="440"/>
      <c r="AT202" s="440"/>
      <c r="AU202" s="440"/>
      <c r="AV202" s="440"/>
      <c r="AW202" s="440"/>
      <c r="AX202" s="440"/>
      <c r="AY202" s="440"/>
      <c r="AZ202" s="440"/>
      <c r="BA202" s="440"/>
      <c r="BB202" s="440"/>
      <c r="BC202" s="440"/>
      <c r="BD202" s="440"/>
      <c r="BE202" s="440"/>
      <c r="BF202" s="440"/>
      <c r="BG202" s="440"/>
      <c r="BH202" s="440"/>
      <c r="BI202" s="440"/>
      <c r="BJ202" s="440"/>
      <c r="BK202" s="440"/>
      <c r="BL202" s="440"/>
      <c r="BM202" s="440"/>
      <c r="BN202" s="440"/>
      <c r="BO202" s="440"/>
      <c r="BP202" s="440"/>
      <c r="BQ202" s="440"/>
      <c r="BR202" s="440"/>
      <c r="BS202" s="440"/>
      <c r="BT202" s="440"/>
    </row>
    <row r="203" spans="1:72" s="522" customFormat="1" ht="9.75" customHeight="1" x14ac:dyDescent="0.2">
      <c r="A203" s="454"/>
      <c r="B203" s="455"/>
      <c r="C203" s="473"/>
      <c r="D203" s="456"/>
      <c r="E203" s="456"/>
      <c r="F203" s="466"/>
      <c r="G203" s="467"/>
      <c r="H203" s="440"/>
      <c r="I203" s="521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</row>
    <row r="204" spans="1:72" s="522" customFormat="1" ht="15.75" customHeight="1" x14ac:dyDescent="0.2">
      <c r="A204" s="454"/>
      <c r="B204" s="455"/>
      <c r="C204" s="473"/>
      <c r="D204" s="456"/>
      <c r="E204" s="456"/>
      <c r="F204" s="466"/>
      <c r="G204" s="523">
        <f>SUM(G205:G205)</f>
        <v>27992.050000000003</v>
      </c>
      <c r="H204" s="440"/>
      <c r="I204" s="521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440"/>
      <c r="AM204" s="440"/>
      <c r="AN204" s="440"/>
      <c r="AO204" s="440"/>
      <c r="AP204" s="440"/>
      <c r="AQ204" s="440"/>
      <c r="AR204" s="440"/>
      <c r="AS204" s="440"/>
      <c r="AT204" s="440"/>
      <c r="AU204" s="440"/>
      <c r="AV204" s="440"/>
      <c r="AW204" s="440"/>
      <c r="AX204" s="440"/>
      <c r="AY204" s="440"/>
      <c r="AZ204" s="440"/>
      <c r="BA204" s="440"/>
      <c r="BB204" s="440"/>
      <c r="BC204" s="440"/>
      <c r="BD204" s="440"/>
      <c r="BE204" s="440"/>
      <c r="BF204" s="440"/>
      <c r="BG204" s="440"/>
      <c r="BH204" s="440"/>
      <c r="BI204" s="440"/>
      <c r="BJ204" s="440"/>
      <c r="BK204" s="440"/>
      <c r="BL204" s="440"/>
      <c r="BM204" s="440"/>
      <c r="BN204" s="440"/>
      <c r="BO204" s="440"/>
      <c r="BP204" s="440"/>
      <c r="BQ204" s="440"/>
      <c r="BR204" s="440"/>
      <c r="BS204" s="440"/>
      <c r="BT204" s="440"/>
    </row>
    <row r="205" spans="1:72" s="522" customFormat="1" ht="15.75" customHeight="1" x14ac:dyDescent="0.2">
      <c r="A205" s="454"/>
      <c r="B205" s="455"/>
      <c r="C205" s="473"/>
      <c r="D205" s="456"/>
      <c r="E205" s="456" t="s">
        <v>149</v>
      </c>
      <c r="F205" s="466" t="s">
        <v>497</v>
      </c>
      <c r="G205" s="467">
        <f>22832.85+932.86+2264.65-486.42+1128.61+1319.5</f>
        <v>27992.050000000003</v>
      </c>
      <c r="H205" s="440"/>
      <c r="I205" s="521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440"/>
      <c r="AM205" s="440"/>
      <c r="AN205" s="440"/>
      <c r="AO205" s="440"/>
      <c r="AP205" s="440"/>
      <c r="AQ205" s="440"/>
      <c r="AR205" s="440"/>
      <c r="AS205" s="440"/>
      <c r="AT205" s="440"/>
      <c r="AU205" s="440"/>
      <c r="AV205" s="440"/>
      <c r="AW205" s="440"/>
      <c r="AX205" s="440"/>
      <c r="AY205" s="440"/>
      <c r="AZ205" s="440"/>
      <c r="BA205" s="440"/>
      <c r="BB205" s="440"/>
      <c r="BC205" s="440"/>
      <c r="BD205" s="440"/>
      <c r="BE205" s="440"/>
      <c r="BF205" s="440"/>
      <c r="BG205" s="440"/>
      <c r="BH205" s="440"/>
      <c r="BI205" s="440"/>
      <c r="BJ205" s="440"/>
      <c r="BK205" s="440"/>
      <c r="BL205" s="440"/>
      <c r="BM205" s="440"/>
      <c r="BN205" s="440"/>
      <c r="BO205" s="440"/>
      <c r="BP205" s="440"/>
      <c r="BQ205" s="440"/>
      <c r="BR205" s="440"/>
      <c r="BS205" s="440"/>
      <c r="BT205" s="440"/>
    </row>
    <row r="206" spans="1:72" s="522" customFormat="1" ht="9" customHeight="1" x14ac:dyDescent="0.2">
      <c r="A206" s="454"/>
      <c r="B206" s="455"/>
      <c r="C206" s="473"/>
      <c r="D206" s="456"/>
      <c r="E206" s="457"/>
      <c r="F206" s="459"/>
      <c r="G206" s="471"/>
      <c r="H206" s="440"/>
      <c r="I206" s="521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440"/>
      <c r="AM206" s="440"/>
      <c r="AN206" s="440"/>
      <c r="AO206" s="440"/>
      <c r="AP206" s="440"/>
      <c r="AQ206" s="440"/>
      <c r="AR206" s="440"/>
      <c r="AS206" s="440"/>
      <c r="AT206" s="440"/>
      <c r="AU206" s="440"/>
      <c r="AV206" s="440"/>
      <c r="AW206" s="440"/>
      <c r="AX206" s="440"/>
      <c r="AY206" s="440"/>
      <c r="AZ206" s="440"/>
      <c r="BA206" s="440"/>
      <c r="BB206" s="440"/>
      <c r="BC206" s="440"/>
      <c r="BD206" s="440"/>
      <c r="BE206" s="440"/>
      <c r="BF206" s="440"/>
      <c r="BG206" s="440"/>
      <c r="BH206" s="440"/>
      <c r="BI206" s="440"/>
      <c r="BJ206" s="440"/>
      <c r="BK206" s="440"/>
      <c r="BL206" s="440"/>
      <c r="BM206" s="440"/>
      <c r="BN206" s="440"/>
      <c r="BO206" s="440"/>
      <c r="BP206" s="440"/>
      <c r="BQ206" s="440"/>
      <c r="BR206" s="440"/>
      <c r="BS206" s="440"/>
      <c r="BT206" s="440"/>
    </row>
    <row r="207" spans="1:72" s="522" customFormat="1" ht="20.25" customHeight="1" x14ac:dyDescent="0.2">
      <c r="A207" s="454"/>
      <c r="B207" s="524" t="s">
        <v>137</v>
      </c>
      <c r="C207" s="456"/>
      <c r="D207" s="456"/>
      <c r="E207" s="457" t="s">
        <v>497</v>
      </c>
      <c r="F207" s="459" t="s">
        <v>497</v>
      </c>
      <c r="G207" s="458">
        <f>SUM(G209)</f>
        <v>323.88</v>
      </c>
      <c r="H207" s="440"/>
      <c r="I207" s="521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  <c r="AJ207" s="440"/>
      <c r="AK207" s="440"/>
      <c r="AL207" s="440"/>
      <c r="AM207" s="440"/>
      <c r="AN207" s="440"/>
      <c r="AO207" s="440"/>
      <c r="AP207" s="440"/>
      <c r="AQ207" s="440"/>
      <c r="AR207" s="440"/>
      <c r="AS207" s="440"/>
      <c r="AT207" s="440"/>
      <c r="AU207" s="440"/>
      <c r="AV207" s="440"/>
      <c r="AW207" s="440"/>
      <c r="AX207" s="440"/>
      <c r="AY207" s="440"/>
      <c r="AZ207" s="440"/>
      <c r="BA207" s="440"/>
      <c r="BB207" s="440"/>
      <c r="BC207" s="440"/>
      <c r="BD207" s="440"/>
      <c r="BE207" s="440"/>
      <c r="BF207" s="440"/>
      <c r="BG207" s="440"/>
      <c r="BH207" s="440"/>
      <c r="BI207" s="440"/>
      <c r="BJ207" s="440"/>
      <c r="BK207" s="440"/>
      <c r="BL207" s="440"/>
      <c r="BM207" s="440"/>
      <c r="BN207" s="440"/>
      <c r="BO207" s="440"/>
      <c r="BP207" s="440"/>
      <c r="BQ207" s="440"/>
      <c r="BR207" s="440"/>
      <c r="BS207" s="440"/>
      <c r="BT207" s="440"/>
    </row>
    <row r="208" spans="1:72" s="522" customFormat="1" ht="9.75" customHeight="1" x14ac:dyDescent="0.2">
      <c r="A208" s="454"/>
      <c r="B208" s="455"/>
      <c r="C208" s="473"/>
      <c r="D208" s="456"/>
      <c r="E208" s="456"/>
      <c r="F208" s="466"/>
      <c r="G208" s="467"/>
      <c r="H208" s="440"/>
      <c r="I208" s="521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  <c r="AF208" s="440"/>
      <c r="AG208" s="440"/>
      <c r="AH208" s="440"/>
      <c r="AI208" s="440"/>
      <c r="AJ208" s="440"/>
      <c r="AK208" s="440"/>
      <c r="AL208" s="440"/>
      <c r="AM208" s="440"/>
      <c r="AN208" s="440"/>
      <c r="AO208" s="440"/>
      <c r="AP208" s="440"/>
      <c r="AQ208" s="440"/>
      <c r="AR208" s="440"/>
      <c r="AS208" s="440"/>
      <c r="AT208" s="440"/>
      <c r="AU208" s="440"/>
      <c r="AV208" s="440"/>
      <c r="AW208" s="440"/>
      <c r="AX208" s="440"/>
      <c r="AY208" s="440"/>
      <c r="AZ208" s="440"/>
      <c r="BA208" s="440"/>
      <c r="BB208" s="440"/>
      <c r="BC208" s="440"/>
      <c r="BD208" s="440"/>
      <c r="BE208" s="440"/>
      <c r="BF208" s="440"/>
      <c r="BG208" s="440"/>
      <c r="BH208" s="440"/>
      <c r="BI208" s="440"/>
      <c r="BJ208" s="440"/>
      <c r="BK208" s="440"/>
      <c r="BL208" s="440"/>
      <c r="BM208" s="440"/>
      <c r="BN208" s="440"/>
      <c r="BO208" s="440"/>
      <c r="BP208" s="440"/>
      <c r="BQ208" s="440"/>
      <c r="BR208" s="440"/>
      <c r="BS208" s="440"/>
      <c r="BT208" s="440"/>
    </row>
    <row r="209" spans="1:72" s="522" customFormat="1" ht="15.75" customHeight="1" x14ac:dyDescent="0.2">
      <c r="A209" s="454"/>
      <c r="B209" s="455"/>
      <c r="C209" s="473"/>
      <c r="D209" s="456"/>
      <c r="E209" s="456"/>
      <c r="F209" s="466"/>
      <c r="G209" s="523">
        <f>SUM(G210:G211)</f>
        <v>323.88</v>
      </c>
      <c r="H209" s="440"/>
      <c r="I209" s="521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440"/>
      <c r="AM209" s="440"/>
      <c r="AN209" s="440"/>
      <c r="AO209" s="440"/>
      <c r="AP209" s="440"/>
      <c r="AQ209" s="440"/>
      <c r="AR209" s="440"/>
      <c r="AS209" s="440"/>
      <c r="AT209" s="440"/>
      <c r="AU209" s="440"/>
      <c r="AV209" s="440"/>
      <c r="AW209" s="440"/>
      <c r="AX209" s="440"/>
      <c r="AY209" s="440"/>
      <c r="AZ209" s="440"/>
      <c r="BA209" s="440"/>
      <c r="BB209" s="440"/>
      <c r="BC209" s="440"/>
      <c r="BD209" s="440"/>
      <c r="BE209" s="440"/>
      <c r="BF209" s="440"/>
      <c r="BG209" s="440"/>
      <c r="BH209" s="440"/>
      <c r="BI209" s="440"/>
      <c r="BJ209" s="440"/>
      <c r="BK209" s="440"/>
      <c r="BL209" s="440"/>
      <c r="BM209" s="440"/>
      <c r="BN209" s="440"/>
      <c r="BO209" s="440"/>
      <c r="BP209" s="440"/>
      <c r="BQ209" s="440"/>
      <c r="BR209" s="440"/>
      <c r="BS209" s="440"/>
      <c r="BT209" s="440"/>
    </row>
    <row r="210" spans="1:72" s="522" customFormat="1" ht="15.75" customHeight="1" x14ac:dyDescent="0.2">
      <c r="A210" s="454"/>
      <c r="B210" s="455"/>
      <c r="C210" s="473"/>
      <c r="D210" s="456"/>
      <c r="E210" s="456" t="s">
        <v>157</v>
      </c>
      <c r="F210" s="466" t="s">
        <v>497</v>
      </c>
      <c r="G210" s="467">
        <f>27.23+179.69-27.23</f>
        <v>179.69</v>
      </c>
      <c r="H210" s="440"/>
      <c r="I210" s="521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  <c r="AX210" s="440"/>
      <c r="AY210" s="440"/>
      <c r="AZ210" s="440"/>
      <c r="BA210" s="440"/>
      <c r="BB210" s="440"/>
      <c r="BC210" s="440"/>
      <c r="BD210" s="440"/>
      <c r="BE210" s="440"/>
      <c r="BF210" s="440"/>
      <c r="BG210" s="440"/>
      <c r="BH210" s="440"/>
      <c r="BI210" s="440"/>
      <c r="BJ210" s="440"/>
      <c r="BK210" s="440"/>
      <c r="BL210" s="440"/>
      <c r="BM210" s="440"/>
      <c r="BN210" s="440"/>
      <c r="BO210" s="440"/>
      <c r="BP210" s="440"/>
      <c r="BQ210" s="440"/>
      <c r="BR210" s="440"/>
      <c r="BS210" s="440"/>
      <c r="BT210" s="440"/>
    </row>
    <row r="211" spans="1:72" s="522" customFormat="1" ht="15.75" customHeight="1" x14ac:dyDescent="0.2">
      <c r="A211" s="454"/>
      <c r="B211" s="455"/>
      <c r="C211" s="473"/>
      <c r="D211" s="456"/>
      <c r="E211" s="456" t="s">
        <v>149</v>
      </c>
      <c r="F211" s="466" t="s">
        <v>497</v>
      </c>
      <c r="G211" s="467">
        <f>228.59+9.31+21.15+10.02-124.88</f>
        <v>144.19</v>
      </c>
      <c r="H211" s="440"/>
      <c r="I211" s="521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  <c r="AF211" s="440"/>
      <c r="AG211" s="440"/>
      <c r="AH211" s="440"/>
      <c r="AI211" s="440"/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0"/>
      <c r="AZ211" s="440"/>
      <c r="BA211" s="440"/>
      <c r="BB211" s="440"/>
      <c r="BC211" s="440"/>
      <c r="BD211" s="440"/>
      <c r="BE211" s="440"/>
      <c r="BF211" s="440"/>
      <c r="BG211" s="440"/>
      <c r="BH211" s="440"/>
      <c r="BI211" s="440"/>
      <c r="BJ211" s="440"/>
      <c r="BK211" s="440"/>
      <c r="BL211" s="440"/>
      <c r="BM211" s="440"/>
      <c r="BN211" s="440"/>
      <c r="BO211" s="440"/>
      <c r="BP211" s="440"/>
      <c r="BQ211" s="440"/>
      <c r="BR211" s="440"/>
      <c r="BS211" s="440"/>
      <c r="BT211" s="440"/>
    </row>
    <row r="212" spans="1:72" s="522" customFormat="1" ht="15.75" customHeight="1" x14ac:dyDescent="0.2">
      <c r="A212" s="468"/>
      <c r="B212" s="469"/>
      <c r="C212" s="470"/>
      <c r="D212" s="457"/>
      <c r="E212" s="457"/>
      <c r="F212" s="459"/>
      <c r="G212" s="471"/>
      <c r="H212" s="440"/>
      <c r="I212" s="521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  <c r="AX212" s="440"/>
      <c r="AY212" s="440"/>
      <c r="AZ212" s="440"/>
      <c r="BA212" s="440"/>
      <c r="BB212" s="440"/>
      <c r="BC212" s="440"/>
      <c r="BD212" s="440"/>
      <c r="BE212" s="440"/>
      <c r="BF212" s="440"/>
      <c r="BG212" s="440"/>
      <c r="BH212" s="440"/>
      <c r="BI212" s="440"/>
      <c r="BJ212" s="440"/>
      <c r="BK212" s="440"/>
      <c r="BL212" s="440"/>
      <c r="BM212" s="440"/>
      <c r="BN212" s="440"/>
      <c r="BO212" s="440"/>
      <c r="BP212" s="440"/>
      <c r="BQ212" s="440"/>
      <c r="BR212" s="440"/>
      <c r="BS212" s="440"/>
      <c r="BT212" s="440"/>
    </row>
    <row r="213" spans="1:72" s="522" customFormat="1" ht="15.75" customHeight="1" x14ac:dyDescent="0.2">
      <c r="A213" s="454"/>
      <c r="B213" s="455"/>
      <c r="C213" s="456"/>
      <c r="D213" s="456"/>
      <c r="E213" s="457" t="s">
        <v>35</v>
      </c>
      <c r="F213" s="458">
        <f>20000</f>
        <v>20000</v>
      </c>
      <c r="G213" s="459" t="s">
        <v>497</v>
      </c>
      <c r="H213" s="440"/>
      <c r="I213" s="521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440"/>
      <c r="AD213" s="440"/>
      <c r="AE213" s="440"/>
      <c r="AF213" s="440"/>
      <c r="AG213" s="440"/>
      <c r="AH213" s="440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  <c r="AX213" s="440"/>
      <c r="AY213" s="440"/>
      <c r="AZ213" s="440"/>
      <c r="BA213" s="440"/>
      <c r="BB213" s="440"/>
      <c r="BC213" s="440"/>
      <c r="BD213" s="440"/>
      <c r="BE213" s="440"/>
      <c r="BF213" s="440"/>
      <c r="BG213" s="440"/>
      <c r="BH213" s="440"/>
      <c r="BI213" s="440"/>
      <c r="BJ213" s="440"/>
      <c r="BK213" s="440"/>
      <c r="BL213" s="440"/>
      <c r="BM213" s="440"/>
      <c r="BN213" s="440"/>
      <c r="BO213" s="440"/>
      <c r="BP213" s="440"/>
      <c r="BQ213" s="440"/>
      <c r="BR213" s="440"/>
      <c r="BS213" s="440"/>
      <c r="BT213" s="440"/>
    </row>
    <row r="214" spans="1:72" s="522" customFormat="1" ht="24" customHeight="1" x14ac:dyDescent="0.2">
      <c r="A214" s="460" t="s">
        <v>486</v>
      </c>
      <c r="B214" s="472" t="s">
        <v>541</v>
      </c>
      <c r="C214" s="456" t="s">
        <v>536</v>
      </c>
      <c r="D214" s="456" t="s">
        <v>542</v>
      </c>
      <c r="E214" s="462" t="s">
        <v>497</v>
      </c>
      <c r="F214" s="463" t="s">
        <v>497</v>
      </c>
      <c r="G214" s="464">
        <f>SUM(G216)</f>
        <v>20000</v>
      </c>
      <c r="H214" s="440"/>
      <c r="I214" s="521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40"/>
      <c r="AF214" s="440"/>
      <c r="AG214" s="440"/>
      <c r="AH214" s="440"/>
      <c r="AI214" s="440"/>
      <c r="AJ214" s="440"/>
      <c r="AK214" s="440"/>
      <c r="AL214" s="440"/>
      <c r="AM214" s="440"/>
      <c r="AN214" s="440"/>
      <c r="AO214" s="440"/>
      <c r="AP214" s="440"/>
      <c r="AQ214" s="440"/>
      <c r="AR214" s="440"/>
      <c r="AS214" s="440"/>
      <c r="AT214" s="440"/>
      <c r="AU214" s="440"/>
      <c r="AV214" s="440"/>
      <c r="AW214" s="440"/>
      <c r="AX214" s="440"/>
      <c r="AY214" s="440"/>
      <c r="AZ214" s="440"/>
      <c r="BA214" s="440"/>
      <c r="BB214" s="440"/>
      <c r="BC214" s="440"/>
      <c r="BD214" s="440"/>
      <c r="BE214" s="440"/>
      <c r="BF214" s="440"/>
      <c r="BG214" s="440"/>
      <c r="BH214" s="440"/>
      <c r="BI214" s="440"/>
      <c r="BJ214" s="440"/>
      <c r="BK214" s="440"/>
      <c r="BL214" s="440"/>
      <c r="BM214" s="440"/>
      <c r="BN214" s="440"/>
      <c r="BO214" s="440"/>
      <c r="BP214" s="440"/>
      <c r="BQ214" s="440"/>
      <c r="BR214" s="440"/>
      <c r="BS214" s="440"/>
      <c r="BT214" s="440"/>
    </row>
    <row r="215" spans="1:72" s="522" customFormat="1" ht="15.75" customHeight="1" x14ac:dyDescent="0.2">
      <c r="A215" s="454"/>
      <c r="B215" s="465"/>
      <c r="C215" s="456"/>
      <c r="D215" s="456"/>
      <c r="E215" s="456"/>
      <c r="F215" s="466"/>
      <c r="G215" s="523"/>
      <c r="H215" s="440"/>
      <c r="I215" s="521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  <c r="Z215" s="440"/>
      <c r="AA215" s="440"/>
      <c r="AB215" s="440"/>
      <c r="AC215" s="440"/>
      <c r="AD215" s="440"/>
      <c r="AE215" s="440"/>
      <c r="AF215" s="440"/>
      <c r="AG215" s="440"/>
      <c r="AH215" s="440"/>
      <c r="AI215" s="440"/>
      <c r="AJ215" s="440"/>
      <c r="AK215" s="440"/>
      <c r="AL215" s="440"/>
      <c r="AM215" s="440"/>
      <c r="AN215" s="440"/>
      <c r="AO215" s="440"/>
      <c r="AP215" s="440"/>
      <c r="AQ215" s="440"/>
      <c r="AR215" s="440"/>
      <c r="AS215" s="440"/>
      <c r="AT215" s="440"/>
      <c r="AU215" s="440"/>
      <c r="AV215" s="440"/>
      <c r="AW215" s="440"/>
      <c r="AX215" s="440"/>
      <c r="AY215" s="440"/>
      <c r="AZ215" s="440"/>
      <c r="BA215" s="440"/>
      <c r="BB215" s="440"/>
      <c r="BC215" s="440"/>
      <c r="BD215" s="440"/>
      <c r="BE215" s="440"/>
      <c r="BF215" s="440"/>
      <c r="BG215" s="440"/>
      <c r="BH215" s="440"/>
      <c r="BI215" s="440"/>
      <c r="BJ215" s="440"/>
      <c r="BK215" s="440"/>
      <c r="BL215" s="440"/>
      <c r="BM215" s="440"/>
      <c r="BN215" s="440"/>
      <c r="BO215" s="440"/>
      <c r="BP215" s="440"/>
      <c r="BQ215" s="440"/>
      <c r="BR215" s="440"/>
      <c r="BS215" s="440"/>
      <c r="BT215" s="440"/>
    </row>
    <row r="216" spans="1:72" s="522" customFormat="1" ht="15.75" customHeight="1" x14ac:dyDescent="0.2">
      <c r="A216" s="454"/>
      <c r="B216" s="524" t="s">
        <v>137</v>
      </c>
      <c r="C216" s="456"/>
      <c r="D216" s="456"/>
      <c r="E216" s="456"/>
      <c r="F216" s="466"/>
      <c r="G216" s="523">
        <f>SUM(G217:G217)</f>
        <v>20000</v>
      </c>
      <c r="H216" s="440"/>
      <c r="I216" s="521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  <c r="Z216" s="440"/>
      <c r="AA216" s="440"/>
      <c r="AB216" s="440"/>
      <c r="AC216" s="440"/>
      <c r="AD216" s="440"/>
      <c r="AE216" s="440"/>
      <c r="AF216" s="440"/>
      <c r="AG216" s="440"/>
      <c r="AH216" s="440"/>
      <c r="AI216" s="440"/>
      <c r="AJ216" s="440"/>
      <c r="AK216" s="440"/>
      <c r="AL216" s="440"/>
      <c r="AM216" s="440"/>
      <c r="AN216" s="440"/>
      <c r="AO216" s="440"/>
      <c r="AP216" s="440"/>
      <c r="AQ216" s="440"/>
      <c r="AR216" s="440"/>
      <c r="AS216" s="440"/>
      <c r="AT216" s="440"/>
      <c r="AU216" s="440"/>
      <c r="AV216" s="440"/>
      <c r="AW216" s="440"/>
      <c r="AX216" s="440"/>
      <c r="AY216" s="440"/>
      <c r="AZ216" s="440"/>
      <c r="BA216" s="440"/>
      <c r="BB216" s="440"/>
      <c r="BC216" s="440"/>
      <c r="BD216" s="440"/>
      <c r="BE216" s="440"/>
      <c r="BF216" s="440"/>
      <c r="BG216" s="440"/>
      <c r="BH216" s="440"/>
      <c r="BI216" s="440"/>
      <c r="BJ216" s="440"/>
      <c r="BK216" s="440"/>
      <c r="BL216" s="440"/>
      <c r="BM216" s="440"/>
      <c r="BN216" s="440"/>
      <c r="BO216" s="440"/>
      <c r="BP216" s="440"/>
      <c r="BQ216" s="440"/>
      <c r="BR216" s="440"/>
      <c r="BS216" s="440"/>
      <c r="BT216" s="440"/>
    </row>
    <row r="217" spans="1:72" s="522" customFormat="1" ht="15.75" customHeight="1" x14ac:dyDescent="0.2">
      <c r="A217" s="454"/>
      <c r="B217" s="455"/>
      <c r="C217" s="473"/>
      <c r="D217" s="456"/>
      <c r="E217" s="456" t="s">
        <v>500</v>
      </c>
      <c r="F217" s="466" t="s">
        <v>497</v>
      </c>
      <c r="G217" s="467">
        <v>20000</v>
      </c>
      <c r="H217" s="440"/>
      <c r="I217" s="521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440"/>
      <c r="AD217" s="440"/>
      <c r="AE217" s="440"/>
      <c r="AF217" s="440"/>
      <c r="AG217" s="440"/>
      <c r="AH217" s="440"/>
      <c r="AI217" s="440"/>
      <c r="AJ217" s="440"/>
      <c r="AK217" s="440"/>
      <c r="AL217" s="440"/>
      <c r="AM217" s="440"/>
      <c r="AN217" s="440"/>
      <c r="AO217" s="440"/>
      <c r="AP217" s="440"/>
      <c r="AQ217" s="440"/>
      <c r="AR217" s="440"/>
      <c r="AS217" s="440"/>
      <c r="AT217" s="440"/>
      <c r="AU217" s="440"/>
      <c r="AV217" s="440"/>
      <c r="AW217" s="440"/>
      <c r="AX217" s="440"/>
      <c r="AY217" s="440"/>
      <c r="AZ217" s="440"/>
      <c r="BA217" s="440"/>
      <c r="BB217" s="440"/>
      <c r="BC217" s="440"/>
      <c r="BD217" s="440"/>
      <c r="BE217" s="440"/>
      <c r="BF217" s="440"/>
      <c r="BG217" s="440"/>
      <c r="BH217" s="440"/>
      <c r="BI217" s="440"/>
      <c r="BJ217" s="440"/>
      <c r="BK217" s="440"/>
      <c r="BL217" s="440"/>
      <c r="BM217" s="440"/>
      <c r="BN217" s="440"/>
      <c r="BO217" s="440"/>
      <c r="BP217" s="440"/>
      <c r="BQ217" s="440"/>
      <c r="BR217" s="440"/>
      <c r="BS217" s="440"/>
      <c r="BT217" s="440"/>
    </row>
    <row r="218" spans="1:72" s="522" customFormat="1" ht="15.75" customHeight="1" x14ac:dyDescent="0.2">
      <c r="A218" s="468"/>
      <c r="B218" s="469"/>
      <c r="C218" s="470"/>
      <c r="D218" s="457"/>
      <c r="E218" s="457"/>
      <c r="F218" s="459"/>
      <c r="G218" s="471"/>
      <c r="H218" s="440"/>
      <c r="I218" s="521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  <c r="Z218" s="440"/>
      <c r="AA218" s="440"/>
      <c r="AB218" s="440"/>
      <c r="AC218" s="440"/>
      <c r="AD218" s="440"/>
      <c r="AE218" s="440"/>
      <c r="AF218" s="440"/>
      <c r="AG218" s="440"/>
      <c r="AH218" s="440"/>
      <c r="AI218" s="440"/>
      <c r="AJ218" s="440"/>
      <c r="AK218" s="440"/>
      <c r="AL218" s="440"/>
      <c r="AM218" s="440"/>
      <c r="AN218" s="440"/>
      <c r="AO218" s="440"/>
      <c r="AP218" s="440"/>
      <c r="AQ218" s="440"/>
      <c r="AR218" s="440"/>
      <c r="AS218" s="440"/>
      <c r="AT218" s="440"/>
      <c r="AU218" s="440"/>
      <c r="AV218" s="440"/>
      <c r="AW218" s="440"/>
      <c r="AX218" s="440"/>
      <c r="AY218" s="440"/>
      <c r="AZ218" s="440"/>
      <c r="BA218" s="440"/>
      <c r="BB218" s="440"/>
      <c r="BC218" s="440"/>
      <c r="BD218" s="440"/>
      <c r="BE218" s="440"/>
      <c r="BF218" s="440"/>
      <c r="BG218" s="440"/>
      <c r="BH218" s="440"/>
      <c r="BI218" s="440"/>
      <c r="BJ218" s="440"/>
      <c r="BK218" s="440"/>
      <c r="BL218" s="440"/>
      <c r="BM218" s="440"/>
      <c r="BN218" s="440"/>
      <c r="BO218" s="440"/>
      <c r="BP218" s="440"/>
      <c r="BQ218" s="440"/>
      <c r="BR218" s="440"/>
      <c r="BS218" s="440"/>
      <c r="BT218" s="440"/>
    </row>
    <row r="219" spans="1:72" s="522" customFormat="1" ht="15.75" customHeight="1" x14ac:dyDescent="0.2">
      <c r="A219" s="454"/>
      <c r="B219" s="455"/>
      <c r="C219" s="456"/>
      <c r="D219" s="456"/>
      <c r="E219" s="457" t="s">
        <v>35</v>
      </c>
      <c r="F219" s="458">
        <f>12013</f>
        <v>12013</v>
      </c>
      <c r="G219" s="459" t="s">
        <v>497</v>
      </c>
      <c r="H219" s="440"/>
      <c r="I219" s="521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  <c r="AJ219" s="440"/>
      <c r="AK219" s="440"/>
      <c r="AL219" s="440"/>
      <c r="AM219" s="440"/>
      <c r="AN219" s="440"/>
      <c r="AO219" s="440"/>
      <c r="AP219" s="440"/>
      <c r="AQ219" s="440"/>
      <c r="AR219" s="440"/>
      <c r="AS219" s="440"/>
      <c r="AT219" s="440"/>
      <c r="AU219" s="440"/>
      <c r="AV219" s="440"/>
      <c r="AW219" s="440"/>
      <c r="AX219" s="440"/>
      <c r="AY219" s="440"/>
      <c r="AZ219" s="440"/>
      <c r="BA219" s="440"/>
      <c r="BB219" s="440"/>
      <c r="BC219" s="440"/>
      <c r="BD219" s="440"/>
      <c r="BE219" s="440"/>
      <c r="BF219" s="440"/>
      <c r="BG219" s="440"/>
      <c r="BH219" s="440"/>
      <c r="BI219" s="440"/>
      <c r="BJ219" s="440"/>
      <c r="BK219" s="440"/>
      <c r="BL219" s="440"/>
      <c r="BM219" s="440"/>
      <c r="BN219" s="440"/>
      <c r="BO219" s="440"/>
      <c r="BP219" s="440"/>
      <c r="BQ219" s="440"/>
      <c r="BR219" s="440"/>
      <c r="BS219" s="440"/>
      <c r="BT219" s="440"/>
    </row>
    <row r="220" spans="1:72" s="522" customFormat="1" ht="37.9" customHeight="1" x14ac:dyDescent="0.2">
      <c r="A220" s="460" t="s">
        <v>543</v>
      </c>
      <c r="B220" s="472" t="s">
        <v>544</v>
      </c>
      <c r="C220" s="456" t="s">
        <v>502</v>
      </c>
      <c r="D220" s="456" t="s">
        <v>545</v>
      </c>
      <c r="E220" s="462" t="s">
        <v>497</v>
      </c>
      <c r="F220" s="463" t="s">
        <v>497</v>
      </c>
      <c r="G220" s="464">
        <f>SUM(G222)</f>
        <v>12013</v>
      </c>
      <c r="H220" s="440"/>
      <c r="I220" s="521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  <c r="AF220" s="440"/>
      <c r="AG220" s="440"/>
      <c r="AH220" s="440"/>
      <c r="AI220" s="440"/>
      <c r="AJ220" s="440"/>
      <c r="AK220" s="440"/>
      <c r="AL220" s="440"/>
      <c r="AM220" s="440"/>
      <c r="AN220" s="440"/>
      <c r="AO220" s="440"/>
      <c r="AP220" s="440"/>
      <c r="AQ220" s="440"/>
      <c r="AR220" s="440"/>
      <c r="AS220" s="440"/>
      <c r="AT220" s="440"/>
      <c r="AU220" s="440"/>
      <c r="AV220" s="440"/>
      <c r="AW220" s="440"/>
      <c r="AX220" s="440"/>
      <c r="AY220" s="440"/>
      <c r="AZ220" s="440"/>
      <c r="BA220" s="440"/>
      <c r="BB220" s="440"/>
      <c r="BC220" s="440"/>
      <c r="BD220" s="440"/>
      <c r="BE220" s="440"/>
      <c r="BF220" s="440"/>
      <c r="BG220" s="440"/>
      <c r="BH220" s="440"/>
      <c r="BI220" s="440"/>
      <c r="BJ220" s="440"/>
      <c r="BK220" s="440"/>
      <c r="BL220" s="440"/>
      <c r="BM220" s="440"/>
      <c r="BN220" s="440"/>
      <c r="BO220" s="440"/>
      <c r="BP220" s="440"/>
      <c r="BQ220" s="440"/>
      <c r="BR220" s="440"/>
      <c r="BS220" s="440"/>
      <c r="BT220" s="440"/>
    </row>
    <row r="221" spans="1:72" s="522" customFormat="1" ht="15.75" customHeight="1" x14ac:dyDescent="0.2">
      <c r="A221" s="454"/>
      <c r="B221" s="465"/>
      <c r="C221" s="456"/>
      <c r="D221" s="456"/>
      <c r="E221" s="456"/>
      <c r="F221" s="466"/>
      <c r="G221" s="523"/>
      <c r="H221" s="440"/>
      <c r="I221" s="521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440"/>
      <c r="AD221" s="440"/>
      <c r="AE221" s="440"/>
      <c r="AF221" s="440"/>
      <c r="AG221" s="440"/>
      <c r="AH221" s="440"/>
      <c r="AI221" s="440"/>
      <c r="AJ221" s="440"/>
      <c r="AK221" s="440"/>
      <c r="AL221" s="440"/>
      <c r="AM221" s="440"/>
      <c r="AN221" s="440"/>
      <c r="AO221" s="440"/>
      <c r="AP221" s="440"/>
      <c r="AQ221" s="440"/>
      <c r="AR221" s="440"/>
      <c r="AS221" s="440"/>
      <c r="AT221" s="440"/>
      <c r="AU221" s="440"/>
      <c r="AV221" s="440"/>
      <c r="AW221" s="440"/>
      <c r="AX221" s="440"/>
      <c r="AY221" s="440"/>
      <c r="AZ221" s="440"/>
      <c r="BA221" s="440"/>
      <c r="BB221" s="440"/>
      <c r="BC221" s="440"/>
      <c r="BD221" s="440"/>
      <c r="BE221" s="440"/>
      <c r="BF221" s="440"/>
      <c r="BG221" s="440"/>
      <c r="BH221" s="440"/>
      <c r="BI221" s="440"/>
      <c r="BJ221" s="440"/>
      <c r="BK221" s="440"/>
      <c r="BL221" s="440"/>
      <c r="BM221" s="440"/>
      <c r="BN221" s="440"/>
      <c r="BO221" s="440"/>
      <c r="BP221" s="440"/>
      <c r="BQ221" s="440"/>
      <c r="BR221" s="440"/>
      <c r="BS221" s="440"/>
      <c r="BT221" s="440"/>
    </row>
    <row r="222" spans="1:72" s="522" customFormat="1" ht="15.75" customHeight="1" x14ac:dyDescent="0.2">
      <c r="A222" s="454"/>
      <c r="B222" s="524" t="s">
        <v>546</v>
      </c>
      <c r="C222" s="456"/>
      <c r="D222" s="456"/>
      <c r="E222" s="456"/>
      <c r="F222" s="466"/>
      <c r="G222" s="523">
        <f>SUM(G223:G226)</f>
        <v>12013</v>
      </c>
      <c r="H222" s="440"/>
      <c r="I222" s="521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440"/>
      <c r="AD222" s="440"/>
      <c r="AE222" s="440"/>
      <c r="AF222" s="440"/>
      <c r="AG222" s="440"/>
      <c r="AH222" s="440"/>
      <c r="AI222" s="440"/>
      <c r="AJ222" s="440"/>
      <c r="AK222" s="440"/>
      <c r="AL222" s="440"/>
      <c r="AM222" s="440"/>
      <c r="AN222" s="440"/>
      <c r="AO222" s="440"/>
      <c r="AP222" s="440"/>
      <c r="AQ222" s="440"/>
      <c r="AR222" s="440"/>
      <c r="AS222" s="440"/>
      <c r="AT222" s="440"/>
      <c r="AU222" s="440"/>
      <c r="AV222" s="440"/>
      <c r="AW222" s="440"/>
      <c r="AX222" s="440"/>
      <c r="AY222" s="440"/>
      <c r="AZ222" s="440"/>
      <c r="BA222" s="440"/>
      <c r="BB222" s="440"/>
      <c r="BC222" s="440"/>
      <c r="BD222" s="440"/>
      <c r="BE222" s="440"/>
      <c r="BF222" s="440"/>
      <c r="BG222" s="440"/>
      <c r="BH222" s="440"/>
      <c r="BI222" s="440"/>
      <c r="BJ222" s="440"/>
      <c r="BK222" s="440"/>
      <c r="BL222" s="440"/>
      <c r="BM222" s="440"/>
      <c r="BN222" s="440"/>
      <c r="BO222" s="440"/>
      <c r="BP222" s="440"/>
      <c r="BQ222" s="440"/>
      <c r="BR222" s="440"/>
      <c r="BS222" s="440"/>
      <c r="BT222" s="440"/>
    </row>
    <row r="223" spans="1:72" s="522" customFormat="1" ht="15.75" customHeight="1" x14ac:dyDescent="0.2">
      <c r="A223" s="454"/>
      <c r="B223" s="455"/>
      <c r="C223" s="473"/>
      <c r="D223" s="456"/>
      <c r="E223" s="456" t="s">
        <v>149</v>
      </c>
      <c r="F223" s="466" t="s">
        <v>497</v>
      </c>
      <c r="G223" s="467">
        <f>961</f>
        <v>961</v>
      </c>
      <c r="H223" s="440"/>
      <c r="I223" s="521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440"/>
      <c r="AD223" s="440"/>
      <c r="AE223" s="440"/>
      <c r="AF223" s="440"/>
      <c r="AG223" s="440"/>
      <c r="AH223" s="440"/>
      <c r="AI223" s="440"/>
      <c r="AJ223" s="440"/>
      <c r="AK223" s="440"/>
      <c r="AL223" s="440"/>
      <c r="AM223" s="440"/>
      <c r="AN223" s="440"/>
      <c r="AO223" s="440"/>
      <c r="AP223" s="440"/>
      <c r="AQ223" s="440"/>
      <c r="AR223" s="440"/>
      <c r="AS223" s="440"/>
      <c r="AT223" s="440"/>
      <c r="AU223" s="440"/>
      <c r="AV223" s="440"/>
      <c r="AW223" s="440"/>
      <c r="AX223" s="440"/>
      <c r="AY223" s="440"/>
      <c r="AZ223" s="440"/>
      <c r="BA223" s="440"/>
      <c r="BB223" s="440"/>
      <c r="BC223" s="440"/>
      <c r="BD223" s="440"/>
      <c r="BE223" s="440"/>
      <c r="BF223" s="440"/>
      <c r="BG223" s="440"/>
      <c r="BH223" s="440"/>
      <c r="BI223" s="440"/>
      <c r="BJ223" s="440"/>
      <c r="BK223" s="440"/>
      <c r="BL223" s="440"/>
      <c r="BM223" s="440"/>
      <c r="BN223" s="440"/>
      <c r="BO223" s="440"/>
      <c r="BP223" s="440"/>
      <c r="BQ223" s="440"/>
      <c r="BR223" s="440"/>
      <c r="BS223" s="440"/>
      <c r="BT223" s="440"/>
    </row>
    <row r="224" spans="1:72" s="522" customFormat="1" ht="15.75" customHeight="1" x14ac:dyDescent="0.2">
      <c r="A224" s="454"/>
      <c r="B224" s="455"/>
      <c r="C224" s="473"/>
      <c r="D224" s="456"/>
      <c r="E224" s="456" t="s">
        <v>151</v>
      </c>
      <c r="F224" s="466" t="s">
        <v>497</v>
      </c>
      <c r="G224" s="467">
        <f>1562</f>
        <v>1562</v>
      </c>
      <c r="H224" s="440"/>
      <c r="I224" s="521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0"/>
      <c r="AF224" s="440"/>
      <c r="AG224" s="440"/>
      <c r="AH224" s="440"/>
      <c r="AI224" s="440"/>
      <c r="AJ224" s="440"/>
      <c r="AK224" s="440"/>
      <c r="AL224" s="440"/>
      <c r="AM224" s="440"/>
      <c r="AN224" s="440"/>
      <c r="AO224" s="440"/>
      <c r="AP224" s="440"/>
      <c r="AQ224" s="440"/>
      <c r="AR224" s="440"/>
      <c r="AS224" s="440"/>
      <c r="AT224" s="440"/>
      <c r="AU224" s="440"/>
      <c r="AV224" s="440"/>
      <c r="AW224" s="440"/>
      <c r="AX224" s="440"/>
      <c r="AY224" s="440"/>
      <c r="AZ224" s="440"/>
      <c r="BA224" s="440"/>
      <c r="BB224" s="440"/>
      <c r="BC224" s="440"/>
      <c r="BD224" s="440"/>
      <c r="BE224" s="440"/>
      <c r="BF224" s="440"/>
      <c r="BG224" s="440"/>
      <c r="BH224" s="440"/>
      <c r="BI224" s="440"/>
      <c r="BJ224" s="440"/>
      <c r="BK224" s="440"/>
      <c r="BL224" s="440"/>
      <c r="BM224" s="440"/>
      <c r="BN224" s="440"/>
      <c r="BO224" s="440"/>
      <c r="BP224" s="440"/>
      <c r="BQ224" s="440"/>
      <c r="BR224" s="440"/>
      <c r="BS224" s="440"/>
      <c r="BT224" s="440"/>
    </row>
    <row r="225" spans="1:16135" s="522" customFormat="1" ht="15.75" customHeight="1" x14ac:dyDescent="0.2">
      <c r="A225" s="454"/>
      <c r="B225" s="455"/>
      <c r="C225" s="473"/>
      <c r="D225" s="456"/>
      <c r="E225" s="456" t="s">
        <v>504</v>
      </c>
      <c r="F225" s="466" t="s">
        <v>497</v>
      </c>
      <c r="G225" s="467">
        <f>7808</f>
        <v>7808</v>
      </c>
      <c r="H225" s="440"/>
      <c r="I225" s="521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0"/>
      <c r="AF225" s="440"/>
      <c r="AG225" s="440"/>
      <c r="AH225" s="440"/>
      <c r="AI225" s="440"/>
      <c r="AJ225" s="440"/>
      <c r="AK225" s="440"/>
      <c r="AL225" s="440"/>
      <c r="AM225" s="440"/>
      <c r="AN225" s="440"/>
      <c r="AO225" s="440"/>
      <c r="AP225" s="440"/>
      <c r="AQ225" s="440"/>
      <c r="AR225" s="440"/>
      <c r="AS225" s="440"/>
      <c r="AT225" s="440"/>
      <c r="AU225" s="440"/>
      <c r="AV225" s="440"/>
      <c r="AW225" s="440"/>
      <c r="AX225" s="440"/>
      <c r="AY225" s="440"/>
      <c r="AZ225" s="440"/>
      <c r="BA225" s="440"/>
      <c r="BB225" s="440"/>
      <c r="BC225" s="440"/>
      <c r="BD225" s="440"/>
      <c r="BE225" s="440"/>
      <c r="BF225" s="440"/>
      <c r="BG225" s="440"/>
      <c r="BH225" s="440"/>
      <c r="BI225" s="440"/>
      <c r="BJ225" s="440"/>
      <c r="BK225" s="440"/>
      <c r="BL225" s="440"/>
      <c r="BM225" s="440"/>
      <c r="BN225" s="440"/>
      <c r="BO225" s="440"/>
      <c r="BP225" s="440"/>
      <c r="BQ225" s="440"/>
      <c r="BR225" s="440"/>
      <c r="BS225" s="440"/>
      <c r="BT225" s="440"/>
    </row>
    <row r="226" spans="1:16135" s="522" customFormat="1" ht="15.75" customHeight="1" x14ac:dyDescent="0.2">
      <c r="A226" s="454"/>
      <c r="B226" s="455"/>
      <c r="C226" s="473"/>
      <c r="D226" s="456"/>
      <c r="E226" s="456" t="s">
        <v>505</v>
      </c>
      <c r="F226" s="466" t="s">
        <v>497</v>
      </c>
      <c r="G226" s="467">
        <f>1682</f>
        <v>1682</v>
      </c>
      <c r="H226" s="440"/>
      <c r="I226" s="521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  <c r="AF226" s="440"/>
      <c r="AG226" s="440"/>
      <c r="AH226" s="440"/>
      <c r="AI226" s="440"/>
      <c r="AJ226" s="440"/>
      <c r="AK226" s="440"/>
      <c r="AL226" s="440"/>
      <c r="AM226" s="440"/>
      <c r="AN226" s="440"/>
      <c r="AO226" s="440"/>
      <c r="AP226" s="440"/>
      <c r="AQ226" s="440"/>
      <c r="AR226" s="440"/>
      <c r="AS226" s="440"/>
      <c r="AT226" s="440"/>
      <c r="AU226" s="440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0"/>
      <c r="BH226" s="440"/>
      <c r="BI226" s="440"/>
      <c r="BJ226" s="440"/>
      <c r="BK226" s="440"/>
      <c r="BL226" s="440"/>
      <c r="BM226" s="440"/>
      <c r="BN226" s="440"/>
      <c r="BO226" s="440"/>
      <c r="BP226" s="440"/>
      <c r="BQ226" s="440"/>
      <c r="BR226" s="440"/>
      <c r="BS226" s="440"/>
      <c r="BT226" s="440"/>
    </row>
    <row r="227" spans="1:16135" s="522" customFormat="1" ht="12" customHeight="1" x14ac:dyDescent="0.2">
      <c r="A227" s="468"/>
      <c r="B227" s="469"/>
      <c r="C227" s="470"/>
      <c r="D227" s="457"/>
      <c r="E227" s="457"/>
      <c r="F227" s="459"/>
      <c r="G227" s="471"/>
      <c r="H227" s="440"/>
      <c r="I227" s="521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  <c r="AF227" s="440"/>
      <c r="AG227" s="440"/>
      <c r="AH227" s="440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0"/>
      <c r="BH227" s="440"/>
      <c r="BI227" s="440"/>
      <c r="BJ227" s="440"/>
      <c r="BK227" s="440"/>
      <c r="BL227" s="440"/>
      <c r="BM227" s="440"/>
      <c r="BN227" s="440"/>
      <c r="BO227" s="440"/>
      <c r="BP227" s="440"/>
      <c r="BQ227" s="440"/>
      <c r="BR227" s="440"/>
      <c r="BS227" s="440"/>
      <c r="BT227" s="440"/>
    </row>
    <row r="228" spans="1:16135" s="450" customFormat="1" ht="27" customHeight="1" x14ac:dyDescent="0.2">
      <c r="A228" s="528"/>
      <c r="B228" s="529" t="s">
        <v>312</v>
      </c>
      <c r="C228" s="530"/>
      <c r="D228" s="531"/>
      <c r="E228" s="532"/>
      <c r="F228" s="532">
        <f>SUM(F12,F18,F27,F35,F43,F53,F61,F67,F74,F199,F213,F219)</f>
        <v>5697848.6299999999</v>
      </c>
      <c r="G228" s="532">
        <f>SUM(G13,G19,G28,G36,G44,G54,G62,G68,G75,G200,G214,G220)</f>
        <v>5851176.4399999995</v>
      </c>
      <c r="H228" s="448"/>
      <c r="I228" s="449"/>
      <c r="J228" s="448"/>
      <c r="K228" s="448"/>
      <c r="L228" s="448"/>
      <c r="M228" s="448"/>
      <c r="N228" s="448"/>
      <c r="O228" s="448"/>
      <c r="P228" s="448"/>
      <c r="Q228" s="448"/>
      <c r="R228" s="448"/>
      <c r="S228" s="448"/>
      <c r="T228" s="448"/>
      <c r="U228" s="448"/>
      <c r="V228" s="448"/>
      <c r="W228" s="448"/>
      <c r="X228" s="448"/>
      <c r="Y228" s="448"/>
      <c r="Z228" s="448"/>
      <c r="AA228" s="448"/>
      <c r="AB228" s="448"/>
      <c r="AC228" s="448"/>
      <c r="AD228" s="448"/>
      <c r="AE228" s="448"/>
      <c r="AF228" s="448"/>
      <c r="AG228" s="448"/>
      <c r="AH228" s="448"/>
      <c r="AI228" s="448"/>
      <c r="AJ228" s="448"/>
      <c r="AK228" s="448"/>
      <c r="AL228" s="448"/>
      <c r="AM228" s="448"/>
      <c r="AN228" s="448"/>
      <c r="AO228" s="448"/>
      <c r="AP228" s="448"/>
      <c r="AQ228" s="448"/>
      <c r="AR228" s="448"/>
      <c r="AS228" s="448"/>
      <c r="AT228" s="448"/>
      <c r="AU228" s="448"/>
      <c r="AV228" s="448"/>
      <c r="AW228" s="448"/>
      <c r="AX228" s="448"/>
      <c r="AY228" s="448"/>
      <c r="AZ228" s="448"/>
      <c r="BA228" s="448"/>
      <c r="BB228" s="448"/>
      <c r="BC228" s="448"/>
      <c r="BD228" s="448"/>
      <c r="BE228" s="448"/>
      <c r="BF228" s="448"/>
      <c r="BG228" s="448"/>
      <c r="BH228" s="448"/>
      <c r="BI228" s="448"/>
      <c r="BJ228" s="448"/>
      <c r="BK228" s="448"/>
      <c r="BL228" s="448"/>
      <c r="BM228" s="448"/>
      <c r="BN228" s="448"/>
      <c r="BO228" s="448"/>
      <c r="BP228" s="448"/>
      <c r="BQ228" s="448"/>
      <c r="BR228" s="448"/>
      <c r="BS228" s="448"/>
      <c r="BT228" s="448"/>
    </row>
    <row r="229" spans="1:16135" x14ac:dyDescent="0.25">
      <c r="F229" s="520"/>
      <c r="G229" s="520"/>
    </row>
    <row r="230" spans="1:16135" customFormat="1" x14ac:dyDescent="0.25">
      <c r="A230" s="533"/>
      <c r="B230" s="514"/>
      <c r="C230" s="514"/>
      <c r="D230" s="514"/>
      <c r="E230" s="514"/>
      <c r="F230" s="520"/>
      <c r="G230" s="520"/>
      <c r="I230" s="54"/>
      <c r="BY230" s="514"/>
      <c r="BZ230" s="514"/>
      <c r="CA230" s="514"/>
      <c r="CB230" s="514"/>
      <c r="CC230" s="514"/>
      <c r="CD230" s="514"/>
      <c r="CE230" s="514"/>
      <c r="CF230" s="514"/>
      <c r="CG230" s="514"/>
      <c r="CH230" s="514"/>
      <c r="CI230" s="514"/>
      <c r="CJ230" s="514"/>
      <c r="CK230" s="514"/>
      <c r="CL230" s="514"/>
      <c r="CM230" s="514"/>
      <c r="CN230" s="514"/>
      <c r="CO230" s="514"/>
      <c r="CP230" s="514"/>
      <c r="CQ230" s="514"/>
      <c r="CR230" s="514"/>
      <c r="CS230" s="514"/>
      <c r="CT230" s="514"/>
      <c r="CU230" s="514"/>
      <c r="CV230" s="514"/>
      <c r="CW230" s="514"/>
      <c r="CX230" s="514"/>
      <c r="CY230" s="514"/>
      <c r="CZ230" s="514"/>
      <c r="DA230" s="514"/>
      <c r="DB230" s="514"/>
      <c r="DC230" s="514"/>
      <c r="DD230" s="514"/>
      <c r="DE230" s="514"/>
      <c r="DF230" s="514"/>
      <c r="DG230" s="514"/>
      <c r="DH230" s="514"/>
      <c r="DI230" s="514"/>
      <c r="DJ230" s="514"/>
      <c r="DK230" s="514"/>
      <c r="DL230" s="514"/>
      <c r="DM230" s="514"/>
      <c r="DN230" s="514"/>
      <c r="DO230" s="514"/>
      <c r="DP230" s="514"/>
      <c r="DQ230" s="514"/>
      <c r="DR230" s="514"/>
      <c r="DS230" s="514"/>
      <c r="DT230" s="514"/>
      <c r="DU230" s="514"/>
      <c r="DV230" s="514"/>
      <c r="DW230" s="514"/>
      <c r="DX230" s="514"/>
      <c r="DY230" s="514"/>
      <c r="DZ230" s="514"/>
      <c r="EA230" s="514"/>
      <c r="EB230" s="514"/>
      <c r="EC230" s="514"/>
      <c r="ED230" s="514"/>
      <c r="EE230" s="514"/>
      <c r="EF230" s="514"/>
      <c r="EG230" s="514"/>
      <c r="EH230" s="514"/>
      <c r="EI230" s="514"/>
      <c r="EJ230" s="514"/>
      <c r="EK230" s="514"/>
      <c r="EL230" s="514"/>
      <c r="EM230" s="514"/>
      <c r="EN230" s="514"/>
      <c r="EO230" s="514"/>
      <c r="EP230" s="514"/>
      <c r="EQ230" s="514"/>
      <c r="ER230" s="514"/>
      <c r="ES230" s="514"/>
      <c r="ET230" s="514"/>
      <c r="EU230" s="514"/>
      <c r="EV230" s="514"/>
      <c r="EW230" s="514"/>
      <c r="EX230" s="514"/>
      <c r="EY230" s="514"/>
      <c r="EZ230" s="514"/>
      <c r="FA230" s="514"/>
      <c r="FB230" s="514"/>
      <c r="FC230" s="514"/>
      <c r="FD230" s="514"/>
      <c r="FE230" s="514"/>
      <c r="FF230" s="514"/>
      <c r="FG230" s="514"/>
      <c r="FH230" s="514"/>
      <c r="FI230" s="514"/>
      <c r="FJ230" s="514"/>
      <c r="FK230" s="514"/>
      <c r="FL230" s="514"/>
      <c r="FM230" s="514"/>
      <c r="FN230" s="514"/>
      <c r="FO230" s="514"/>
      <c r="FP230" s="514"/>
      <c r="FQ230" s="514"/>
      <c r="FR230" s="514"/>
      <c r="FS230" s="514"/>
      <c r="FT230" s="514"/>
      <c r="FU230" s="514"/>
      <c r="FV230" s="514"/>
      <c r="FW230" s="514"/>
      <c r="FX230" s="514"/>
      <c r="FY230" s="514"/>
      <c r="FZ230" s="514"/>
      <c r="GA230" s="514"/>
      <c r="GB230" s="514"/>
      <c r="GC230" s="514"/>
      <c r="GD230" s="514"/>
      <c r="GE230" s="514"/>
      <c r="GF230" s="514"/>
      <c r="GG230" s="514"/>
      <c r="GH230" s="514"/>
      <c r="GI230" s="514"/>
      <c r="GJ230" s="514"/>
      <c r="GK230" s="514"/>
      <c r="GL230" s="514"/>
      <c r="GM230" s="514"/>
      <c r="GN230" s="514"/>
      <c r="GO230" s="514"/>
      <c r="GP230" s="514"/>
      <c r="GQ230" s="514"/>
      <c r="GR230" s="514"/>
      <c r="GS230" s="514"/>
      <c r="GT230" s="514"/>
      <c r="GU230" s="514"/>
      <c r="GV230" s="514"/>
      <c r="GW230" s="514"/>
      <c r="GX230" s="514"/>
      <c r="GY230" s="514"/>
      <c r="GZ230" s="514"/>
      <c r="HA230" s="514"/>
      <c r="HB230" s="514"/>
      <c r="HC230" s="514"/>
      <c r="HD230" s="514"/>
      <c r="HE230" s="514"/>
      <c r="HF230" s="514"/>
      <c r="HG230" s="514"/>
      <c r="HH230" s="514"/>
      <c r="HI230" s="514"/>
      <c r="HJ230" s="514"/>
      <c r="HK230" s="514"/>
      <c r="HL230" s="514"/>
      <c r="HM230" s="514"/>
      <c r="HN230" s="514"/>
      <c r="HO230" s="514"/>
      <c r="HP230" s="514"/>
      <c r="HQ230" s="514"/>
      <c r="HR230" s="514"/>
      <c r="HS230" s="514"/>
      <c r="HT230" s="514"/>
      <c r="HU230" s="514"/>
      <c r="HV230" s="514"/>
      <c r="HW230" s="514"/>
      <c r="HX230" s="514"/>
      <c r="HY230" s="514"/>
      <c r="HZ230" s="514"/>
      <c r="IA230" s="514"/>
      <c r="IB230" s="514"/>
      <c r="IC230" s="514"/>
      <c r="ID230" s="514"/>
      <c r="IE230" s="514"/>
      <c r="IF230" s="514"/>
      <c r="IG230" s="514"/>
      <c r="IH230" s="514"/>
      <c r="II230" s="514"/>
      <c r="IJ230" s="514"/>
      <c r="IK230" s="514"/>
      <c r="IL230" s="514"/>
      <c r="IM230" s="514"/>
      <c r="IN230" s="514"/>
      <c r="IO230" s="514"/>
      <c r="IP230" s="514"/>
      <c r="IQ230" s="514"/>
      <c r="IR230" s="514"/>
      <c r="IS230" s="514"/>
      <c r="IT230" s="514"/>
      <c r="IU230" s="514"/>
      <c r="IV230" s="514"/>
      <c r="IW230" s="514"/>
      <c r="IX230" s="514"/>
      <c r="IY230" s="514"/>
      <c r="IZ230" s="514"/>
      <c r="JA230" s="514"/>
      <c r="JB230" s="514"/>
      <c r="JC230" s="514"/>
      <c r="JD230" s="514"/>
      <c r="JE230" s="514"/>
      <c r="JF230" s="514"/>
      <c r="JG230" s="514"/>
      <c r="JH230" s="514"/>
      <c r="JI230" s="514"/>
      <c r="JJ230" s="514"/>
      <c r="JK230" s="514"/>
      <c r="JL230" s="514"/>
      <c r="JM230" s="514"/>
      <c r="JN230" s="514"/>
      <c r="JO230" s="514"/>
      <c r="JP230" s="514"/>
      <c r="JQ230" s="514"/>
      <c r="JR230" s="514"/>
      <c r="JS230" s="514"/>
      <c r="JT230" s="514"/>
      <c r="JU230" s="514"/>
      <c r="JV230" s="514"/>
      <c r="JW230" s="514"/>
      <c r="JX230" s="514"/>
      <c r="JY230" s="514"/>
      <c r="JZ230" s="514"/>
      <c r="KA230" s="514"/>
      <c r="KB230" s="514"/>
      <c r="KC230" s="514"/>
      <c r="KD230" s="514"/>
      <c r="KE230" s="514"/>
      <c r="KF230" s="514"/>
      <c r="KG230" s="514"/>
      <c r="KH230" s="514"/>
      <c r="KI230" s="514"/>
      <c r="KJ230" s="514"/>
      <c r="KK230" s="514"/>
      <c r="KL230" s="514"/>
      <c r="KM230" s="514"/>
      <c r="KN230" s="514"/>
      <c r="KO230" s="514"/>
      <c r="KP230" s="514"/>
      <c r="KQ230" s="514"/>
      <c r="KR230" s="514"/>
      <c r="KS230" s="514"/>
      <c r="KT230" s="514"/>
      <c r="KU230" s="514"/>
      <c r="KV230" s="514"/>
      <c r="KW230" s="514"/>
      <c r="KX230" s="514"/>
      <c r="KY230" s="514"/>
      <c r="KZ230" s="514"/>
      <c r="LA230" s="514"/>
      <c r="LB230" s="514"/>
      <c r="LC230" s="514"/>
      <c r="LD230" s="514"/>
      <c r="LE230" s="514"/>
      <c r="LF230" s="514"/>
      <c r="LG230" s="514"/>
      <c r="LH230" s="514"/>
      <c r="LI230" s="514"/>
      <c r="LJ230" s="514"/>
      <c r="LK230" s="514"/>
      <c r="LL230" s="514"/>
      <c r="LM230" s="514"/>
      <c r="LN230" s="514"/>
      <c r="LO230" s="514"/>
      <c r="LP230" s="514"/>
      <c r="LQ230" s="514"/>
      <c r="LR230" s="514"/>
      <c r="LS230" s="514"/>
      <c r="LT230" s="514"/>
      <c r="LU230" s="514"/>
      <c r="LV230" s="514"/>
      <c r="LW230" s="514"/>
      <c r="LX230" s="514"/>
      <c r="LY230" s="514"/>
      <c r="LZ230" s="514"/>
      <c r="MA230" s="514"/>
      <c r="MB230" s="514"/>
      <c r="MC230" s="514"/>
      <c r="MD230" s="514"/>
      <c r="ME230" s="514"/>
      <c r="MF230" s="514"/>
      <c r="MG230" s="514"/>
      <c r="MH230" s="514"/>
      <c r="MI230" s="514"/>
      <c r="MJ230" s="514"/>
      <c r="MK230" s="514"/>
      <c r="ML230" s="514"/>
      <c r="MM230" s="514"/>
      <c r="MN230" s="514"/>
      <c r="MO230" s="514"/>
      <c r="MP230" s="514"/>
      <c r="MQ230" s="514"/>
      <c r="MR230" s="514"/>
      <c r="MS230" s="514"/>
      <c r="MT230" s="514"/>
      <c r="MU230" s="514"/>
      <c r="MV230" s="514"/>
      <c r="MW230" s="514"/>
      <c r="MX230" s="514"/>
      <c r="MY230" s="514"/>
      <c r="MZ230" s="514"/>
      <c r="NA230" s="514"/>
      <c r="NB230" s="514"/>
      <c r="NC230" s="514"/>
      <c r="ND230" s="514"/>
      <c r="NE230" s="514"/>
      <c r="NF230" s="514"/>
      <c r="NG230" s="514"/>
      <c r="NH230" s="514"/>
      <c r="NI230" s="514"/>
      <c r="NJ230" s="514"/>
      <c r="NK230" s="514"/>
      <c r="NL230" s="514"/>
      <c r="NM230" s="514"/>
      <c r="NN230" s="514"/>
      <c r="NO230" s="514"/>
      <c r="NP230" s="514"/>
      <c r="NQ230" s="514"/>
      <c r="NR230" s="514"/>
      <c r="NS230" s="514"/>
      <c r="NT230" s="514"/>
      <c r="NU230" s="514"/>
      <c r="NV230" s="514"/>
      <c r="NW230" s="514"/>
      <c r="NX230" s="514"/>
      <c r="NY230" s="514"/>
      <c r="NZ230" s="514"/>
      <c r="OA230" s="514"/>
      <c r="OB230" s="514"/>
      <c r="OC230" s="514"/>
      <c r="OD230" s="514"/>
      <c r="OE230" s="514"/>
      <c r="OF230" s="514"/>
      <c r="OG230" s="514"/>
      <c r="OH230" s="514"/>
      <c r="OI230" s="514"/>
      <c r="OJ230" s="514"/>
      <c r="OK230" s="514"/>
      <c r="OL230" s="514"/>
      <c r="OM230" s="514"/>
      <c r="ON230" s="514"/>
      <c r="OO230" s="514"/>
      <c r="OP230" s="514"/>
      <c r="OQ230" s="514"/>
      <c r="OR230" s="514"/>
      <c r="OS230" s="514"/>
      <c r="OT230" s="514"/>
      <c r="OU230" s="514"/>
      <c r="OV230" s="514"/>
      <c r="OW230" s="514"/>
      <c r="OX230" s="514"/>
      <c r="OY230" s="514"/>
      <c r="OZ230" s="514"/>
      <c r="PA230" s="514"/>
      <c r="PB230" s="514"/>
      <c r="PC230" s="514"/>
      <c r="PD230" s="514"/>
      <c r="PE230" s="514"/>
      <c r="PF230" s="514"/>
      <c r="PG230" s="514"/>
      <c r="PH230" s="514"/>
      <c r="PI230" s="514"/>
      <c r="PJ230" s="514"/>
      <c r="PK230" s="514"/>
      <c r="PL230" s="514"/>
      <c r="PM230" s="514"/>
      <c r="PN230" s="514"/>
      <c r="PO230" s="514"/>
      <c r="PP230" s="514"/>
      <c r="PQ230" s="514"/>
      <c r="PR230" s="514"/>
      <c r="PS230" s="514"/>
      <c r="PT230" s="514"/>
      <c r="PU230" s="514"/>
      <c r="PV230" s="514"/>
      <c r="PW230" s="514"/>
      <c r="PX230" s="514"/>
      <c r="PY230" s="514"/>
      <c r="PZ230" s="514"/>
      <c r="QA230" s="514"/>
      <c r="QB230" s="514"/>
      <c r="QC230" s="514"/>
      <c r="QD230" s="514"/>
      <c r="QE230" s="514"/>
      <c r="QF230" s="514"/>
      <c r="QG230" s="514"/>
      <c r="QH230" s="514"/>
      <c r="QI230" s="514"/>
      <c r="QJ230" s="514"/>
      <c r="QK230" s="514"/>
      <c r="QL230" s="514"/>
      <c r="QM230" s="514"/>
      <c r="QN230" s="514"/>
      <c r="QO230" s="514"/>
      <c r="QP230" s="514"/>
      <c r="QQ230" s="514"/>
      <c r="QR230" s="514"/>
      <c r="QS230" s="514"/>
      <c r="QT230" s="514"/>
      <c r="QU230" s="514"/>
      <c r="QV230" s="514"/>
      <c r="QW230" s="514"/>
      <c r="QX230" s="514"/>
      <c r="QY230" s="514"/>
      <c r="QZ230" s="514"/>
      <c r="RA230" s="514"/>
      <c r="RB230" s="514"/>
      <c r="RC230" s="514"/>
      <c r="RD230" s="514"/>
      <c r="RE230" s="514"/>
      <c r="RF230" s="514"/>
      <c r="RG230" s="514"/>
      <c r="RH230" s="514"/>
      <c r="RI230" s="514"/>
      <c r="RJ230" s="514"/>
      <c r="RK230" s="514"/>
      <c r="RL230" s="514"/>
      <c r="RM230" s="514"/>
      <c r="RN230" s="514"/>
      <c r="RO230" s="514"/>
      <c r="RP230" s="514"/>
      <c r="RQ230" s="514"/>
      <c r="RR230" s="514"/>
      <c r="RS230" s="514"/>
      <c r="RT230" s="514"/>
      <c r="RU230" s="514"/>
      <c r="RV230" s="514"/>
      <c r="RW230" s="514"/>
      <c r="RX230" s="514"/>
      <c r="RY230" s="514"/>
      <c r="RZ230" s="514"/>
      <c r="SA230" s="514"/>
      <c r="SB230" s="514"/>
      <c r="SC230" s="514"/>
      <c r="SD230" s="514"/>
      <c r="SE230" s="514"/>
      <c r="SF230" s="514"/>
      <c r="SG230" s="514"/>
      <c r="SH230" s="514"/>
      <c r="SI230" s="514"/>
      <c r="SJ230" s="514"/>
      <c r="SK230" s="514"/>
      <c r="SL230" s="514"/>
      <c r="SM230" s="514"/>
      <c r="SN230" s="514"/>
      <c r="SO230" s="514"/>
      <c r="SP230" s="514"/>
      <c r="SQ230" s="514"/>
      <c r="SR230" s="514"/>
      <c r="SS230" s="514"/>
      <c r="ST230" s="514"/>
      <c r="SU230" s="514"/>
      <c r="SV230" s="514"/>
      <c r="SW230" s="514"/>
      <c r="SX230" s="514"/>
      <c r="SY230" s="514"/>
      <c r="SZ230" s="514"/>
      <c r="TA230" s="514"/>
      <c r="TB230" s="514"/>
      <c r="TC230" s="514"/>
      <c r="TD230" s="514"/>
      <c r="TE230" s="514"/>
      <c r="TF230" s="514"/>
      <c r="TG230" s="514"/>
      <c r="TH230" s="514"/>
      <c r="TI230" s="514"/>
      <c r="TJ230" s="514"/>
      <c r="TK230" s="514"/>
      <c r="TL230" s="514"/>
      <c r="TM230" s="514"/>
      <c r="TN230" s="514"/>
      <c r="TO230" s="514"/>
      <c r="TP230" s="514"/>
      <c r="TQ230" s="514"/>
      <c r="TR230" s="514"/>
      <c r="TS230" s="514"/>
      <c r="TT230" s="514"/>
      <c r="TU230" s="514"/>
      <c r="TV230" s="514"/>
      <c r="TW230" s="514"/>
      <c r="TX230" s="514"/>
      <c r="TY230" s="514"/>
      <c r="TZ230" s="514"/>
      <c r="UA230" s="514"/>
      <c r="UB230" s="514"/>
      <c r="UC230" s="514"/>
      <c r="UD230" s="514"/>
      <c r="UE230" s="514"/>
      <c r="UF230" s="514"/>
      <c r="UG230" s="514"/>
      <c r="UH230" s="514"/>
      <c r="UI230" s="514"/>
      <c r="UJ230" s="514"/>
      <c r="UK230" s="514"/>
      <c r="UL230" s="514"/>
      <c r="UM230" s="514"/>
      <c r="UN230" s="514"/>
      <c r="UO230" s="514"/>
      <c r="UP230" s="514"/>
      <c r="UQ230" s="514"/>
      <c r="UR230" s="514"/>
      <c r="US230" s="514"/>
      <c r="UT230" s="514"/>
      <c r="UU230" s="514"/>
      <c r="UV230" s="514"/>
      <c r="UW230" s="514"/>
      <c r="UX230" s="514"/>
      <c r="UY230" s="514"/>
      <c r="UZ230" s="514"/>
      <c r="VA230" s="514"/>
      <c r="VB230" s="514"/>
      <c r="VC230" s="514"/>
      <c r="VD230" s="514"/>
      <c r="VE230" s="514"/>
      <c r="VF230" s="514"/>
      <c r="VG230" s="514"/>
      <c r="VH230" s="514"/>
      <c r="VI230" s="514"/>
      <c r="VJ230" s="514"/>
      <c r="VK230" s="514"/>
      <c r="VL230" s="514"/>
      <c r="VM230" s="514"/>
      <c r="VN230" s="514"/>
      <c r="VO230" s="514"/>
      <c r="VP230" s="514"/>
      <c r="VQ230" s="514"/>
      <c r="VR230" s="514"/>
      <c r="VS230" s="514"/>
      <c r="VT230" s="514"/>
      <c r="VU230" s="514"/>
      <c r="VV230" s="514"/>
      <c r="VW230" s="514"/>
      <c r="VX230" s="514"/>
      <c r="VY230" s="514"/>
      <c r="VZ230" s="514"/>
      <c r="WA230" s="514"/>
      <c r="WB230" s="514"/>
      <c r="WC230" s="514"/>
      <c r="WD230" s="514"/>
      <c r="WE230" s="514"/>
      <c r="WF230" s="514"/>
      <c r="WG230" s="514"/>
      <c r="WH230" s="514"/>
      <c r="WI230" s="514"/>
      <c r="WJ230" s="514"/>
      <c r="WK230" s="514"/>
      <c r="WL230" s="514"/>
      <c r="WM230" s="514"/>
      <c r="WN230" s="514"/>
      <c r="WO230" s="514"/>
      <c r="WP230" s="514"/>
      <c r="WQ230" s="514"/>
      <c r="WR230" s="514"/>
      <c r="WS230" s="514"/>
      <c r="WT230" s="514"/>
      <c r="WU230" s="514"/>
      <c r="WV230" s="514"/>
      <c r="WW230" s="514"/>
      <c r="WX230" s="514"/>
      <c r="WY230" s="514"/>
      <c r="WZ230" s="514"/>
      <c r="XA230" s="514"/>
      <c r="XB230" s="514"/>
      <c r="XC230" s="514"/>
      <c r="XD230" s="514"/>
      <c r="XE230" s="514"/>
      <c r="XF230" s="514"/>
      <c r="XG230" s="514"/>
      <c r="XH230" s="514"/>
      <c r="XI230" s="514"/>
      <c r="XJ230" s="514"/>
      <c r="XK230" s="514"/>
      <c r="XL230" s="514"/>
      <c r="XM230" s="514"/>
      <c r="XN230" s="514"/>
      <c r="XO230" s="514"/>
      <c r="XP230" s="514"/>
      <c r="XQ230" s="514"/>
      <c r="XR230" s="514"/>
      <c r="XS230" s="514"/>
      <c r="XT230" s="514"/>
      <c r="XU230" s="514"/>
      <c r="XV230" s="514"/>
      <c r="XW230" s="514"/>
      <c r="XX230" s="514"/>
      <c r="XY230" s="514"/>
      <c r="XZ230" s="514"/>
      <c r="YA230" s="514"/>
      <c r="YB230" s="514"/>
      <c r="YC230" s="514"/>
      <c r="YD230" s="514"/>
      <c r="YE230" s="514"/>
      <c r="YF230" s="514"/>
      <c r="YG230" s="514"/>
      <c r="YH230" s="514"/>
      <c r="YI230" s="514"/>
      <c r="YJ230" s="514"/>
      <c r="YK230" s="514"/>
      <c r="YL230" s="514"/>
      <c r="YM230" s="514"/>
      <c r="YN230" s="514"/>
      <c r="YO230" s="514"/>
      <c r="YP230" s="514"/>
      <c r="YQ230" s="514"/>
      <c r="YR230" s="514"/>
      <c r="YS230" s="514"/>
      <c r="YT230" s="514"/>
      <c r="YU230" s="514"/>
      <c r="YV230" s="514"/>
      <c r="YW230" s="514"/>
      <c r="YX230" s="514"/>
      <c r="YY230" s="514"/>
      <c r="YZ230" s="514"/>
      <c r="ZA230" s="514"/>
      <c r="ZB230" s="514"/>
      <c r="ZC230" s="514"/>
      <c r="ZD230" s="514"/>
      <c r="ZE230" s="514"/>
      <c r="ZF230" s="514"/>
      <c r="ZG230" s="514"/>
      <c r="ZH230" s="514"/>
      <c r="ZI230" s="514"/>
      <c r="ZJ230" s="514"/>
      <c r="ZK230" s="514"/>
      <c r="ZL230" s="514"/>
      <c r="ZM230" s="514"/>
      <c r="ZN230" s="514"/>
      <c r="ZO230" s="514"/>
      <c r="ZP230" s="514"/>
      <c r="ZQ230" s="514"/>
      <c r="ZR230" s="514"/>
      <c r="ZS230" s="514"/>
      <c r="ZT230" s="514"/>
      <c r="ZU230" s="514"/>
      <c r="ZV230" s="514"/>
      <c r="ZW230" s="514"/>
      <c r="ZX230" s="514"/>
      <c r="ZY230" s="514"/>
      <c r="ZZ230" s="514"/>
      <c r="AAA230" s="514"/>
      <c r="AAB230" s="514"/>
      <c r="AAC230" s="514"/>
      <c r="AAD230" s="514"/>
      <c r="AAE230" s="514"/>
      <c r="AAF230" s="514"/>
      <c r="AAG230" s="514"/>
      <c r="AAH230" s="514"/>
      <c r="AAI230" s="514"/>
      <c r="AAJ230" s="514"/>
      <c r="AAK230" s="514"/>
      <c r="AAL230" s="514"/>
      <c r="AAM230" s="514"/>
      <c r="AAN230" s="514"/>
      <c r="AAO230" s="514"/>
      <c r="AAP230" s="514"/>
      <c r="AAQ230" s="514"/>
      <c r="AAR230" s="514"/>
      <c r="AAS230" s="514"/>
      <c r="AAT230" s="514"/>
      <c r="AAU230" s="514"/>
      <c r="AAV230" s="514"/>
      <c r="AAW230" s="514"/>
      <c r="AAX230" s="514"/>
      <c r="AAY230" s="514"/>
      <c r="AAZ230" s="514"/>
      <c r="ABA230" s="514"/>
      <c r="ABB230" s="514"/>
      <c r="ABC230" s="514"/>
      <c r="ABD230" s="514"/>
      <c r="ABE230" s="514"/>
      <c r="ABF230" s="514"/>
      <c r="ABG230" s="514"/>
      <c r="ABH230" s="514"/>
      <c r="ABI230" s="514"/>
      <c r="ABJ230" s="514"/>
      <c r="ABK230" s="514"/>
      <c r="ABL230" s="514"/>
      <c r="ABM230" s="514"/>
      <c r="ABN230" s="514"/>
      <c r="ABO230" s="514"/>
      <c r="ABP230" s="514"/>
      <c r="ABQ230" s="514"/>
      <c r="ABR230" s="514"/>
      <c r="ABS230" s="514"/>
      <c r="ABT230" s="514"/>
      <c r="ABU230" s="514"/>
      <c r="ABV230" s="514"/>
      <c r="ABW230" s="514"/>
      <c r="ABX230" s="514"/>
      <c r="ABY230" s="514"/>
      <c r="ABZ230" s="514"/>
      <c r="ACA230" s="514"/>
      <c r="ACB230" s="514"/>
      <c r="ACC230" s="514"/>
      <c r="ACD230" s="514"/>
      <c r="ACE230" s="514"/>
      <c r="ACF230" s="514"/>
      <c r="ACG230" s="514"/>
      <c r="ACH230" s="514"/>
      <c r="ACI230" s="514"/>
      <c r="ACJ230" s="514"/>
      <c r="ACK230" s="514"/>
      <c r="ACL230" s="514"/>
      <c r="ACM230" s="514"/>
      <c r="ACN230" s="514"/>
      <c r="ACO230" s="514"/>
      <c r="ACP230" s="514"/>
      <c r="ACQ230" s="514"/>
      <c r="ACR230" s="514"/>
      <c r="ACS230" s="514"/>
      <c r="ACT230" s="514"/>
      <c r="ACU230" s="514"/>
      <c r="ACV230" s="514"/>
      <c r="ACW230" s="514"/>
      <c r="ACX230" s="514"/>
      <c r="ACY230" s="514"/>
      <c r="ACZ230" s="514"/>
      <c r="ADA230" s="514"/>
      <c r="ADB230" s="514"/>
      <c r="ADC230" s="514"/>
      <c r="ADD230" s="514"/>
      <c r="ADE230" s="514"/>
      <c r="ADF230" s="514"/>
      <c r="ADG230" s="514"/>
      <c r="ADH230" s="514"/>
      <c r="ADI230" s="514"/>
      <c r="ADJ230" s="514"/>
      <c r="ADK230" s="514"/>
      <c r="ADL230" s="514"/>
      <c r="ADM230" s="514"/>
      <c r="ADN230" s="514"/>
      <c r="ADO230" s="514"/>
      <c r="ADP230" s="514"/>
      <c r="ADQ230" s="514"/>
      <c r="ADR230" s="514"/>
      <c r="ADS230" s="514"/>
      <c r="ADT230" s="514"/>
      <c r="ADU230" s="514"/>
      <c r="ADV230" s="514"/>
      <c r="ADW230" s="514"/>
      <c r="ADX230" s="514"/>
      <c r="ADY230" s="514"/>
      <c r="ADZ230" s="514"/>
      <c r="AEA230" s="514"/>
      <c r="AEB230" s="514"/>
      <c r="AEC230" s="514"/>
      <c r="AED230" s="514"/>
      <c r="AEE230" s="514"/>
      <c r="AEF230" s="514"/>
      <c r="AEG230" s="514"/>
      <c r="AEH230" s="514"/>
      <c r="AEI230" s="514"/>
      <c r="AEJ230" s="514"/>
      <c r="AEK230" s="514"/>
      <c r="AEL230" s="514"/>
      <c r="AEM230" s="514"/>
      <c r="AEN230" s="514"/>
      <c r="AEO230" s="514"/>
      <c r="AEP230" s="514"/>
      <c r="AEQ230" s="514"/>
      <c r="AER230" s="514"/>
      <c r="AES230" s="514"/>
      <c r="AET230" s="514"/>
      <c r="AEU230" s="514"/>
      <c r="AEV230" s="514"/>
      <c r="AEW230" s="514"/>
      <c r="AEX230" s="514"/>
      <c r="AEY230" s="514"/>
      <c r="AEZ230" s="514"/>
      <c r="AFA230" s="514"/>
      <c r="AFB230" s="514"/>
      <c r="AFC230" s="514"/>
      <c r="AFD230" s="514"/>
      <c r="AFE230" s="514"/>
      <c r="AFF230" s="514"/>
      <c r="AFG230" s="514"/>
      <c r="AFH230" s="514"/>
      <c r="AFI230" s="514"/>
      <c r="AFJ230" s="514"/>
      <c r="AFK230" s="514"/>
      <c r="AFL230" s="514"/>
      <c r="AFM230" s="514"/>
      <c r="AFN230" s="514"/>
      <c r="AFO230" s="514"/>
      <c r="AFP230" s="514"/>
      <c r="AFQ230" s="514"/>
      <c r="AFR230" s="514"/>
      <c r="AFS230" s="514"/>
      <c r="AFT230" s="514"/>
      <c r="AFU230" s="514"/>
      <c r="AFV230" s="514"/>
      <c r="AFW230" s="514"/>
      <c r="AFX230" s="514"/>
      <c r="AFY230" s="514"/>
      <c r="AFZ230" s="514"/>
      <c r="AGA230" s="514"/>
      <c r="AGB230" s="514"/>
      <c r="AGC230" s="514"/>
      <c r="AGD230" s="514"/>
      <c r="AGE230" s="514"/>
      <c r="AGF230" s="514"/>
      <c r="AGG230" s="514"/>
      <c r="AGH230" s="514"/>
      <c r="AGI230" s="514"/>
      <c r="AGJ230" s="514"/>
      <c r="AGK230" s="514"/>
      <c r="AGL230" s="514"/>
      <c r="AGM230" s="514"/>
      <c r="AGN230" s="514"/>
      <c r="AGO230" s="514"/>
      <c r="AGP230" s="514"/>
      <c r="AGQ230" s="514"/>
      <c r="AGR230" s="514"/>
      <c r="AGS230" s="514"/>
      <c r="AGT230" s="514"/>
      <c r="AGU230" s="514"/>
      <c r="AGV230" s="514"/>
      <c r="AGW230" s="514"/>
      <c r="AGX230" s="514"/>
      <c r="AGY230" s="514"/>
      <c r="AGZ230" s="514"/>
      <c r="AHA230" s="514"/>
      <c r="AHB230" s="514"/>
      <c r="AHC230" s="514"/>
      <c r="AHD230" s="514"/>
      <c r="AHE230" s="514"/>
      <c r="AHF230" s="514"/>
      <c r="AHG230" s="514"/>
      <c r="AHH230" s="514"/>
      <c r="AHI230" s="514"/>
      <c r="AHJ230" s="514"/>
      <c r="AHK230" s="514"/>
      <c r="AHL230" s="514"/>
      <c r="AHM230" s="514"/>
      <c r="AHN230" s="514"/>
      <c r="AHO230" s="514"/>
      <c r="AHP230" s="514"/>
      <c r="AHQ230" s="514"/>
      <c r="AHR230" s="514"/>
      <c r="AHS230" s="514"/>
      <c r="AHT230" s="514"/>
      <c r="AHU230" s="514"/>
      <c r="AHV230" s="514"/>
      <c r="AHW230" s="514"/>
      <c r="AHX230" s="514"/>
      <c r="AHY230" s="514"/>
      <c r="AHZ230" s="514"/>
      <c r="AIA230" s="514"/>
      <c r="AIB230" s="514"/>
      <c r="AIC230" s="514"/>
      <c r="AID230" s="514"/>
      <c r="AIE230" s="514"/>
      <c r="AIF230" s="514"/>
      <c r="AIG230" s="514"/>
      <c r="AIH230" s="514"/>
      <c r="AII230" s="514"/>
      <c r="AIJ230" s="514"/>
      <c r="AIK230" s="514"/>
      <c r="AIL230" s="514"/>
      <c r="AIM230" s="514"/>
      <c r="AIN230" s="514"/>
      <c r="AIO230" s="514"/>
      <c r="AIP230" s="514"/>
      <c r="AIQ230" s="514"/>
      <c r="AIR230" s="514"/>
      <c r="AIS230" s="514"/>
      <c r="AIT230" s="514"/>
      <c r="AIU230" s="514"/>
      <c r="AIV230" s="514"/>
      <c r="AIW230" s="514"/>
      <c r="AIX230" s="514"/>
      <c r="AIY230" s="514"/>
      <c r="AIZ230" s="514"/>
      <c r="AJA230" s="514"/>
      <c r="AJB230" s="514"/>
      <c r="AJC230" s="514"/>
      <c r="AJD230" s="514"/>
      <c r="AJE230" s="514"/>
      <c r="AJF230" s="514"/>
      <c r="AJG230" s="514"/>
      <c r="AJH230" s="514"/>
      <c r="AJI230" s="514"/>
      <c r="AJJ230" s="514"/>
      <c r="AJK230" s="514"/>
      <c r="AJL230" s="514"/>
      <c r="AJM230" s="514"/>
      <c r="AJN230" s="514"/>
      <c r="AJO230" s="514"/>
      <c r="AJP230" s="514"/>
      <c r="AJQ230" s="514"/>
      <c r="AJR230" s="514"/>
      <c r="AJS230" s="514"/>
      <c r="AJT230" s="514"/>
      <c r="AJU230" s="514"/>
      <c r="AJV230" s="514"/>
      <c r="AJW230" s="514"/>
      <c r="AJX230" s="514"/>
      <c r="AJY230" s="514"/>
      <c r="AJZ230" s="514"/>
      <c r="AKA230" s="514"/>
      <c r="AKB230" s="514"/>
      <c r="AKC230" s="514"/>
      <c r="AKD230" s="514"/>
      <c r="AKE230" s="514"/>
      <c r="AKF230" s="514"/>
      <c r="AKG230" s="514"/>
      <c r="AKH230" s="514"/>
      <c r="AKI230" s="514"/>
      <c r="AKJ230" s="514"/>
      <c r="AKK230" s="514"/>
      <c r="AKL230" s="514"/>
      <c r="AKM230" s="514"/>
      <c r="AKN230" s="514"/>
      <c r="AKO230" s="514"/>
      <c r="AKP230" s="514"/>
      <c r="AKQ230" s="514"/>
      <c r="AKR230" s="514"/>
      <c r="AKS230" s="514"/>
      <c r="AKT230" s="514"/>
      <c r="AKU230" s="514"/>
      <c r="AKV230" s="514"/>
      <c r="AKW230" s="514"/>
      <c r="AKX230" s="514"/>
      <c r="AKY230" s="514"/>
      <c r="AKZ230" s="514"/>
      <c r="ALA230" s="514"/>
      <c r="ALB230" s="514"/>
      <c r="ALC230" s="514"/>
      <c r="ALD230" s="514"/>
      <c r="ALE230" s="514"/>
      <c r="ALF230" s="514"/>
      <c r="ALG230" s="514"/>
      <c r="ALH230" s="514"/>
      <c r="ALI230" s="514"/>
      <c r="ALJ230" s="514"/>
      <c r="ALK230" s="514"/>
      <c r="ALL230" s="514"/>
      <c r="ALM230" s="514"/>
      <c r="ALN230" s="514"/>
      <c r="ALO230" s="514"/>
      <c r="ALP230" s="514"/>
      <c r="ALQ230" s="514"/>
      <c r="ALR230" s="514"/>
      <c r="ALS230" s="514"/>
      <c r="ALT230" s="514"/>
      <c r="ALU230" s="514"/>
      <c r="ALV230" s="514"/>
      <c r="ALW230" s="514"/>
      <c r="ALX230" s="514"/>
      <c r="ALY230" s="514"/>
      <c r="ALZ230" s="514"/>
      <c r="AMA230" s="514"/>
      <c r="AMB230" s="514"/>
      <c r="AMC230" s="514"/>
      <c r="AMD230" s="514"/>
      <c r="AME230" s="514"/>
      <c r="AMF230" s="514"/>
      <c r="AMG230" s="514"/>
      <c r="AMH230" s="514"/>
      <c r="AMI230" s="514"/>
      <c r="AMJ230" s="514"/>
      <c r="AMK230" s="514"/>
      <c r="AML230" s="514"/>
      <c r="AMM230" s="514"/>
      <c r="AMN230" s="514"/>
      <c r="AMO230" s="514"/>
      <c r="AMP230" s="514"/>
      <c r="AMQ230" s="514"/>
      <c r="AMR230" s="514"/>
      <c r="AMS230" s="514"/>
      <c r="AMT230" s="514"/>
      <c r="AMU230" s="514"/>
      <c r="AMV230" s="514"/>
      <c r="AMW230" s="514"/>
      <c r="AMX230" s="514"/>
      <c r="AMY230" s="514"/>
      <c r="AMZ230" s="514"/>
      <c r="ANA230" s="514"/>
      <c r="ANB230" s="514"/>
      <c r="ANC230" s="514"/>
      <c r="AND230" s="514"/>
      <c r="ANE230" s="514"/>
      <c r="ANF230" s="514"/>
      <c r="ANG230" s="514"/>
      <c r="ANH230" s="514"/>
      <c r="ANI230" s="514"/>
      <c r="ANJ230" s="514"/>
      <c r="ANK230" s="514"/>
      <c r="ANL230" s="514"/>
      <c r="ANM230" s="514"/>
      <c r="ANN230" s="514"/>
      <c r="ANO230" s="514"/>
      <c r="ANP230" s="514"/>
      <c r="ANQ230" s="514"/>
      <c r="ANR230" s="514"/>
      <c r="ANS230" s="514"/>
      <c r="ANT230" s="514"/>
      <c r="ANU230" s="514"/>
      <c r="ANV230" s="514"/>
      <c r="ANW230" s="514"/>
      <c r="ANX230" s="514"/>
      <c r="ANY230" s="514"/>
      <c r="ANZ230" s="514"/>
      <c r="AOA230" s="514"/>
      <c r="AOB230" s="514"/>
      <c r="AOC230" s="514"/>
      <c r="AOD230" s="514"/>
      <c r="AOE230" s="514"/>
      <c r="AOF230" s="514"/>
      <c r="AOG230" s="514"/>
      <c r="AOH230" s="514"/>
      <c r="AOI230" s="514"/>
      <c r="AOJ230" s="514"/>
      <c r="AOK230" s="514"/>
      <c r="AOL230" s="514"/>
      <c r="AOM230" s="514"/>
      <c r="AON230" s="514"/>
      <c r="AOO230" s="514"/>
      <c r="AOP230" s="514"/>
      <c r="AOQ230" s="514"/>
      <c r="AOR230" s="514"/>
      <c r="AOS230" s="514"/>
      <c r="AOT230" s="514"/>
      <c r="AOU230" s="514"/>
      <c r="AOV230" s="514"/>
      <c r="AOW230" s="514"/>
      <c r="AOX230" s="514"/>
      <c r="AOY230" s="514"/>
      <c r="AOZ230" s="514"/>
      <c r="APA230" s="514"/>
      <c r="APB230" s="514"/>
      <c r="APC230" s="514"/>
      <c r="APD230" s="514"/>
      <c r="APE230" s="514"/>
      <c r="APF230" s="514"/>
      <c r="APG230" s="514"/>
      <c r="APH230" s="514"/>
      <c r="API230" s="514"/>
      <c r="APJ230" s="514"/>
      <c r="APK230" s="514"/>
      <c r="APL230" s="514"/>
      <c r="APM230" s="514"/>
      <c r="APN230" s="514"/>
      <c r="APO230" s="514"/>
      <c r="APP230" s="514"/>
      <c r="APQ230" s="514"/>
      <c r="APR230" s="514"/>
      <c r="APS230" s="514"/>
      <c r="APT230" s="514"/>
      <c r="APU230" s="514"/>
      <c r="APV230" s="514"/>
      <c r="APW230" s="514"/>
      <c r="APX230" s="514"/>
      <c r="APY230" s="514"/>
      <c r="APZ230" s="514"/>
      <c r="AQA230" s="514"/>
      <c r="AQB230" s="514"/>
      <c r="AQC230" s="514"/>
      <c r="AQD230" s="514"/>
      <c r="AQE230" s="514"/>
      <c r="AQF230" s="514"/>
      <c r="AQG230" s="514"/>
      <c r="AQH230" s="514"/>
      <c r="AQI230" s="514"/>
      <c r="AQJ230" s="514"/>
      <c r="AQK230" s="514"/>
      <c r="AQL230" s="514"/>
      <c r="AQM230" s="514"/>
      <c r="AQN230" s="514"/>
      <c r="AQO230" s="514"/>
      <c r="AQP230" s="514"/>
      <c r="AQQ230" s="514"/>
      <c r="AQR230" s="514"/>
      <c r="AQS230" s="514"/>
      <c r="AQT230" s="514"/>
      <c r="AQU230" s="514"/>
      <c r="AQV230" s="514"/>
      <c r="AQW230" s="514"/>
      <c r="AQX230" s="514"/>
      <c r="AQY230" s="514"/>
      <c r="AQZ230" s="514"/>
      <c r="ARA230" s="514"/>
      <c r="ARB230" s="514"/>
      <c r="ARC230" s="514"/>
      <c r="ARD230" s="514"/>
      <c r="ARE230" s="514"/>
      <c r="ARF230" s="514"/>
      <c r="ARG230" s="514"/>
      <c r="ARH230" s="514"/>
      <c r="ARI230" s="514"/>
      <c r="ARJ230" s="514"/>
      <c r="ARK230" s="514"/>
      <c r="ARL230" s="514"/>
      <c r="ARM230" s="514"/>
      <c r="ARN230" s="514"/>
      <c r="ARO230" s="514"/>
      <c r="ARP230" s="514"/>
      <c r="ARQ230" s="514"/>
      <c r="ARR230" s="514"/>
      <c r="ARS230" s="514"/>
      <c r="ART230" s="514"/>
      <c r="ARU230" s="514"/>
      <c r="ARV230" s="514"/>
      <c r="ARW230" s="514"/>
      <c r="ARX230" s="514"/>
      <c r="ARY230" s="514"/>
      <c r="ARZ230" s="514"/>
      <c r="ASA230" s="514"/>
      <c r="ASB230" s="514"/>
      <c r="ASC230" s="514"/>
      <c r="ASD230" s="514"/>
      <c r="ASE230" s="514"/>
      <c r="ASF230" s="514"/>
      <c r="ASG230" s="514"/>
      <c r="ASH230" s="514"/>
      <c r="ASI230" s="514"/>
      <c r="ASJ230" s="514"/>
      <c r="ASK230" s="514"/>
      <c r="ASL230" s="514"/>
      <c r="ASM230" s="514"/>
      <c r="ASN230" s="514"/>
      <c r="ASO230" s="514"/>
      <c r="ASP230" s="514"/>
      <c r="ASQ230" s="514"/>
      <c r="ASR230" s="514"/>
      <c r="ASS230" s="514"/>
      <c r="AST230" s="514"/>
      <c r="ASU230" s="514"/>
      <c r="ASV230" s="514"/>
      <c r="ASW230" s="514"/>
      <c r="ASX230" s="514"/>
      <c r="ASY230" s="514"/>
      <c r="ASZ230" s="514"/>
      <c r="ATA230" s="514"/>
      <c r="ATB230" s="514"/>
      <c r="ATC230" s="514"/>
      <c r="ATD230" s="514"/>
      <c r="ATE230" s="514"/>
      <c r="ATF230" s="514"/>
      <c r="ATG230" s="514"/>
      <c r="ATH230" s="514"/>
      <c r="ATI230" s="514"/>
      <c r="ATJ230" s="514"/>
      <c r="ATK230" s="514"/>
      <c r="ATL230" s="514"/>
      <c r="ATM230" s="514"/>
      <c r="ATN230" s="514"/>
      <c r="ATO230" s="514"/>
      <c r="ATP230" s="514"/>
      <c r="ATQ230" s="514"/>
      <c r="ATR230" s="514"/>
      <c r="ATS230" s="514"/>
      <c r="ATT230" s="514"/>
      <c r="ATU230" s="514"/>
      <c r="ATV230" s="514"/>
      <c r="ATW230" s="514"/>
      <c r="ATX230" s="514"/>
      <c r="ATY230" s="514"/>
      <c r="ATZ230" s="514"/>
      <c r="AUA230" s="514"/>
      <c r="AUB230" s="514"/>
      <c r="AUC230" s="514"/>
      <c r="AUD230" s="514"/>
      <c r="AUE230" s="514"/>
      <c r="AUF230" s="514"/>
      <c r="AUG230" s="514"/>
      <c r="AUH230" s="514"/>
      <c r="AUI230" s="514"/>
      <c r="AUJ230" s="514"/>
      <c r="AUK230" s="514"/>
      <c r="AUL230" s="514"/>
      <c r="AUM230" s="514"/>
      <c r="AUN230" s="514"/>
      <c r="AUO230" s="514"/>
      <c r="AUP230" s="514"/>
      <c r="AUQ230" s="514"/>
      <c r="AUR230" s="514"/>
      <c r="AUS230" s="514"/>
      <c r="AUT230" s="514"/>
      <c r="AUU230" s="514"/>
      <c r="AUV230" s="514"/>
      <c r="AUW230" s="514"/>
      <c r="AUX230" s="514"/>
      <c r="AUY230" s="514"/>
      <c r="AUZ230" s="514"/>
      <c r="AVA230" s="514"/>
      <c r="AVB230" s="514"/>
      <c r="AVC230" s="514"/>
      <c r="AVD230" s="514"/>
      <c r="AVE230" s="514"/>
      <c r="AVF230" s="514"/>
      <c r="AVG230" s="514"/>
      <c r="AVH230" s="514"/>
      <c r="AVI230" s="514"/>
      <c r="AVJ230" s="514"/>
      <c r="AVK230" s="514"/>
      <c r="AVL230" s="514"/>
      <c r="AVM230" s="514"/>
      <c r="AVN230" s="514"/>
      <c r="AVO230" s="514"/>
      <c r="AVP230" s="514"/>
      <c r="AVQ230" s="514"/>
      <c r="AVR230" s="514"/>
      <c r="AVS230" s="514"/>
      <c r="AVT230" s="514"/>
      <c r="AVU230" s="514"/>
      <c r="AVV230" s="514"/>
      <c r="AVW230" s="514"/>
      <c r="AVX230" s="514"/>
      <c r="AVY230" s="514"/>
      <c r="AVZ230" s="514"/>
      <c r="AWA230" s="514"/>
      <c r="AWB230" s="514"/>
      <c r="AWC230" s="514"/>
      <c r="AWD230" s="514"/>
      <c r="AWE230" s="514"/>
      <c r="AWF230" s="514"/>
      <c r="AWG230" s="514"/>
      <c r="AWH230" s="514"/>
      <c r="AWI230" s="514"/>
      <c r="AWJ230" s="514"/>
      <c r="AWK230" s="514"/>
      <c r="AWL230" s="514"/>
      <c r="AWM230" s="514"/>
      <c r="AWN230" s="514"/>
      <c r="AWO230" s="514"/>
      <c r="AWP230" s="514"/>
      <c r="AWQ230" s="514"/>
      <c r="AWR230" s="514"/>
      <c r="AWS230" s="514"/>
      <c r="AWT230" s="514"/>
      <c r="AWU230" s="514"/>
      <c r="AWV230" s="514"/>
      <c r="AWW230" s="514"/>
      <c r="AWX230" s="514"/>
      <c r="AWY230" s="514"/>
      <c r="AWZ230" s="514"/>
      <c r="AXA230" s="514"/>
      <c r="AXB230" s="514"/>
      <c r="AXC230" s="514"/>
      <c r="AXD230" s="514"/>
      <c r="AXE230" s="514"/>
      <c r="AXF230" s="514"/>
      <c r="AXG230" s="514"/>
      <c r="AXH230" s="514"/>
      <c r="AXI230" s="514"/>
      <c r="AXJ230" s="514"/>
      <c r="AXK230" s="514"/>
      <c r="AXL230" s="514"/>
      <c r="AXM230" s="514"/>
      <c r="AXN230" s="514"/>
      <c r="AXO230" s="514"/>
      <c r="AXP230" s="514"/>
      <c r="AXQ230" s="514"/>
      <c r="AXR230" s="514"/>
      <c r="AXS230" s="514"/>
      <c r="AXT230" s="514"/>
      <c r="AXU230" s="514"/>
      <c r="AXV230" s="514"/>
      <c r="AXW230" s="514"/>
      <c r="AXX230" s="514"/>
      <c r="AXY230" s="514"/>
      <c r="AXZ230" s="514"/>
      <c r="AYA230" s="514"/>
      <c r="AYB230" s="514"/>
      <c r="AYC230" s="514"/>
      <c r="AYD230" s="514"/>
      <c r="AYE230" s="514"/>
      <c r="AYF230" s="514"/>
      <c r="AYG230" s="514"/>
      <c r="AYH230" s="514"/>
      <c r="AYI230" s="514"/>
      <c r="AYJ230" s="514"/>
      <c r="AYK230" s="514"/>
      <c r="AYL230" s="514"/>
      <c r="AYM230" s="514"/>
      <c r="AYN230" s="514"/>
      <c r="AYO230" s="514"/>
      <c r="AYP230" s="514"/>
      <c r="AYQ230" s="514"/>
      <c r="AYR230" s="514"/>
      <c r="AYS230" s="514"/>
      <c r="AYT230" s="514"/>
      <c r="AYU230" s="514"/>
      <c r="AYV230" s="514"/>
      <c r="AYW230" s="514"/>
      <c r="AYX230" s="514"/>
      <c r="AYY230" s="514"/>
      <c r="AYZ230" s="514"/>
      <c r="AZA230" s="514"/>
      <c r="AZB230" s="514"/>
      <c r="AZC230" s="514"/>
      <c r="AZD230" s="514"/>
      <c r="AZE230" s="514"/>
      <c r="AZF230" s="514"/>
      <c r="AZG230" s="514"/>
      <c r="AZH230" s="514"/>
      <c r="AZI230" s="514"/>
      <c r="AZJ230" s="514"/>
      <c r="AZK230" s="514"/>
      <c r="AZL230" s="514"/>
      <c r="AZM230" s="514"/>
      <c r="AZN230" s="514"/>
      <c r="AZO230" s="514"/>
      <c r="AZP230" s="514"/>
      <c r="AZQ230" s="514"/>
      <c r="AZR230" s="514"/>
      <c r="AZS230" s="514"/>
      <c r="AZT230" s="514"/>
      <c r="AZU230" s="514"/>
      <c r="AZV230" s="514"/>
      <c r="AZW230" s="514"/>
      <c r="AZX230" s="514"/>
      <c r="AZY230" s="514"/>
      <c r="AZZ230" s="514"/>
      <c r="BAA230" s="514"/>
      <c r="BAB230" s="514"/>
      <c r="BAC230" s="514"/>
      <c r="BAD230" s="514"/>
      <c r="BAE230" s="514"/>
      <c r="BAF230" s="514"/>
      <c r="BAG230" s="514"/>
      <c r="BAH230" s="514"/>
      <c r="BAI230" s="514"/>
      <c r="BAJ230" s="514"/>
      <c r="BAK230" s="514"/>
      <c r="BAL230" s="514"/>
      <c r="BAM230" s="514"/>
      <c r="BAN230" s="514"/>
      <c r="BAO230" s="514"/>
      <c r="BAP230" s="514"/>
      <c r="BAQ230" s="514"/>
      <c r="BAR230" s="514"/>
      <c r="BAS230" s="514"/>
      <c r="BAT230" s="514"/>
      <c r="BAU230" s="514"/>
      <c r="BAV230" s="514"/>
      <c r="BAW230" s="514"/>
      <c r="BAX230" s="514"/>
      <c r="BAY230" s="514"/>
      <c r="BAZ230" s="514"/>
      <c r="BBA230" s="514"/>
      <c r="BBB230" s="514"/>
      <c r="BBC230" s="514"/>
      <c r="BBD230" s="514"/>
      <c r="BBE230" s="514"/>
      <c r="BBF230" s="514"/>
      <c r="BBG230" s="514"/>
      <c r="BBH230" s="514"/>
      <c r="BBI230" s="514"/>
      <c r="BBJ230" s="514"/>
      <c r="BBK230" s="514"/>
      <c r="BBL230" s="514"/>
      <c r="BBM230" s="514"/>
      <c r="BBN230" s="514"/>
      <c r="BBO230" s="514"/>
      <c r="BBP230" s="514"/>
      <c r="BBQ230" s="514"/>
      <c r="BBR230" s="514"/>
      <c r="BBS230" s="514"/>
      <c r="BBT230" s="514"/>
      <c r="BBU230" s="514"/>
      <c r="BBV230" s="514"/>
      <c r="BBW230" s="514"/>
      <c r="BBX230" s="514"/>
      <c r="BBY230" s="514"/>
      <c r="BBZ230" s="514"/>
      <c r="BCA230" s="514"/>
      <c r="BCB230" s="514"/>
      <c r="BCC230" s="514"/>
      <c r="BCD230" s="514"/>
      <c r="BCE230" s="514"/>
      <c r="BCF230" s="514"/>
      <c r="BCG230" s="514"/>
      <c r="BCH230" s="514"/>
      <c r="BCI230" s="514"/>
      <c r="BCJ230" s="514"/>
      <c r="BCK230" s="514"/>
      <c r="BCL230" s="514"/>
      <c r="BCM230" s="514"/>
      <c r="BCN230" s="514"/>
      <c r="BCO230" s="514"/>
      <c r="BCP230" s="514"/>
      <c r="BCQ230" s="514"/>
      <c r="BCR230" s="514"/>
      <c r="BCS230" s="514"/>
      <c r="BCT230" s="514"/>
      <c r="BCU230" s="514"/>
      <c r="BCV230" s="514"/>
      <c r="BCW230" s="514"/>
      <c r="BCX230" s="514"/>
      <c r="BCY230" s="514"/>
      <c r="BCZ230" s="514"/>
      <c r="BDA230" s="514"/>
      <c r="BDB230" s="514"/>
      <c r="BDC230" s="514"/>
      <c r="BDD230" s="514"/>
      <c r="BDE230" s="514"/>
      <c r="BDF230" s="514"/>
      <c r="BDG230" s="514"/>
      <c r="BDH230" s="514"/>
      <c r="BDI230" s="514"/>
      <c r="BDJ230" s="514"/>
      <c r="BDK230" s="514"/>
      <c r="BDL230" s="514"/>
      <c r="BDM230" s="514"/>
      <c r="BDN230" s="514"/>
      <c r="BDO230" s="514"/>
      <c r="BDP230" s="514"/>
      <c r="BDQ230" s="514"/>
      <c r="BDR230" s="514"/>
      <c r="BDS230" s="514"/>
      <c r="BDT230" s="514"/>
      <c r="BDU230" s="514"/>
      <c r="BDV230" s="514"/>
      <c r="BDW230" s="514"/>
      <c r="BDX230" s="514"/>
      <c r="BDY230" s="514"/>
      <c r="BDZ230" s="514"/>
      <c r="BEA230" s="514"/>
      <c r="BEB230" s="514"/>
      <c r="BEC230" s="514"/>
      <c r="BED230" s="514"/>
      <c r="BEE230" s="514"/>
      <c r="BEF230" s="514"/>
      <c r="BEG230" s="514"/>
      <c r="BEH230" s="514"/>
      <c r="BEI230" s="514"/>
      <c r="BEJ230" s="514"/>
      <c r="BEK230" s="514"/>
      <c r="BEL230" s="514"/>
      <c r="BEM230" s="514"/>
      <c r="BEN230" s="514"/>
      <c r="BEO230" s="514"/>
      <c r="BEP230" s="514"/>
      <c r="BEQ230" s="514"/>
      <c r="BER230" s="514"/>
      <c r="BES230" s="514"/>
      <c r="BET230" s="514"/>
      <c r="BEU230" s="514"/>
      <c r="BEV230" s="514"/>
      <c r="BEW230" s="514"/>
      <c r="BEX230" s="514"/>
      <c r="BEY230" s="514"/>
      <c r="BEZ230" s="514"/>
      <c r="BFA230" s="514"/>
      <c r="BFB230" s="514"/>
      <c r="BFC230" s="514"/>
      <c r="BFD230" s="514"/>
      <c r="BFE230" s="514"/>
      <c r="BFF230" s="514"/>
      <c r="BFG230" s="514"/>
      <c r="BFH230" s="514"/>
      <c r="BFI230" s="514"/>
      <c r="BFJ230" s="514"/>
      <c r="BFK230" s="514"/>
      <c r="BFL230" s="514"/>
      <c r="BFM230" s="514"/>
      <c r="BFN230" s="514"/>
      <c r="BFO230" s="514"/>
      <c r="BFP230" s="514"/>
      <c r="BFQ230" s="514"/>
      <c r="BFR230" s="514"/>
      <c r="BFS230" s="514"/>
      <c r="BFT230" s="514"/>
      <c r="BFU230" s="514"/>
      <c r="BFV230" s="514"/>
      <c r="BFW230" s="514"/>
      <c r="BFX230" s="514"/>
      <c r="BFY230" s="514"/>
      <c r="BFZ230" s="514"/>
      <c r="BGA230" s="514"/>
      <c r="BGB230" s="514"/>
      <c r="BGC230" s="514"/>
      <c r="BGD230" s="514"/>
      <c r="BGE230" s="514"/>
      <c r="BGF230" s="514"/>
      <c r="BGG230" s="514"/>
      <c r="BGH230" s="514"/>
      <c r="BGI230" s="514"/>
      <c r="BGJ230" s="514"/>
      <c r="BGK230" s="514"/>
      <c r="BGL230" s="514"/>
      <c r="BGM230" s="514"/>
      <c r="BGN230" s="514"/>
      <c r="BGO230" s="514"/>
      <c r="BGP230" s="514"/>
      <c r="BGQ230" s="514"/>
      <c r="BGR230" s="514"/>
      <c r="BGS230" s="514"/>
      <c r="BGT230" s="514"/>
      <c r="BGU230" s="514"/>
      <c r="BGV230" s="514"/>
      <c r="BGW230" s="514"/>
      <c r="BGX230" s="514"/>
      <c r="BGY230" s="514"/>
      <c r="BGZ230" s="514"/>
      <c r="BHA230" s="514"/>
      <c r="BHB230" s="514"/>
      <c r="BHC230" s="514"/>
      <c r="BHD230" s="514"/>
      <c r="BHE230" s="514"/>
      <c r="BHF230" s="514"/>
      <c r="BHG230" s="514"/>
      <c r="BHH230" s="514"/>
      <c r="BHI230" s="514"/>
      <c r="BHJ230" s="514"/>
      <c r="BHK230" s="514"/>
      <c r="BHL230" s="514"/>
      <c r="BHM230" s="514"/>
      <c r="BHN230" s="514"/>
      <c r="BHO230" s="514"/>
      <c r="BHP230" s="514"/>
      <c r="BHQ230" s="514"/>
      <c r="BHR230" s="514"/>
      <c r="BHS230" s="514"/>
      <c r="BHT230" s="514"/>
      <c r="BHU230" s="514"/>
      <c r="BHV230" s="514"/>
      <c r="BHW230" s="514"/>
      <c r="BHX230" s="514"/>
      <c r="BHY230" s="514"/>
      <c r="BHZ230" s="514"/>
      <c r="BIA230" s="514"/>
      <c r="BIB230" s="514"/>
      <c r="BIC230" s="514"/>
      <c r="BID230" s="514"/>
      <c r="BIE230" s="514"/>
      <c r="BIF230" s="514"/>
      <c r="BIG230" s="514"/>
      <c r="BIH230" s="514"/>
      <c r="BII230" s="514"/>
      <c r="BIJ230" s="514"/>
      <c r="BIK230" s="514"/>
      <c r="BIL230" s="514"/>
      <c r="BIM230" s="514"/>
      <c r="BIN230" s="514"/>
      <c r="BIO230" s="514"/>
      <c r="BIP230" s="514"/>
      <c r="BIQ230" s="514"/>
      <c r="BIR230" s="514"/>
      <c r="BIS230" s="514"/>
      <c r="BIT230" s="514"/>
      <c r="BIU230" s="514"/>
      <c r="BIV230" s="514"/>
      <c r="BIW230" s="514"/>
      <c r="BIX230" s="514"/>
      <c r="BIY230" s="514"/>
      <c r="BIZ230" s="514"/>
      <c r="BJA230" s="514"/>
      <c r="BJB230" s="514"/>
      <c r="BJC230" s="514"/>
      <c r="BJD230" s="514"/>
      <c r="BJE230" s="514"/>
      <c r="BJF230" s="514"/>
      <c r="BJG230" s="514"/>
      <c r="BJH230" s="514"/>
      <c r="BJI230" s="514"/>
      <c r="BJJ230" s="514"/>
      <c r="BJK230" s="514"/>
      <c r="BJL230" s="514"/>
      <c r="BJM230" s="514"/>
      <c r="BJN230" s="514"/>
      <c r="BJO230" s="514"/>
      <c r="BJP230" s="514"/>
      <c r="BJQ230" s="514"/>
      <c r="BJR230" s="514"/>
      <c r="BJS230" s="514"/>
      <c r="BJT230" s="514"/>
      <c r="BJU230" s="514"/>
      <c r="BJV230" s="514"/>
      <c r="BJW230" s="514"/>
      <c r="BJX230" s="514"/>
      <c r="BJY230" s="514"/>
      <c r="BJZ230" s="514"/>
      <c r="BKA230" s="514"/>
      <c r="BKB230" s="514"/>
      <c r="BKC230" s="514"/>
      <c r="BKD230" s="514"/>
      <c r="BKE230" s="514"/>
      <c r="BKF230" s="514"/>
      <c r="BKG230" s="514"/>
      <c r="BKH230" s="514"/>
      <c r="BKI230" s="514"/>
      <c r="BKJ230" s="514"/>
      <c r="BKK230" s="514"/>
      <c r="BKL230" s="514"/>
      <c r="BKM230" s="514"/>
      <c r="BKN230" s="514"/>
      <c r="BKO230" s="514"/>
      <c r="BKP230" s="514"/>
      <c r="BKQ230" s="514"/>
      <c r="BKR230" s="514"/>
      <c r="BKS230" s="514"/>
      <c r="BKT230" s="514"/>
      <c r="BKU230" s="514"/>
      <c r="BKV230" s="514"/>
      <c r="BKW230" s="514"/>
      <c r="BKX230" s="514"/>
      <c r="BKY230" s="514"/>
      <c r="BKZ230" s="514"/>
      <c r="BLA230" s="514"/>
      <c r="BLB230" s="514"/>
      <c r="BLC230" s="514"/>
      <c r="BLD230" s="514"/>
      <c r="BLE230" s="514"/>
      <c r="BLF230" s="514"/>
      <c r="BLG230" s="514"/>
      <c r="BLH230" s="514"/>
      <c r="BLI230" s="514"/>
      <c r="BLJ230" s="514"/>
      <c r="BLK230" s="514"/>
      <c r="BLL230" s="514"/>
      <c r="BLM230" s="514"/>
      <c r="BLN230" s="514"/>
      <c r="BLO230" s="514"/>
      <c r="BLP230" s="514"/>
      <c r="BLQ230" s="514"/>
      <c r="BLR230" s="514"/>
      <c r="BLS230" s="514"/>
      <c r="BLT230" s="514"/>
      <c r="BLU230" s="514"/>
      <c r="BLV230" s="514"/>
      <c r="BLW230" s="514"/>
      <c r="BLX230" s="514"/>
      <c r="BLY230" s="514"/>
      <c r="BLZ230" s="514"/>
      <c r="BMA230" s="514"/>
      <c r="BMB230" s="514"/>
      <c r="BMC230" s="514"/>
      <c r="BMD230" s="514"/>
      <c r="BME230" s="514"/>
      <c r="BMF230" s="514"/>
      <c r="BMG230" s="514"/>
      <c r="BMH230" s="514"/>
      <c r="BMI230" s="514"/>
      <c r="BMJ230" s="514"/>
      <c r="BMK230" s="514"/>
      <c r="BML230" s="514"/>
      <c r="BMM230" s="514"/>
      <c r="BMN230" s="514"/>
      <c r="BMO230" s="514"/>
      <c r="BMP230" s="514"/>
      <c r="BMQ230" s="514"/>
      <c r="BMR230" s="514"/>
      <c r="BMS230" s="514"/>
      <c r="BMT230" s="514"/>
      <c r="BMU230" s="514"/>
      <c r="BMV230" s="514"/>
      <c r="BMW230" s="514"/>
      <c r="BMX230" s="514"/>
      <c r="BMY230" s="514"/>
      <c r="BMZ230" s="514"/>
      <c r="BNA230" s="514"/>
      <c r="BNB230" s="514"/>
      <c r="BNC230" s="514"/>
      <c r="BND230" s="514"/>
      <c r="BNE230" s="514"/>
      <c r="BNF230" s="514"/>
      <c r="BNG230" s="514"/>
      <c r="BNH230" s="514"/>
      <c r="BNI230" s="514"/>
      <c r="BNJ230" s="514"/>
      <c r="BNK230" s="514"/>
      <c r="BNL230" s="514"/>
      <c r="BNM230" s="514"/>
      <c r="BNN230" s="514"/>
      <c r="BNO230" s="514"/>
      <c r="BNP230" s="514"/>
      <c r="BNQ230" s="514"/>
      <c r="BNR230" s="514"/>
      <c r="BNS230" s="514"/>
      <c r="BNT230" s="514"/>
      <c r="BNU230" s="514"/>
      <c r="BNV230" s="514"/>
      <c r="BNW230" s="514"/>
      <c r="BNX230" s="514"/>
      <c r="BNY230" s="514"/>
      <c r="BNZ230" s="514"/>
      <c r="BOA230" s="514"/>
      <c r="BOB230" s="514"/>
      <c r="BOC230" s="514"/>
      <c r="BOD230" s="514"/>
      <c r="BOE230" s="514"/>
      <c r="BOF230" s="514"/>
      <c r="BOG230" s="514"/>
      <c r="BOH230" s="514"/>
      <c r="BOI230" s="514"/>
      <c r="BOJ230" s="514"/>
      <c r="BOK230" s="514"/>
      <c r="BOL230" s="514"/>
      <c r="BOM230" s="514"/>
      <c r="BON230" s="514"/>
      <c r="BOO230" s="514"/>
      <c r="BOP230" s="514"/>
      <c r="BOQ230" s="514"/>
      <c r="BOR230" s="514"/>
      <c r="BOS230" s="514"/>
      <c r="BOT230" s="514"/>
      <c r="BOU230" s="514"/>
      <c r="BOV230" s="514"/>
      <c r="BOW230" s="514"/>
      <c r="BOX230" s="514"/>
      <c r="BOY230" s="514"/>
      <c r="BOZ230" s="514"/>
      <c r="BPA230" s="514"/>
      <c r="BPB230" s="514"/>
      <c r="BPC230" s="514"/>
      <c r="BPD230" s="514"/>
      <c r="BPE230" s="514"/>
      <c r="BPF230" s="514"/>
      <c r="BPG230" s="514"/>
      <c r="BPH230" s="514"/>
      <c r="BPI230" s="514"/>
      <c r="BPJ230" s="514"/>
      <c r="BPK230" s="514"/>
      <c r="BPL230" s="514"/>
      <c r="BPM230" s="514"/>
      <c r="BPN230" s="514"/>
      <c r="BPO230" s="514"/>
      <c r="BPP230" s="514"/>
      <c r="BPQ230" s="514"/>
      <c r="BPR230" s="514"/>
      <c r="BPS230" s="514"/>
      <c r="BPT230" s="514"/>
      <c r="BPU230" s="514"/>
      <c r="BPV230" s="514"/>
      <c r="BPW230" s="514"/>
      <c r="BPX230" s="514"/>
      <c r="BPY230" s="514"/>
      <c r="BPZ230" s="514"/>
      <c r="BQA230" s="514"/>
      <c r="BQB230" s="514"/>
      <c r="BQC230" s="514"/>
      <c r="BQD230" s="514"/>
      <c r="BQE230" s="514"/>
      <c r="BQF230" s="514"/>
      <c r="BQG230" s="514"/>
      <c r="BQH230" s="514"/>
      <c r="BQI230" s="514"/>
      <c r="BQJ230" s="514"/>
      <c r="BQK230" s="514"/>
      <c r="BQL230" s="514"/>
      <c r="BQM230" s="514"/>
      <c r="BQN230" s="514"/>
      <c r="BQO230" s="514"/>
      <c r="BQP230" s="514"/>
      <c r="BQQ230" s="514"/>
      <c r="BQR230" s="514"/>
      <c r="BQS230" s="514"/>
      <c r="BQT230" s="514"/>
      <c r="BQU230" s="514"/>
      <c r="BQV230" s="514"/>
      <c r="BQW230" s="514"/>
      <c r="BQX230" s="514"/>
      <c r="BQY230" s="514"/>
      <c r="BQZ230" s="514"/>
      <c r="BRA230" s="514"/>
      <c r="BRB230" s="514"/>
      <c r="BRC230" s="514"/>
      <c r="BRD230" s="514"/>
      <c r="BRE230" s="514"/>
      <c r="BRF230" s="514"/>
      <c r="BRG230" s="514"/>
      <c r="BRH230" s="514"/>
      <c r="BRI230" s="514"/>
      <c r="BRJ230" s="514"/>
      <c r="BRK230" s="514"/>
      <c r="BRL230" s="514"/>
      <c r="BRM230" s="514"/>
      <c r="BRN230" s="514"/>
      <c r="BRO230" s="514"/>
      <c r="BRP230" s="514"/>
      <c r="BRQ230" s="514"/>
      <c r="BRR230" s="514"/>
      <c r="BRS230" s="514"/>
      <c r="BRT230" s="514"/>
      <c r="BRU230" s="514"/>
      <c r="BRV230" s="514"/>
      <c r="BRW230" s="514"/>
      <c r="BRX230" s="514"/>
      <c r="BRY230" s="514"/>
      <c r="BRZ230" s="514"/>
      <c r="BSA230" s="514"/>
      <c r="BSB230" s="514"/>
      <c r="BSC230" s="514"/>
      <c r="BSD230" s="514"/>
      <c r="BSE230" s="514"/>
      <c r="BSF230" s="514"/>
      <c r="BSG230" s="514"/>
      <c r="BSH230" s="514"/>
      <c r="BSI230" s="514"/>
      <c r="BSJ230" s="514"/>
      <c r="BSK230" s="514"/>
      <c r="BSL230" s="514"/>
      <c r="BSM230" s="514"/>
      <c r="BSN230" s="514"/>
      <c r="BSO230" s="514"/>
      <c r="BSP230" s="514"/>
      <c r="BSQ230" s="514"/>
      <c r="BSR230" s="514"/>
      <c r="BSS230" s="514"/>
      <c r="BST230" s="514"/>
      <c r="BSU230" s="514"/>
      <c r="BSV230" s="514"/>
      <c r="BSW230" s="514"/>
      <c r="BSX230" s="514"/>
      <c r="BSY230" s="514"/>
      <c r="BSZ230" s="514"/>
      <c r="BTA230" s="514"/>
      <c r="BTB230" s="514"/>
      <c r="BTC230" s="514"/>
      <c r="BTD230" s="514"/>
      <c r="BTE230" s="514"/>
      <c r="BTF230" s="514"/>
      <c r="BTG230" s="514"/>
      <c r="BTH230" s="514"/>
      <c r="BTI230" s="514"/>
      <c r="BTJ230" s="514"/>
      <c r="BTK230" s="514"/>
      <c r="BTL230" s="514"/>
      <c r="BTM230" s="514"/>
      <c r="BTN230" s="514"/>
      <c r="BTO230" s="514"/>
      <c r="BTP230" s="514"/>
      <c r="BTQ230" s="514"/>
      <c r="BTR230" s="514"/>
      <c r="BTS230" s="514"/>
      <c r="BTT230" s="514"/>
      <c r="BTU230" s="514"/>
      <c r="BTV230" s="514"/>
      <c r="BTW230" s="514"/>
      <c r="BTX230" s="514"/>
      <c r="BTY230" s="514"/>
      <c r="BTZ230" s="514"/>
      <c r="BUA230" s="514"/>
      <c r="BUB230" s="514"/>
      <c r="BUC230" s="514"/>
      <c r="BUD230" s="514"/>
      <c r="BUE230" s="514"/>
      <c r="BUF230" s="514"/>
      <c r="BUG230" s="514"/>
      <c r="BUH230" s="514"/>
      <c r="BUI230" s="514"/>
      <c r="BUJ230" s="514"/>
      <c r="BUK230" s="514"/>
      <c r="BUL230" s="514"/>
      <c r="BUM230" s="514"/>
      <c r="BUN230" s="514"/>
      <c r="BUO230" s="514"/>
      <c r="BUP230" s="514"/>
      <c r="BUQ230" s="514"/>
      <c r="BUR230" s="514"/>
      <c r="BUS230" s="514"/>
      <c r="BUT230" s="514"/>
      <c r="BUU230" s="514"/>
      <c r="BUV230" s="514"/>
      <c r="BUW230" s="514"/>
      <c r="BUX230" s="514"/>
      <c r="BUY230" s="514"/>
      <c r="BUZ230" s="514"/>
      <c r="BVA230" s="514"/>
      <c r="BVB230" s="514"/>
      <c r="BVC230" s="514"/>
      <c r="BVD230" s="514"/>
      <c r="BVE230" s="514"/>
      <c r="BVF230" s="514"/>
      <c r="BVG230" s="514"/>
      <c r="BVH230" s="514"/>
      <c r="BVI230" s="514"/>
      <c r="BVJ230" s="514"/>
      <c r="BVK230" s="514"/>
      <c r="BVL230" s="514"/>
      <c r="BVM230" s="514"/>
      <c r="BVN230" s="514"/>
      <c r="BVO230" s="514"/>
      <c r="BVP230" s="514"/>
      <c r="BVQ230" s="514"/>
      <c r="BVR230" s="514"/>
      <c r="BVS230" s="514"/>
      <c r="BVT230" s="514"/>
      <c r="BVU230" s="514"/>
      <c r="BVV230" s="514"/>
      <c r="BVW230" s="514"/>
      <c r="BVX230" s="514"/>
      <c r="BVY230" s="514"/>
      <c r="BVZ230" s="514"/>
      <c r="BWA230" s="514"/>
      <c r="BWB230" s="514"/>
      <c r="BWC230" s="514"/>
      <c r="BWD230" s="514"/>
      <c r="BWE230" s="514"/>
      <c r="BWF230" s="514"/>
      <c r="BWG230" s="514"/>
      <c r="BWH230" s="514"/>
      <c r="BWI230" s="514"/>
      <c r="BWJ230" s="514"/>
      <c r="BWK230" s="514"/>
      <c r="BWL230" s="514"/>
      <c r="BWM230" s="514"/>
      <c r="BWN230" s="514"/>
      <c r="BWO230" s="514"/>
      <c r="BWP230" s="514"/>
      <c r="BWQ230" s="514"/>
      <c r="BWR230" s="514"/>
      <c r="BWS230" s="514"/>
      <c r="BWT230" s="514"/>
      <c r="BWU230" s="514"/>
      <c r="BWV230" s="514"/>
      <c r="BWW230" s="514"/>
      <c r="BWX230" s="514"/>
      <c r="BWY230" s="514"/>
      <c r="BWZ230" s="514"/>
      <c r="BXA230" s="514"/>
      <c r="BXB230" s="514"/>
      <c r="BXC230" s="514"/>
      <c r="BXD230" s="514"/>
      <c r="BXE230" s="514"/>
      <c r="BXF230" s="514"/>
      <c r="BXG230" s="514"/>
      <c r="BXH230" s="514"/>
      <c r="BXI230" s="514"/>
      <c r="BXJ230" s="514"/>
      <c r="BXK230" s="514"/>
      <c r="BXL230" s="514"/>
      <c r="BXM230" s="514"/>
      <c r="BXN230" s="514"/>
      <c r="BXO230" s="514"/>
      <c r="BXP230" s="514"/>
      <c r="BXQ230" s="514"/>
      <c r="BXR230" s="514"/>
      <c r="BXS230" s="514"/>
      <c r="BXT230" s="514"/>
      <c r="BXU230" s="514"/>
      <c r="BXV230" s="514"/>
      <c r="BXW230" s="514"/>
      <c r="BXX230" s="514"/>
      <c r="BXY230" s="514"/>
      <c r="BXZ230" s="514"/>
      <c r="BYA230" s="514"/>
      <c r="BYB230" s="514"/>
      <c r="BYC230" s="514"/>
      <c r="BYD230" s="514"/>
      <c r="BYE230" s="514"/>
      <c r="BYF230" s="514"/>
      <c r="BYG230" s="514"/>
      <c r="BYH230" s="514"/>
      <c r="BYI230" s="514"/>
      <c r="BYJ230" s="514"/>
      <c r="BYK230" s="514"/>
      <c r="BYL230" s="514"/>
      <c r="BYM230" s="514"/>
      <c r="BYN230" s="514"/>
      <c r="BYO230" s="514"/>
      <c r="BYP230" s="514"/>
      <c r="BYQ230" s="514"/>
      <c r="BYR230" s="514"/>
      <c r="BYS230" s="514"/>
      <c r="BYT230" s="514"/>
      <c r="BYU230" s="514"/>
      <c r="BYV230" s="514"/>
      <c r="BYW230" s="514"/>
      <c r="BYX230" s="514"/>
      <c r="BYY230" s="514"/>
      <c r="BYZ230" s="514"/>
      <c r="BZA230" s="514"/>
      <c r="BZB230" s="514"/>
      <c r="BZC230" s="514"/>
      <c r="BZD230" s="514"/>
      <c r="BZE230" s="514"/>
      <c r="BZF230" s="514"/>
      <c r="BZG230" s="514"/>
      <c r="BZH230" s="514"/>
      <c r="BZI230" s="514"/>
      <c r="BZJ230" s="514"/>
      <c r="BZK230" s="514"/>
      <c r="BZL230" s="514"/>
      <c r="BZM230" s="514"/>
      <c r="BZN230" s="514"/>
      <c r="BZO230" s="514"/>
      <c r="BZP230" s="514"/>
      <c r="BZQ230" s="514"/>
      <c r="BZR230" s="514"/>
      <c r="BZS230" s="514"/>
      <c r="BZT230" s="514"/>
      <c r="BZU230" s="514"/>
      <c r="BZV230" s="514"/>
      <c r="BZW230" s="514"/>
      <c r="BZX230" s="514"/>
      <c r="BZY230" s="514"/>
      <c r="BZZ230" s="514"/>
      <c r="CAA230" s="514"/>
      <c r="CAB230" s="514"/>
      <c r="CAC230" s="514"/>
      <c r="CAD230" s="514"/>
      <c r="CAE230" s="514"/>
      <c r="CAF230" s="514"/>
      <c r="CAG230" s="514"/>
      <c r="CAH230" s="514"/>
      <c r="CAI230" s="514"/>
      <c r="CAJ230" s="514"/>
      <c r="CAK230" s="514"/>
      <c r="CAL230" s="514"/>
      <c r="CAM230" s="514"/>
      <c r="CAN230" s="514"/>
      <c r="CAO230" s="514"/>
      <c r="CAP230" s="514"/>
      <c r="CAQ230" s="514"/>
      <c r="CAR230" s="514"/>
      <c r="CAS230" s="514"/>
      <c r="CAT230" s="514"/>
      <c r="CAU230" s="514"/>
      <c r="CAV230" s="514"/>
      <c r="CAW230" s="514"/>
      <c r="CAX230" s="514"/>
      <c r="CAY230" s="514"/>
      <c r="CAZ230" s="514"/>
      <c r="CBA230" s="514"/>
      <c r="CBB230" s="514"/>
      <c r="CBC230" s="514"/>
      <c r="CBD230" s="514"/>
      <c r="CBE230" s="514"/>
      <c r="CBF230" s="514"/>
      <c r="CBG230" s="514"/>
      <c r="CBH230" s="514"/>
      <c r="CBI230" s="514"/>
      <c r="CBJ230" s="514"/>
      <c r="CBK230" s="514"/>
      <c r="CBL230" s="514"/>
      <c r="CBM230" s="514"/>
      <c r="CBN230" s="514"/>
      <c r="CBO230" s="514"/>
      <c r="CBP230" s="514"/>
      <c r="CBQ230" s="514"/>
      <c r="CBR230" s="514"/>
      <c r="CBS230" s="514"/>
      <c r="CBT230" s="514"/>
      <c r="CBU230" s="514"/>
      <c r="CBV230" s="514"/>
      <c r="CBW230" s="514"/>
      <c r="CBX230" s="514"/>
      <c r="CBY230" s="514"/>
      <c r="CBZ230" s="514"/>
      <c r="CCA230" s="514"/>
      <c r="CCB230" s="514"/>
      <c r="CCC230" s="514"/>
      <c r="CCD230" s="514"/>
      <c r="CCE230" s="514"/>
      <c r="CCF230" s="514"/>
      <c r="CCG230" s="514"/>
      <c r="CCH230" s="514"/>
      <c r="CCI230" s="514"/>
      <c r="CCJ230" s="514"/>
      <c r="CCK230" s="514"/>
      <c r="CCL230" s="514"/>
      <c r="CCM230" s="514"/>
      <c r="CCN230" s="514"/>
      <c r="CCO230" s="514"/>
      <c r="CCP230" s="514"/>
      <c r="CCQ230" s="514"/>
      <c r="CCR230" s="514"/>
      <c r="CCS230" s="514"/>
      <c r="CCT230" s="514"/>
      <c r="CCU230" s="514"/>
      <c r="CCV230" s="514"/>
      <c r="CCW230" s="514"/>
      <c r="CCX230" s="514"/>
      <c r="CCY230" s="514"/>
      <c r="CCZ230" s="514"/>
      <c r="CDA230" s="514"/>
      <c r="CDB230" s="514"/>
      <c r="CDC230" s="514"/>
      <c r="CDD230" s="514"/>
      <c r="CDE230" s="514"/>
      <c r="CDF230" s="514"/>
      <c r="CDG230" s="514"/>
      <c r="CDH230" s="514"/>
      <c r="CDI230" s="514"/>
      <c r="CDJ230" s="514"/>
      <c r="CDK230" s="514"/>
      <c r="CDL230" s="514"/>
      <c r="CDM230" s="514"/>
      <c r="CDN230" s="514"/>
      <c r="CDO230" s="514"/>
      <c r="CDP230" s="514"/>
      <c r="CDQ230" s="514"/>
      <c r="CDR230" s="514"/>
      <c r="CDS230" s="514"/>
      <c r="CDT230" s="514"/>
      <c r="CDU230" s="514"/>
      <c r="CDV230" s="514"/>
      <c r="CDW230" s="514"/>
      <c r="CDX230" s="514"/>
      <c r="CDY230" s="514"/>
      <c r="CDZ230" s="514"/>
      <c r="CEA230" s="514"/>
      <c r="CEB230" s="514"/>
      <c r="CEC230" s="514"/>
      <c r="CED230" s="514"/>
      <c r="CEE230" s="514"/>
      <c r="CEF230" s="514"/>
      <c r="CEG230" s="514"/>
      <c r="CEH230" s="514"/>
      <c r="CEI230" s="514"/>
      <c r="CEJ230" s="514"/>
      <c r="CEK230" s="514"/>
      <c r="CEL230" s="514"/>
      <c r="CEM230" s="514"/>
      <c r="CEN230" s="514"/>
      <c r="CEO230" s="514"/>
      <c r="CEP230" s="514"/>
      <c r="CEQ230" s="514"/>
      <c r="CER230" s="514"/>
      <c r="CES230" s="514"/>
      <c r="CET230" s="514"/>
      <c r="CEU230" s="514"/>
      <c r="CEV230" s="514"/>
      <c r="CEW230" s="514"/>
      <c r="CEX230" s="514"/>
      <c r="CEY230" s="514"/>
      <c r="CEZ230" s="514"/>
      <c r="CFA230" s="514"/>
      <c r="CFB230" s="514"/>
      <c r="CFC230" s="514"/>
      <c r="CFD230" s="514"/>
      <c r="CFE230" s="514"/>
      <c r="CFF230" s="514"/>
      <c r="CFG230" s="514"/>
      <c r="CFH230" s="514"/>
      <c r="CFI230" s="514"/>
      <c r="CFJ230" s="514"/>
      <c r="CFK230" s="514"/>
      <c r="CFL230" s="514"/>
      <c r="CFM230" s="514"/>
      <c r="CFN230" s="514"/>
      <c r="CFO230" s="514"/>
      <c r="CFP230" s="514"/>
      <c r="CFQ230" s="514"/>
      <c r="CFR230" s="514"/>
      <c r="CFS230" s="514"/>
      <c r="CFT230" s="514"/>
      <c r="CFU230" s="514"/>
      <c r="CFV230" s="514"/>
      <c r="CFW230" s="514"/>
      <c r="CFX230" s="514"/>
      <c r="CFY230" s="514"/>
      <c r="CFZ230" s="514"/>
      <c r="CGA230" s="514"/>
      <c r="CGB230" s="514"/>
      <c r="CGC230" s="514"/>
      <c r="CGD230" s="514"/>
      <c r="CGE230" s="514"/>
      <c r="CGF230" s="514"/>
      <c r="CGG230" s="514"/>
      <c r="CGH230" s="514"/>
      <c r="CGI230" s="514"/>
      <c r="CGJ230" s="514"/>
      <c r="CGK230" s="514"/>
      <c r="CGL230" s="514"/>
      <c r="CGM230" s="514"/>
      <c r="CGN230" s="514"/>
      <c r="CGO230" s="514"/>
      <c r="CGP230" s="514"/>
      <c r="CGQ230" s="514"/>
      <c r="CGR230" s="514"/>
      <c r="CGS230" s="514"/>
      <c r="CGT230" s="514"/>
      <c r="CGU230" s="514"/>
      <c r="CGV230" s="514"/>
      <c r="CGW230" s="514"/>
      <c r="CGX230" s="514"/>
      <c r="CGY230" s="514"/>
      <c r="CGZ230" s="514"/>
      <c r="CHA230" s="514"/>
      <c r="CHB230" s="514"/>
      <c r="CHC230" s="514"/>
      <c r="CHD230" s="514"/>
      <c r="CHE230" s="514"/>
      <c r="CHF230" s="514"/>
      <c r="CHG230" s="514"/>
      <c r="CHH230" s="514"/>
      <c r="CHI230" s="514"/>
      <c r="CHJ230" s="514"/>
      <c r="CHK230" s="514"/>
      <c r="CHL230" s="514"/>
      <c r="CHM230" s="514"/>
      <c r="CHN230" s="514"/>
      <c r="CHO230" s="514"/>
      <c r="CHP230" s="514"/>
      <c r="CHQ230" s="514"/>
      <c r="CHR230" s="514"/>
      <c r="CHS230" s="514"/>
      <c r="CHT230" s="514"/>
      <c r="CHU230" s="514"/>
      <c r="CHV230" s="514"/>
      <c r="CHW230" s="514"/>
      <c r="CHX230" s="514"/>
      <c r="CHY230" s="514"/>
      <c r="CHZ230" s="514"/>
      <c r="CIA230" s="514"/>
      <c r="CIB230" s="514"/>
      <c r="CIC230" s="514"/>
      <c r="CID230" s="514"/>
      <c r="CIE230" s="514"/>
      <c r="CIF230" s="514"/>
      <c r="CIG230" s="514"/>
      <c r="CIH230" s="514"/>
      <c r="CII230" s="514"/>
      <c r="CIJ230" s="514"/>
      <c r="CIK230" s="514"/>
      <c r="CIL230" s="514"/>
      <c r="CIM230" s="514"/>
      <c r="CIN230" s="514"/>
      <c r="CIO230" s="514"/>
      <c r="CIP230" s="514"/>
      <c r="CIQ230" s="514"/>
      <c r="CIR230" s="514"/>
      <c r="CIS230" s="514"/>
      <c r="CIT230" s="514"/>
      <c r="CIU230" s="514"/>
      <c r="CIV230" s="514"/>
      <c r="CIW230" s="514"/>
      <c r="CIX230" s="514"/>
      <c r="CIY230" s="514"/>
      <c r="CIZ230" s="514"/>
      <c r="CJA230" s="514"/>
      <c r="CJB230" s="514"/>
      <c r="CJC230" s="514"/>
      <c r="CJD230" s="514"/>
      <c r="CJE230" s="514"/>
      <c r="CJF230" s="514"/>
      <c r="CJG230" s="514"/>
      <c r="CJH230" s="514"/>
      <c r="CJI230" s="514"/>
      <c r="CJJ230" s="514"/>
      <c r="CJK230" s="514"/>
      <c r="CJL230" s="514"/>
      <c r="CJM230" s="514"/>
      <c r="CJN230" s="514"/>
      <c r="CJO230" s="514"/>
      <c r="CJP230" s="514"/>
      <c r="CJQ230" s="514"/>
      <c r="CJR230" s="514"/>
      <c r="CJS230" s="514"/>
      <c r="CJT230" s="514"/>
      <c r="CJU230" s="514"/>
      <c r="CJV230" s="514"/>
      <c r="CJW230" s="514"/>
      <c r="CJX230" s="514"/>
      <c r="CJY230" s="514"/>
      <c r="CJZ230" s="514"/>
      <c r="CKA230" s="514"/>
      <c r="CKB230" s="514"/>
      <c r="CKC230" s="514"/>
      <c r="CKD230" s="514"/>
      <c r="CKE230" s="514"/>
      <c r="CKF230" s="514"/>
      <c r="CKG230" s="514"/>
      <c r="CKH230" s="514"/>
      <c r="CKI230" s="514"/>
      <c r="CKJ230" s="514"/>
      <c r="CKK230" s="514"/>
      <c r="CKL230" s="514"/>
      <c r="CKM230" s="514"/>
      <c r="CKN230" s="514"/>
      <c r="CKO230" s="514"/>
      <c r="CKP230" s="514"/>
      <c r="CKQ230" s="514"/>
      <c r="CKR230" s="514"/>
      <c r="CKS230" s="514"/>
      <c r="CKT230" s="514"/>
      <c r="CKU230" s="514"/>
      <c r="CKV230" s="514"/>
      <c r="CKW230" s="514"/>
      <c r="CKX230" s="514"/>
      <c r="CKY230" s="514"/>
      <c r="CKZ230" s="514"/>
      <c r="CLA230" s="514"/>
      <c r="CLB230" s="514"/>
      <c r="CLC230" s="514"/>
      <c r="CLD230" s="514"/>
      <c r="CLE230" s="514"/>
      <c r="CLF230" s="514"/>
      <c r="CLG230" s="514"/>
      <c r="CLH230" s="514"/>
      <c r="CLI230" s="514"/>
      <c r="CLJ230" s="514"/>
      <c r="CLK230" s="514"/>
      <c r="CLL230" s="514"/>
      <c r="CLM230" s="514"/>
      <c r="CLN230" s="514"/>
      <c r="CLO230" s="514"/>
      <c r="CLP230" s="514"/>
      <c r="CLQ230" s="514"/>
      <c r="CLR230" s="514"/>
      <c r="CLS230" s="514"/>
      <c r="CLT230" s="514"/>
      <c r="CLU230" s="514"/>
      <c r="CLV230" s="514"/>
      <c r="CLW230" s="514"/>
      <c r="CLX230" s="514"/>
      <c r="CLY230" s="514"/>
      <c r="CLZ230" s="514"/>
      <c r="CMA230" s="514"/>
      <c r="CMB230" s="514"/>
      <c r="CMC230" s="514"/>
      <c r="CMD230" s="514"/>
      <c r="CME230" s="514"/>
      <c r="CMF230" s="514"/>
      <c r="CMG230" s="514"/>
      <c r="CMH230" s="514"/>
      <c r="CMI230" s="514"/>
      <c r="CMJ230" s="514"/>
      <c r="CMK230" s="514"/>
      <c r="CML230" s="514"/>
      <c r="CMM230" s="514"/>
      <c r="CMN230" s="514"/>
      <c r="CMO230" s="514"/>
      <c r="CMP230" s="514"/>
      <c r="CMQ230" s="514"/>
      <c r="CMR230" s="514"/>
      <c r="CMS230" s="514"/>
      <c r="CMT230" s="514"/>
      <c r="CMU230" s="514"/>
      <c r="CMV230" s="514"/>
      <c r="CMW230" s="514"/>
      <c r="CMX230" s="514"/>
      <c r="CMY230" s="514"/>
      <c r="CMZ230" s="514"/>
      <c r="CNA230" s="514"/>
      <c r="CNB230" s="514"/>
      <c r="CNC230" s="514"/>
      <c r="CND230" s="514"/>
      <c r="CNE230" s="514"/>
      <c r="CNF230" s="514"/>
      <c r="CNG230" s="514"/>
      <c r="CNH230" s="514"/>
      <c r="CNI230" s="514"/>
      <c r="CNJ230" s="514"/>
      <c r="CNK230" s="514"/>
      <c r="CNL230" s="514"/>
      <c r="CNM230" s="514"/>
      <c r="CNN230" s="514"/>
      <c r="CNO230" s="514"/>
      <c r="CNP230" s="514"/>
      <c r="CNQ230" s="514"/>
      <c r="CNR230" s="514"/>
      <c r="CNS230" s="514"/>
      <c r="CNT230" s="514"/>
      <c r="CNU230" s="514"/>
      <c r="CNV230" s="514"/>
      <c r="CNW230" s="514"/>
      <c r="CNX230" s="514"/>
      <c r="CNY230" s="514"/>
      <c r="CNZ230" s="514"/>
      <c r="COA230" s="514"/>
      <c r="COB230" s="514"/>
      <c r="COC230" s="514"/>
      <c r="COD230" s="514"/>
      <c r="COE230" s="514"/>
      <c r="COF230" s="514"/>
      <c r="COG230" s="514"/>
      <c r="COH230" s="514"/>
      <c r="COI230" s="514"/>
      <c r="COJ230" s="514"/>
      <c r="COK230" s="514"/>
      <c r="COL230" s="514"/>
      <c r="COM230" s="514"/>
      <c r="CON230" s="514"/>
      <c r="COO230" s="514"/>
      <c r="COP230" s="514"/>
      <c r="COQ230" s="514"/>
      <c r="COR230" s="514"/>
      <c r="COS230" s="514"/>
      <c r="COT230" s="514"/>
      <c r="COU230" s="514"/>
      <c r="COV230" s="514"/>
      <c r="COW230" s="514"/>
      <c r="COX230" s="514"/>
      <c r="COY230" s="514"/>
      <c r="COZ230" s="514"/>
      <c r="CPA230" s="514"/>
      <c r="CPB230" s="514"/>
      <c r="CPC230" s="514"/>
      <c r="CPD230" s="514"/>
      <c r="CPE230" s="514"/>
      <c r="CPF230" s="514"/>
      <c r="CPG230" s="514"/>
      <c r="CPH230" s="514"/>
      <c r="CPI230" s="514"/>
      <c r="CPJ230" s="514"/>
      <c r="CPK230" s="514"/>
      <c r="CPL230" s="514"/>
      <c r="CPM230" s="514"/>
      <c r="CPN230" s="514"/>
      <c r="CPO230" s="514"/>
      <c r="CPP230" s="514"/>
      <c r="CPQ230" s="514"/>
      <c r="CPR230" s="514"/>
      <c r="CPS230" s="514"/>
      <c r="CPT230" s="514"/>
      <c r="CPU230" s="514"/>
      <c r="CPV230" s="514"/>
      <c r="CPW230" s="514"/>
      <c r="CPX230" s="514"/>
      <c r="CPY230" s="514"/>
      <c r="CPZ230" s="514"/>
      <c r="CQA230" s="514"/>
      <c r="CQB230" s="514"/>
      <c r="CQC230" s="514"/>
      <c r="CQD230" s="514"/>
      <c r="CQE230" s="514"/>
      <c r="CQF230" s="514"/>
      <c r="CQG230" s="514"/>
      <c r="CQH230" s="514"/>
      <c r="CQI230" s="514"/>
      <c r="CQJ230" s="514"/>
      <c r="CQK230" s="514"/>
      <c r="CQL230" s="514"/>
      <c r="CQM230" s="514"/>
      <c r="CQN230" s="514"/>
      <c r="CQO230" s="514"/>
      <c r="CQP230" s="514"/>
      <c r="CQQ230" s="514"/>
      <c r="CQR230" s="514"/>
      <c r="CQS230" s="514"/>
      <c r="CQT230" s="514"/>
      <c r="CQU230" s="514"/>
      <c r="CQV230" s="514"/>
      <c r="CQW230" s="514"/>
      <c r="CQX230" s="514"/>
      <c r="CQY230" s="514"/>
      <c r="CQZ230" s="514"/>
      <c r="CRA230" s="514"/>
      <c r="CRB230" s="514"/>
      <c r="CRC230" s="514"/>
      <c r="CRD230" s="514"/>
      <c r="CRE230" s="514"/>
      <c r="CRF230" s="514"/>
      <c r="CRG230" s="514"/>
      <c r="CRH230" s="514"/>
      <c r="CRI230" s="514"/>
      <c r="CRJ230" s="514"/>
      <c r="CRK230" s="514"/>
      <c r="CRL230" s="514"/>
      <c r="CRM230" s="514"/>
      <c r="CRN230" s="514"/>
      <c r="CRO230" s="514"/>
      <c r="CRP230" s="514"/>
      <c r="CRQ230" s="514"/>
      <c r="CRR230" s="514"/>
      <c r="CRS230" s="514"/>
      <c r="CRT230" s="514"/>
      <c r="CRU230" s="514"/>
      <c r="CRV230" s="514"/>
      <c r="CRW230" s="514"/>
      <c r="CRX230" s="514"/>
      <c r="CRY230" s="514"/>
      <c r="CRZ230" s="514"/>
      <c r="CSA230" s="514"/>
      <c r="CSB230" s="514"/>
      <c r="CSC230" s="514"/>
      <c r="CSD230" s="514"/>
      <c r="CSE230" s="514"/>
      <c r="CSF230" s="514"/>
      <c r="CSG230" s="514"/>
      <c r="CSH230" s="514"/>
      <c r="CSI230" s="514"/>
      <c r="CSJ230" s="514"/>
      <c r="CSK230" s="514"/>
      <c r="CSL230" s="514"/>
      <c r="CSM230" s="514"/>
      <c r="CSN230" s="514"/>
      <c r="CSO230" s="514"/>
      <c r="CSP230" s="514"/>
      <c r="CSQ230" s="514"/>
      <c r="CSR230" s="514"/>
      <c r="CSS230" s="514"/>
      <c r="CST230" s="514"/>
      <c r="CSU230" s="514"/>
      <c r="CSV230" s="514"/>
      <c r="CSW230" s="514"/>
      <c r="CSX230" s="514"/>
      <c r="CSY230" s="514"/>
      <c r="CSZ230" s="514"/>
      <c r="CTA230" s="514"/>
      <c r="CTB230" s="514"/>
      <c r="CTC230" s="514"/>
      <c r="CTD230" s="514"/>
      <c r="CTE230" s="514"/>
      <c r="CTF230" s="514"/>
      <c r="CTG230" s="514"/>
      <c r="CTH230" s="514"/>
      <c r="CTI230" s="514"/>
      <c r="CTJ230" s="514"/>
      <c r="CTK230" s="514"/>
      <c r="CTL230" s="514"/>
      <c r="CTM230" s="514"/>
      <c r="CTN230" s="514"/>
      <c r="CTO230" s="514"/>
      <c r="CTP230" s="514"/>
      <c r="CTQ230" s="514"/>
      <c r="CTR230" s="514"/>
      <c r="CTS230" s="514"/>
      <c r="CTT230" s="514"/>
      <c r="CTU230" s="514"/>
      <c r="CTV230" s="514"/>
      <c r="CTW230" s="514"/>
      <c r="CTX230" s="514"/>
      <c r="CTY230" s="514"/>
      <c r="CTZ230" s="514"/>
      <c r="CUA230" s="514"/>
      <c r="CUB230" s="514"/>
      <c r="CUC230" s="514"/>
      <c r="CUD230" s="514"/>
      <c r="CUE230" s="514"/>
      <c r="CUF230" s="514"/>
      <c r="CUG230" s="514"/>
      <c r="CUH230" s="514"/>
      <c r="CUI230" s="514"/>
      <c r="CUJ230" s="514"/>
      <c r="CUK230" s="514"/>
      <c r="CUL230" s="514"/>
      <c r="CUM230" s="514"/>
      <c r="CUN230" s="514"/>
      <c r="CUO230" s="514"/>
      <c r="CUP230" s="514"/>
      <c r="CUQ230" s="514"/>
      <c r="CUR230" s="514"/>
      <c r="CUS230" s="514"/>
      <c r="CUT230" s="514"/>
      <c r="CUU230" s="514"/>
      <c r="CUV230" s="514"/>
      <c r="CUW230" s="514"/>
      <c r="CUX230" s="514"/>
      <c r="CUY230" s="514"/>
      <c r="CUZ230" s="514"/>
      <c r="CVA230" s="514"/>
      <c r="CVB230" s="514"/>
      <c r="CVC230" s="514"/>
      <c r="CVD230" s="514"/>
      <c r="CVE230" s="514"/>
      <c r="CVF230" s="514"/>
      <c r="CVG230" s="514"/>
      <c r="CVH230" s="514"/>
      <c r="CVI230" s="514"/>
      <c r="CVJ230" s="514"/>
      <c r="CVK230" s="514"/>
      <c r="CVL230" s="514"/>
      <c r="CVM230" s="514"/>
      <c r="CVN230" s="514"/>
      <c r="CVO230" s="514"/>
      <c r="CVP230" s="514"/>
      <c r="CVQ230" s="514"/>
      <c r="CVR230" s="514"/>
      <c r="CVS230" s="514"/>
      <c r="CVT230" s="514"/>
      <c r="CVU230" s="514"/>
      <c r="CVV230" s="514"/>
      <c r="CVW230" s="514"/>
      <c r="CVX230" s="514"/>
      <c r="CVY230" s="514"/>
      <c r="CVZ230" s="514"/>
      <c r="CWA230" s="514"/>
      <c r="CWB230" s="514"/>
      <c r="CWC230" s="514"/>
      <c r="CWD230" s="514"/>
      <c r="CWE230" s="514"/>
      <c r="CWF230" s="514"/>
      <c r="CWG230" s="514"/>
      <c r="CWH230" s="514"/>
      <c r="CWI230" s="514"/>
      <c r="CWJ230" s="514"/>
      <c r="CWK230" s="514"/>
      <c r="CWL230" s="514"/>
      <c r="CWM230" s="514"/>
      <c r="CWN230" s="514"/>
      <c r="CWO230" s="514"/>
      <c r="CWP230" s="514"/>
      <c r="CWQ230" s="514"/>
      <c r="CWR230" s="514"/>
      <c r="CWS230" s="514"/>
      <c r="CWT230" s="514"/>
      <c r="CWU230" s="514"/>
      <c r="CWV230" s="514"/>
      <c r="CWW230" s="514"/>
      <c r="CWX230" s="514"/>
      <c r="CWY230" s="514"/>
      <c r="CWZ230" s="514"/>
      <c r="CXA230" s="514"/>
      <c r="CXB230" s="514"/>
      <c r="CXC230" s="514"/>
      <c r="CXD230" s="514"/>
      <c r="CXE230" s="514"/>
      <c r="CXF230" s="514"/>
      <c r="CXG230" s="514"/>
      <c r="CXH230" s="514"/>
      <c r="CXI230" s="514"/>
      <c r="CXJ230" s="514"/>
      <c r="CXK230" s="514"/>
      <c r="CXL230" s="514"/>
      <c r="CXM230" s="514"/>
      <c r="CXN230" s="514"/>
      <c r="CXO230" s="514"/>
      <c r="CXP230" s="514"/>
      <c r="CXQ230" s="514"/>
      <c r="CXR230" s="514"/>
      <c r="CXS230" s="514"/>
      <c r="CXT230" s="514"/>
      <c r="CXU230" s="514"/>
      <c r="CXV230" s="514"/>
      <c r="CXW230" s="514"/>
      <c r="CXX230" s="514"/>
      <c r="CXY230" s="514"/>
      <c r="CXZ230" s="514"/>
      <c r="CYA230" s="514"/>
      <c r="CYB230" s="514"/>
      <c r="CYC230" s="514"/>
      <c r="CYD230" s="514"/>
      <c r="CYE230" s="514"/>
      <c r="CYF230" s="514"/>
      <c r="CYG230" s="514"/>
      <c r="CYH230" s="514"/>
      <c r="CYI230" s="514"/>
      <c r="CYJ230" s="514"/>
      <c r="CYK230" s="514"/>
      <c r="CYL230" s="514"/>
      <c r="CYM230" s="514"/>
      <c r="CYN230" s="514"/>
      <c r="CYO230" s="514"/>
      <c r="CYP230" s="514"/>
      <c r="CYQ230" s="514"/>
      <c r="CYR230" s="514"/>
      <c r="CYS230" s="514"/>
      <c r="CYT230" s="514"/>
      <c r="CYU230" s="514"/>
      <c r="CYV230" s="514"/>
      <c r="CYW230" s="514"/>
      <c r="CYX230" s="514"/>
      <c r="CYY230" s="514"/>
      <c r="CYZ230" s="514"/>
      <c r="CZA230" s="514"/>
      <c r="CZB230" s="514"/>
      <c r="CZC230" s="514"/>
      <c r="CZD230" s="514"/>
      <c r="CZE230" s="514"/>
      <c r="CZF230" s="514"/>
      <c r="CZG230" s="514"/>
      <c r="CZH230" s="514"/>
      <c r="CZI230" s="514"/>
      <c r="CZJ230" s="514"/>
      <c r="CZK230" s="514"/>
      <c r="CZL230" s="514"/>
      <c r="CZM230" s="514"/>
      <c r="CZN230" s="514"/>
      <c r="CZO230" s="514"/>
      <c r="CZP230" s="514"/>
      <c r="CZQ230" s="514"/>
      <c r="CZR230" s="514"/>
      <c r="CZS230" s="514"/>
      <c r="CZT230" s="514"/>
      <c r="CZU230" s="514"/>
      <c r="CZV230" s="514"/>
      <c r="CZW230" s="514"/>
      <c r="CZX230" s="514"/>
      <c r="CZY230" s="514"/>
      <c r="CZZ230" s="514"/>
      <c r="DAA230" s="514"/>
      <c r="DAB230" s="514"/>
      <c r="DAC230" s="514"/>
      <c r="DAD230" s="514"/>
      <c r="DAE230" s="514"/>
      <c r="DAF230" s="514"/>
      <c r="DAG230" s="514"/>
      <c r="DAH230" s="514"/>
      <c r="DAI230" s="514"/>
      <c r="DAJ230" s="514"/>
      <c r="DAK230" s="514"/>
      <c r="DAL230" s="514"/>
      <c r="DAM230" s="514"/>
      <c r="DAN230" s="514"/>
      <c r="DAO230" s="514"/>
      <c r="DAP230" s="514"/>
      <c r="DAQ230" s="514"/>
      <c r="DAR230" s="514"/>
      <c r="DAS230" s="514"/>
      <c r="DAT230" s="514"/>
      <c r="DAU230" s="514"/>
      <c r="DAV230" s="514"/>
      <c r="DAW230" s="514"/>
      <c r="DAX230" s="514"/>
      <c r="DAY230" s="514"/>
      <c r="DAZ230" s="514"/>
      <c r="DBA230" s="514"/>
      <c r="DBB230" s="514"/>
      <c r="DBC230" s="514"/>
      <c r="DBD230" s="514"/>
      <c r="DBE230" s="514"/>
      <c r="DBF230" s="514"/>
      <c r="DBG230" s="514"/>
      <c r="DBH230" s="514"/>
      <c r="DBI230" s="514"/>
      <c r="DBJ230" s="514"/>
      <c r="DBK230" s="514"/>
      <c r="DBL230" s="514"/>
      <c r="DBM230" s="514"/>
      <c r="DBN230" s="514"/>
      <c r="DBO230" s="514"/>
      <c r="DBP230" s="514"/>
      <c r="DBQ230" s="514"/>
      <c r="DBR230" s="514"/>
      <c r="DBS230" s="514"/>
      <c r="DBT230" s="514"/>
      <c r="DBU230" s="514"/>
      <c r="DBV230" s="514"/>
      <c r="DBW230" s="514"/>
      <c r="DBX230" s="514"/>
      <c r="DBY230" s="514"/>
      <c r="DBZ230" s="514"/>
      <c r="DCA230" s="514"/>
      <c r="DCB230" s="514"/>
      <c r="DCC230" s="514"/>
      <c r="DCD230" s="514"/>
      <c r="DCE230" s="514"/>
      <c r="DCF230" s="514"/>
      <c r="DCG230" s="514"/>
      <c r="DCH230" s="514"/>
      <c r="DCI230" s="514"/>
      <c r="DCJ230" s="514"/>
      <c r="DCK230" s="514"/>
      <c r="DCL230" s="514"/>
      <c r="DCM230" s="514"/>
      <c r="DCN230" s="514"/>
      <c r="DCO230" s="514"/>
      <c r="DCP230" s="514"/>
      <c r="DCQ230" s="514"/>
      <c r="DCR230" s="514"/>
      <c r="DCS230" s="514"/>
      <c r="DCT230" s="514"/>
      <c r="DCU230" s="514"/>
      <c r="DCV230" s="514"/>
      <c r="DCW230" s="514"/>
      <c r="DCX230" s="514"/>
      <c r="DCY230" s="514"/>
      <c r="DCZ230" s="514"/>
      <c r="DDA230" s="514"/>
      <c r="DDB230" s="514"/>
      <c r="DDC230" s="514"/>
      <c r="DDD230" s="514"/>
      <c r="DDE230" s="514"/>
      <c r="DDF230" s="514"/>
      <c r="DDG230" s="514"/>
      <c r="DDH230" s="514"/>
      <c r="DDI230" s="514"/>
      <c r="DDJ230" s="514"/>
      <c r="DDK230" s="514"/>
      <c r="DDL230" s="514"/>
      <c r="DDM230" s="514"/>
      <c r="DDN230" s="514"/>
      <c r="DDO230" s="514"/>
      <c r="DDP230" s="514"/>
      <c r="DDQ230" s="514"/>
      <c r="DDR230" s="514"/>
      <c r="DDS230" s="514"/>
      <c r="DDT230" s="514"/>
      <c r="DDU230" s="514"/>
      <c r="DDV230" s="514"/>
      <c r="DDW230" s="514"/>
      <c r="DDX230" s="514"/>
      <c r="DDY230" s="514"/>
      <c r="DDZ230" s="514"/>
      <c r="DEA230" s="514"/>
      <c r="DEB230" s="514"/>
      <c r="DEC230" s="514"/>
      <c r="DED230" s="514"/>
      <c r="DEE230" s="514"/>
      <c r="DEF230" s="514"/>
      <c r="DEG230" s="514"/>
      <c r="DEH230" s="514"/>
      <c r="DEI230" s="514"/>
      <c r="DEJ230" s="514"/>
      <c r="DEK230" s="514"/>
      <c r="DEL230" s="514"/>
      <c r="DEM230" s="514"/>
      <c r="DEN230" s="514"/>
      <c r="DEO230" s="514"/>
      <c r="DEP230" s="514"/>
      <c r="DEQ230" s="514"/>
      <c r="DER230" s="514"/>
      <c r="DES230" s="514"/>
      <c r="DET230" s="514"/>
      <c r="DEU230" s="514"/>
      <c r="DEV230" s="514"/>
      <c r="DEW230" s="514"/>
      <c r="DEX230" s="514"/>
      <c r="DEY230" s="514"/>
      <c r="DEZ230" s="514"/>
      <c r="DFA230" s="514"/>
      <c r="DFB230" s="514"/>
      <c r="DFC230" s="514"/>
      <c r="DFD230" s="514"/>
      <c r="DFE230" s="514"/>
      <c r="DFF230" s="514"/>
      <c r="DFG230" s="514"/>
      <c r="DFH230" s="514"/>
      <c r="DFI230" s="514"/>
      <c r="DFJ230" s="514"/>
      <c r="DFK230" s="514"/>
      <c r="DFL230" s="514"/>
      <c r="DFM230" s="514"/>
      <c r="DFN230" s="514"/>
      <c r="DFO230" s="514"/>
      <c r="DFP230" s="514"/>
      <c r="DFQ230" s="514"/>
      <c r="DFR230" s="514"/>
      <c r="DFS230" s="514"/>
      <c r="DFT230" s="514"/>
      <c r="DFU230" s="514"/>
      <c r="DFV230" s="514"/>
      <c r="DFW230" s="514"/>
      <c r="DFX230" s="514"/>
      <c r="DFY230" s="514"/>
      <c r="DFZ230" s="514"/>
      <c r="DGA230" s="514"/>
      <c r="DGB230" s="514"/>
      <c r="DGC230" s="514"/>
      <c r="DGD230" s="514"/>
      <c r="DGE230" s="514"/>
      <c r="DGF230" s="514"/>
      <c r="DGG230" s="514"/>
      <c r="DGH230" s="514"/>
      <c r="DGI230" s="514"/>
      <c r="DGJ230" s="514"/>
      <c r="DGK230" s="514"/>
      <c r="DGL230" s="514"/>
      <c r="DGM230" s="514"/>
      <c r="DGN230" s="514"/>
      <c r="DGO230" s="514"/>
      <c r="DGP230" s="514"/>
      <c r="DGQ230" s="514"/>
      <c r="DGR230" s="514"/>
      <c r="DGS230" s="514"/>
      <c r="DGT230" s="514"/>
      <c r="DGU230" s="514"/>
      <c r="DGV230" s="514"/>
      <c r="DGW230" s="514"/>
      <c r="DGX230" s="514"/>
      <c r="DGY230" s="514"/>
      <c r="DGZ230" s="514"/>
      <c r="DHA230" s="514"/>
      <c r="DHB230" s="514"/>
      <c r="DHC230" s="514"/>
      <c r="DHD230" s="514"/>
      <c r="DHE230" s="514"/>
      <c r="DHF230" s="514"/>
      <c r="DHG230" s="514"/>
      <c r="DHH230" s="514"/>
      <c r="DHI230" s="514"/>
      <c r="DHJ230" s="514"/>
      <c r="DHK230" s="514"/>
      <c r="DHL230" s="514"/>
      <c r="DHM230" s="514"/>
      <c r="DHN230" s="514"/>
      <c r="DHO230" s="514"/>
      <c r="DHP230" s="514"/>
      <c r="DHQ230" s="514"/>
      <c r="DHR230" s="514"/>
      <c r="DHS230" s="514"/>
      <c r="DHT230" s="514"/>
      <c r="DHU230" s="514"/>
      <c r="DHV230" s="514"/>
      <c r="DHW230" s="514"/>
      <c r="DHX230" s="514"/>
      <c r="DHY230" s="514"/>
      <c r="DHZ230" s="514"/>
      <c r="DIA230" s="514"/>
      <c r="DIB230" s="514"/>
      <c r="DIC230" s="514"/>
      <c r="DID230" s="514"/>
      <c r="DIE230" s="514"/>
      <c r="DIF230" s="514"/>
      <c r="DIG230" s="514"/>
      <c r="DIH230" s="514"/>
      <c r="DII230" s="514"/>
      <c r="DIJ230" s="514"/>
      <c r="DIK230" s="514"/>
      <c r="DIL230" s="514"/>
      <c r="DIM230" s="514"/>
      <c r="DIN230" s="514"/>
      <c r="DIO230" s="514"/>
      <c r="DIP230" s="514"/>
      <c r="DIQ230" s="514"/>
      <c r="DIR230" s="514"/>
      <c r="DIS230" s="514"/>
      <c r="DIT230" s="514"/>
      <c r="DIU230" s="514"/>
      <c r="DIV230" s="514"/>
      <c r="DIW230" s="514"/>
      <c r="DIX230" s="514"/>
      <c r="DIY230" s="514"/>
      <c r="DIZ230" s="514"/>
      <c r="DJA230" s="514"/>
      <c r="DJB230" s="514"/>
      <c r="DJC230" s="514"/>
      <c r="DJD230" s="514"/>
      <c r="DJE230" s="514"/>
      <c r="DJF230" s="514"/>
      <c r="DJG230" s="514"/>
      <c r="DJH230" s="514"/>
      <c r="DJI230" s="514"/>
      <c r="DJJ230" s="514"/>
      <c r="DJK230" s="514"/>
      <c r="DJL230" s="514"/>
      <c r="DJM230" s="514"/>
      <c r="DJN230" s="514"/>
      <c r="DJO230" s="514"/>
      <c r="DJP230" s="514"/>
      <c r="DJQ230" s="514"/>
      <c r="DJR230" s="514"/>
      <c r="DJS230" s="514"/>
      <c r="DJT230" s="514"/>
      <c r="DJU230" s="514"/>
      <c r="DJV230" s="514"/>
      <c r="DJW230" s="514"/>
      <c r="DJX230" s="514"/>
      <c r="DJY230" s="514"/>
      <c r="DJZ230" s="514"/>
      <c r="DKA230" s="514"/>
      <c r="DKB230" s="514"/>
      <c r="DKC230" s="514"/>
      <c r="DKD230" s="514"/>
      <c r="DKE230" s="514"/>
      <c r="DKF230" s="514"/>
      <c r="DKG230" s="514"/>
      <c r="DKH230" s="514"/>
      <c r="DKI230" s="514"/>
      <c r="DKJ230" s="514"/>
      <c r="DKK230" s="514"/>
      <c r="DKL230" s="514"/>
      <c r="DKM230" s="514"/>
      <c r="DKN230" s="514"/>
      <c r="DKO230" s="514"/>
      <c r="DKP230" s="514"/>
      <c r="DKQ230" s="514"/>
      <c r="DKR230" s="514"/>
      <c r="DKS230" s="514"/>
      <c r="DKT230" s="514"/>
      <c r="DKU230" s="514"/>
      <c r="DKV230" s="514"/>
      <c r="DKW230" s="514"/>
      <c r="DKX230" s="514"/>
      <c r="DKY230" s="514"/>
      <c r="DKZ230" s="514"/>
      <c r="DLA230" s="514"/>
      <c r="DLB230" s="514"/>
      <c r="DLC230" s="514"/>
      <c r="DLD230" s="514"/>
      <c r="DLE230" s="514"/>
      <c r="DLF230" s="514"/>
      <c r="DLG230" s="514"/>
      <c r="DLH230" s="514"/>
      <c r="DLI230" s="514"/>
      <c r="DLJ230" s="514"/>
      <c r="DLK230" s="514"/>
      <c r="DLL230" s="514"/>
      <c r="DLM230" s="514"/>
      <c r="DLN230" s="514"/>
      <c r="DLO230" s="514"/>
      <c r="DLP230" s="514"/>
      <c r="DLQ230" s="514"/>
      <c r="DLR230" s="514"/>
      <c r="DLS230" s="514"/>
      <c r="DLT230" s="514"/>
      <c r="DLU230" s="514"/>
      <c r="DLV230" s="514"/>
      <c r="DLW230" s="514"/>
      <c r="DLX230" s="514"/>
      <c r="DLY230" s="514"/>
      <c r="DLZ230" s="514"/>
      <c r="DMA230" s="514"/>
      <c r="DMB230" s="514"/>
      <c r="DMC230" s="514"/>
      <c r="DMD230" s="514"/>
      <c r="DME230" s="514"/>
      <c r="DMF230" s="514"/>
      <c r="DMG230" s="514"/>
      <c r="DMH230" s="514"/>
      <c r="DMI230" s="514"/>
      <c r="DMJ230" s="514"/>
      <c r="DMK230" s="514"/>
      <c r="DML230" s="514"/>
      <c r="DMM230" s="514"/>
      <c r="DMN230" s="514"/>
      <c r="DMO230" s="514"/>
      <c r="DMP230" s="514"/>
      <c r="DMQ230" s="514"/>
      <c r="DMR230" s="514"/>
      <c r="DMS230" s="514"/>
      <c r="DMT230" s="514"/>
      <c r="DMU230" s="514"/>
      <c r="DMV230" s="514"/>
      <c r="DMW230" s="514"/>
      <c r="DMX230" s="514"/>
      <c r="DMY230" s="514"/>
      <c r="DMZ230" s="514"/>
      <c r="DNA230" s="514"/>
      <c r="DNB230" s="514"/>
      <c r="DNC230" s="514"/>
      <c r="DND230" s="514"/>
      <c r="DNE230" s="514"/>
      <c r="DNF230" s="514"/>
      <c r="DNG230" s="514"/>
      <c r="DNH230" s="514"/>
      <c r="DNI230" s="514"/>
      <c r="DNJ230" s="514"/>
      <c r="DNK230" s="514"/>
      <c r="DNL230" s="514"/>
      <c r="DNM230" s="514"/>
      <c r="DNN230" s="514"/>
      <c r="DNO230" s="514"/>
      <c r="DNP230" s="514"/>
      <c r="DNQ230" s="514"/>
      <c r="DNR230" s="514"/>
      <c r="DNS230" s="514"/>
      <c r="DNT230" s="514"/>
      <c r="DNU230" s="514"/>
      <c r="DNV230" s="514"/>
      <c r="DNW230" s="514"/>
      <c r="DNX230" s="514"/>
      <c r="DNY230" s="514"/>
      <c r="DNZ230" s="514"/>
      <c r="DOA230" s="514"/>
      <c r="DOB230" s="514"/>
      <c r="DOC230" s="514"/>
      <c r="DOD230" s="514"/>
      <c r="DOE230" s="514"/>
      <c r="DOF230" s="514"/>
      <c r="DOG230" s="514"/>
      <c r="DOH230" s="514"/>
      <c r="DOI230" s="514"/>
      <c r="DOJ230" s="514"/>
      <c r="DOK230" s="514"/>
      <c r="DOL230" s="514"/>
      <c r="DOM230" s="514"/>
      <c r="DON230" s="514"/>
      <c r="DOO230" s="514"/>
      <c r="DOP230" s="514"/>
      <c r="DOQ230" s="514"/>
      <c r="DOR230" s="514"/>
      <c r="DOS230" s="514"/>
      <c r="DOT230" s="514"/>
      <c r="DOU230" s="514"/>
      <c r="DOV230" s="514"/>
      <c r="DOW230" s="514"/>
      <c r="DOX230" s="514"/>
      <c r="DOY230" s="514"/>
      <c r="DOZ230" s="514"/>
      <c r="DPA230" s="514"/>
      <c r="DPB230" s="514"/>
      <c r="DPC230" s="514"/>
      <c r="DPD230" s="514"/>
      <c r="DPE230" s="514"/>
      <c r="DPF230" s="514"/>
      <c r="DPG230" s="514"/>
      <c r="DPH230" s="514"/>
      <c r="DPI230" s="514"/>
      <c r="DPJ230" s="514"/>
      <c r="DPK230" s="514"/>
      <c r="DPL230" s="514"/>
      <c r="DPM230" s="514"/>
      <c r="DPN230" s="514"/>
      <c r="DPO230" s="514"/>
      <c r="DPP230" s="514"/>
      <c r="DPQ230" s="514"/>
      <c r="DPR230" s="514"/>
      <c r="DPS230" s="514"/>
      <c r="DPT230" s="514"/>
      <c r="DPU230" s="514"/>
      <c r="DPV230" s="514"/>
      <c r="DPW230" s="514"/>
      <c r="DPX230" s="514"/>
      <c r="DPY230" s="514"/>
      <c r="DPZ230" s="514"/>
      <c r="DQA230" s="514"/>
      <c r="DQB230" s="514"/>
      <c r="DQC230" s="514"/>
      <c r="DQD230" s="514"/>
      <c r="DQE230" s="514"/>
      <c r="DQF230" s="514"/>
      <c r="DQG230" s="514"/>
      <c r="DQH230" s="514"/>
      <c r="DQI230" s="514"/>
      <c r="DQJ230" s="514"/>
      <c r="DQK230" s="514"/>
      <c r="DQL230" s="514"/>
      <c r="DQM230" s="514"/>
      <c r="DQN230" s="514"/>
      <c r="DQO230" s="514"/>
      <c r="DQP230" s="514"/>
      <c r="DQQ230" s="514"/>
      <c r="DQR230" s="514"/>
      <c r="DQS230" s="514"/>
      <c r="DQT230" s="514"/>
      <c r="DQU230" s="514"/>
      <c r="DQV230" s="514"/>
      <c r="DQW230" s="514"/>
      <c r="DQX230" s="514"/>
      <c r="DQY230" s="514"/>
      <c r="DQZ230" s="514"/>
      <c r="DRA230" s="514"/>
      <c r="DRB230" s="514"/>
      <c r="DRC230" s="514"/>
      <c r="DRD230" s="514"/>
      <c r="DRE230" s="514"/>
      <c r="DRF230" s="514"/>
      <c r="DRG230" s="514"/>
      <c r="DRH230" s="514"/>
      <c r="DRI230" s="514"/>
      <c r="DRJ230" s="514"/>
      <c r="DRK230" s="514"/>
      <c r="DRL230" s="514"/>
      <c r="DRM230" s="514"/>
      <c r="DRN230" s="514"/>
      <c r="DRO230" s="514"/>
      <c r="DRP230" s="514"/>
      <c r="DRQ230" s="514"/>
      <c r="DRR230" s="514"/>
      <c r="DRS230" s="514"/>
      <c r="DRT230" s="514"/>
      <c r="DRU230" s="514"/>
      <c r="DRV230" s="514"/>
      <c r="DRW230" s="514"/>
      <c r="DRX230" s="514"/>
      <c r="DRY230" s="514"/>
      <c r="DRZ230" s="514"/>
      <c r="DSA230" s="514"/>
      <c r="DSB230" s="514"/>
      <c r="DSC230" s="514"/>
      <c r="DSD230" s="514"/>
      <c r="DSE230" s="514"/>
      <c r="DSF230" s="514"/>
      <c r="DSG230" s="514"/>
      <c r="DSH230" s="514"/>
      <c r="DSI230" s="514"/>
      <c r="DSJ230" s="514"/>
      <c r="DSK230" s="514"/>
      <c r="DSL230" s="514"/>
      <c r="DSM230" s="514"/>
      <c r="DSN230" s="514"/>
      <c r="DSO230" s="514"/>
      <c r="DSP230" s="514"/>
      <c r="DSQ230" s="514"/>
      <c r="DSR230" s="514"/>
      <c r="DSS230" s="514"/>
      <c r="DST230" s="514"/>
      <c r="DSU230" s="514"/>
      <c r="DSV230" s="514"/>
      <c r="DSW230" s="514"/>
      <c r="DSX230" s="514"/>
      <c r="DSY230" s="514"/>
      <c r="DSZ230" s="514"/>
      <c r="DTA230" s="514"/>
      <c r="DTB230" s="514"/>
      <c r="DTC230" s="514"/>
      <c r="DTD230" s="514"/>
      <c r="DTE230" s="514"/>
      <c r="DTF230" s="514"/>
      <c r="DTG230" s="514"/>
      <c r="DTH230" s="514"/>
      <c r="DTI230" s="514"/>
      <c r="DTJ230" s="514"/>
      <c r="DTK230" s="514"/>
      <c r="DTL230" s="514"/>
      <c r="DTM230" s="514"/>
      <c r="DTN230" s="514"/>
      <c r="DTO230" s="514"/>
      <c r="DTP230" s="514"/>
      <c r="DTQ230" s="514"/>
      <c r="DTR230" s="514"/>
      <c r="DTS230" s="514"/>
      <c r="DTT230" s="514"/>
      <c r="DTU230" s="514"/>
      <c r="DTV230" s="514"/>
      <c r="DTW230" s="514"/>
      <c r="DTX230" s="514"/>
      <c r="DTY230" s="514"/>
      <c r="DTZ230" s="514"/>
      <c r="DUA230" s="514"/>
      <c r="DUB230" s="514"/>
      <c r="DUC230" s="514"/>
      <c r="DUD230" s="514"/>
      <c r="DUE230" s="514"/>
      <c r="DUF230" s="514"/>
      <c r="DUG230" s="514"/>
      <c r="DUH230" s="514"/>
      <c r="DUI230" s="514"/>
      <c r="DUJ230" s="514"/>
      <c r="DUK230" s="514"/>
      <c r="DUL230" s="514"/>
      <c r="DUM230" s="514"/>
      <c r="DUN230" s="514"/>
      <c r="DUO230" s="514"/>
      <c r="DUP230" s="514"/>
      <c r="DUQ230" s="514"/>
      <c r="DUR230" s="514"/>
      <c r="DUS230" s="514"/>
      <c r="DUT230" s="514"/>
      <c r="DUU230" s="514"/>
      <c r="DUV230" s="514"/>
      <c r="DUW230" s="514"/>
      <c r="DUX230" s="514"/>
      <c r="DUY230" s="514"/>
      <c r="DUZ230" s="514"/>
      <c r="DVA230" s="514"/>
      <c r="DVB230" s="514"/>
      <c r="DVC230" s="514"/>
      <c r="DVD230" s="514"/>
      <c r="DVE230" s="514"/>
      <c r="DVF230" s="514"/>
      <c r="DVG230" s="514"/>
      <c r="DVH230" s="514"/>
      <c r="DVI230" s="514"/>
      <c r="DVJ230" s="514"/>
      <c r="DVK230" s="514"/>
      <c r="DVL230" s="514"/>
      <c r="DVM230" s="514"/>
      <c r="DVN230" s="514"/>
      <c r="DVO230" s="514"/>
      <c r="DVP230" s="514"/>
      <c r="DVQ230" s="514"/>
      <c r="DVR230" s="514"/>
      <c r="DVS230" s="514"/>
      <c r="DVT230" s="514"/>
      <c r="DVU230" s="514"/>
      <c r="DVV230" s="514"/>
      <c r="DVW230" s="514"/>
      <c r="DVX230" s="514"/>
      <c r="DVY230" s="514"/>
      <c r="DVZ230" s="514"/>
      <c r="DWA230" s="514"/>
      <c r="DWB230" s="514"/>
      <c r="DWC230" s="514"/>
      <c r="DWD230" s="514"/>
      <c r="DWE230" s="514"/>
      <c r="DWF230" s="514"/>
      <c r="DWG230" s="514"/>
      <c r="DWH230" s="514"/>
      <c r="DWI230" s="514"/>
      <c r="DWJ230" s="514"/>
      <c r="DWK230" s="514"/>
      <c r="DWL230" s="514"/>
      <c r="DWM230" s="514"/>
      <c r="DWN230" s="514"/>
      <c r="DWO230" s="514"/>
      <c r="DWP230" s="514"/>
      <c r="DWQ230" s="514"/>
      <c r="DWR230" s="514"/>
      <c r="DWS230" s="514"/>
      <c r="DWT230" s="514"/>
      <c r="DWU230" s="514"/>
      <c r="DWV230" s="514"/>
      <c r="DWW230" s="514"/>
      <c r="DWX230" s="514"/>
      <c r="DWY230" s="514"/>
      <c r="DWZ230" s="514"/>
      <c r="DXA230" s="514"/>
      <c r="DXB230" s="514"/>
      <c r="DXC230" s="514"/>
      <c r="DXD230" s="514"/>
      <c r="DXE230" s="514"/>
      <c r="DXF230" s="514"/>
      <c r="DXG230" s="514"/>
      <c r="DXH230" s="514"/>
      <c r="DXI230" s="514"/>
      <c r="DXJ230" s="514"/>
      <c r="DXK230" s="514"/>
      <c r="DXL230" s="514"/>
      <c r="DXM230" s="514"/>
      <c r="DXN230" s="514"/>
      <c r="DXO230" s="514"/>
      <c r="DXP230" s="514"/>
      <c r="DXQ230" s="514"/>
      <c r="DXR230" s="514"/>
      <c r="DXS230" s="514"/>
      <c r="DXT230" s="514"/>
      <c r="DXU230" s="514"/>
      <c r="DXV230" s="514"/>
      <c r="DXW230" s="514"/>
      <c r="DXX230" s="514"/>
      <c r="DXY230" s="514"/>
      <c r="DXZ230" s="514"/>
      <c r="DYA230" s="514"/>
      <c r="DYB230" s="514"/>
      <c r="DYC230" s="514"/>
      <c r="DYD230" s="514"/>
      <c r="DYE230" s="514"/>
      <c r="DYF230" s="514"/>
      <c r="DYG230" s="514"/>
      <c r="DYH230" s="514"/>
      <c r="DYI230" s="514"/>
      <c r="DYJ230" s="514"/>
      <c r="DYK230" s="514"/>
      <c r="DYL230" s="514"/>
      <c r="DYM230" s="514"/>
      <c r="DYN230" s="514"/>
      <c r="DYO230" s="514"/>
      <c r="DYP230" s="514"/>
      <c r="DYQ230" s="514"/>
      <c r="DYR230" s="514"/>
      <c r="DYS230" s="514"/>
      <c r="DYT230" s="514"/>
      <c r="DYU230" s="514"/>
      <c r="DYV230" s="514"/>
      <c r="DYW230" s="514"/>
      <c r="DYX230" s="514"/>
      <c r="DYY230" s="514"/>
      <c r="DYZ230" s="514"/>
      <c r="DZA230" s="514"/>
      <c r="DZB230" s="514"/>
      <c r="DZC230" s="514"/>
      <c r="DZD230" s="514"/>
      <c r="DZE230" s="514"/>
      <c r="DZF230" s="514"/>
      <c r="DZG230" s="514"/>
      <c r="DZH230" s="514"/>
      <c r="DZI230" s="514"/>
      <c r="DZJ230" s="514"/>
      <c r="DZK230" s="514"/>
      <c r="DZL230" s="514"/>
      <c r="DZM230" s="514"/>
      <c r="DZN230" s="514"/>
      <c r="DZO230" s="514"/>
      <c r="DZP230" s="514"/>
      <c r="DZQ230" s="514"/>
      <c r="DZR230" s="514"/>
      <c r="DZS230" s="514"/>
      <c r="DZT230" s="514"/>
      <c r="DZU230" s="514"/>
      <c r="DZV230" s="514"/>
      <c r="DZW230" s="514"/>
      <c r="DZX230" s="514"/>
      <c r="DZY230" s="514"/>
      <c r="DZZ230" s="514"/>
      <c r="EAA230" s="514"/>
      <c r="EAB230" s="514"/>
      <c r="EAC230" s="514"/>
      <c r="EAD230" s="514"/>
      <c r="EAE230" s="514"/>
      <c r="EAF230" s="514"/>
      <c r="EAG230" s="514"/>
      <c r="EAH230" s="514"/>
      <c r="EAI230" s="514"/>
      <c r="EAJ230" s="514"/>
      <c r="EAK230" s="514"/>
      <c r="EAL230" s="514"/>
      <c r="EAM230" s="514"/>
      <c r="EAN230" s="514"/>
      <c r="EAO230" s="514"/>
      <c r="EAP230" s="514"/>
      <c r="EAQ230" s="514"/>
      <c r="EAR230" s="514"/>
      <c r="EAS230" s="514"/>
      <c r="EAT230" s="514"/>
      <c r="EAU230" s="514"/>
      <c r="EAV230" s="514"/>
      <c r="EAW230" s="514"/>
      <c r="EAX230" s="514"/>
      <c r="EAY230" s="514"/>
      <c r="EAZ230" s="514"/>
      <c r="EBA230" s="514"/>
      <c r="EBB230" s="514"/>
      <c r="EBC230" s="514"/>
      <c r="EBD230" s="514"/>
      <c r="EBE230" s="514"/>
      <c r="EBF230" s="514"/>
      <c r="EBG230" s="514"/>
      <c r="EBH230" s="514"/>
      <c r="EBI230" s="514"/>
      <c r="EBJ230" s="514"/>
      <c r="EBK230" s="514"/>
      <c r="EBL230" s="514"/>
      <c r="EBM230" s="514"/>
      <c r="EBN230" s="514"/>
      <c r="EBO230" s="514"/>
      <c r="EBP230" s="514"/>
      <c r="EBQ230" s="514"/>
      <c r="EBR230" s="514"/>
      <c r="EBS230" s="514"/>
      <c r="EBT230" s="514"/>
      <c r="EBU230" s="514"/>
      <c r="EBV230" s="514"/>
      <c r="EBW230" s="514"/>
      <c r="EBX230" s="514"/>
      <c r="EBY230" s="514"/>
      <c r="EBZ230" s="514"/>
      <c r="ECA230" s="514"/>
      <c r="ECB230" s="514"/>
      <c r="ECC230" s="514"/>
      <c r="ECD230" s="514"/>
      <c r="ECE230" s="514"/>
      <c r="ECF230" s="514"/>
      <c r="ECG230" s="514"/>
      <c r="ECH230" s="514"/>
      <c r="ECI230" s="514"/>
      <c r="ECJ230" s="514"/>
      <c r="ECK230" s="514"/>
      <c r="ECL230" s="514"/>
      <c r="ECM230" s="514"/>
      <c r="ECN230" s="514"/>
      <c r="ECO230" s="514"/>
      <c r="ECP230" s="514"/>
      <c r="ECQ230" s="514"/>
      <c r="ECR230" s="514"/>
      <c r="ECS230" s="514"/>
      <c r="ECT230" s="514"/>
      <c r="ECU230" s="514"/>
      <c r="ECV230" s="514"/>
      <c r="ECW230" s="514"/>
      <c r="ECX230" s="514"/>
      <c r="ECY230" s="514"/>
      <c r="ECZ230" s="514"/>
      <c r="EDA230" s="514"/>
      <c r="EDB230" s="514"/>
      <c r="EDC230" s="514"/>
      <c r="EDD230" s="514"/>
      <c r="EDE230" s="514"/>
      <c r="EDF230" s="514"/>
      <c r="EDG230" s="514"/>
      <c r="EDH230" s="514"/>
      <c r="EDI230" s="514"/>
      <c r="EDJ230" s="514"/>
      <c r="EDK230" s="514"/>
      <c r="EDL230" s="514"/>
      <c r="EDM230" s="514"/>
      <c r="EDN230" s="514"/>
      <c r="EDO230" s="514"/>
      <c r="EDP230" s="514"/>
      <c r="EDQ230" s="514"/>
      <c r="EDR230" s="514"/>
      <c r="EDS230" s="514"/>
      <c r="EDT230" s="514"/>
      <c r="EDU230" s="514"/>
      <c r="EDV230" s="514"/>
      <c r="EDW230" s="514"/>
      <c r="EDX230" s="514"/>
      <c r="EDY230" s="514"/>
      <c r="EDZ230" s="514"/>
      <c r="EEA230" s="514"/>
      <c r="EEB230" s="514"/>
      <c r="EEC230" s="514"/>
      <c r="EED230" s="514"/>
      <c r="EEE230" s="514"/>
      <c r="EEF230" s="514"/>
      <c r="EEG230" s="514"/>
      <c r="EEH230" s="514"/>
      <c r="EEI230" s="514"/>
      <c r="EEJ230" s="514"/>
      <c r="EEK230" s="514"/>
      <c r="EEL230" s="514"/>
      <c r="EEM230" s="514"/>
      <c r="EEN230" s="514"/>
      <c r="EEO230" s="514"/>
      <c r="EEP230" s="514"/>
      <c r="EEQ230" s="514"/>
      <c r="EER230" s="514"/>
      <c r="EES230" s="514"/>
      <c r="EET230" s="514"/>
      <c r="EEU230" s="514"/>
      <c r="EEV230" s="514"/>
      <c r="EEW230" s="514"/>
      <c r="EEX230" s="514"/>
      <c r="EEY230" s="514"/>
      <c r="EEZ230" s="514"/>
      <c r="EFA230" s="514"/>
      <c r="EFB230" s="514"/>
      <c r="EFC230" s="514"/>
      <c r="EFD230" s="514"/>
      <c r="EFE230" s="514"/>
      <c r="EFF230" s="514"/>
      <c r="EFG230" s="514"/>
      <c r="EFH230" s="514"/>
      <c r="EFI230" s="514"/>
      <c r="EFJ230" s="514"/>
      <c r="EFK230" s="514"/>
      <c r="EFL230" s="514"/>
      <c r="EFM230" s="514"/>
      <c r="EFN230" s="514"/>
      <c r="EFO230" s="514"/>
      <c r="EFP230" s="514"/>
      <c r="EFQ230" s="514"/>
      <c r="EFR230" s="514"/>
      <c r="EFS230" s="514"/>
      <c r="EFT230" s="514"/>
      <c r="EFU230" s="514"/>
      <c r="EFV230" s="514"/>
      <c r="EFW230" s="514"/>
      <c r="EFX230" s="514"/>
      <c r="EFY230" s="514"/>
      <c r="EFZ230" s="514"/>
      <c r="EGA230" s="514"/>
      <c r="EGB230" s="514"/>
      <c r="EGC230" s="514"/>
      <c r="EGD230" s="514"/>
      <c r="EGE230" s="514"/>
      <c r="EGF230" s="514"/>
      <c r="EGG230" s="514"/>
      <c r="EGH230" s="514"/>
      <c r="EGI230" s="514"/>
      <c r="EGJ230" s="514"/>
      <c r="EGK230" s="514"/>
      <c r="EGL230" s="514"/>
      <c r="EGM230" s="514"/>
      <c r="EGN230" s="514"/>
      <c r="EGO230" s="514"/>
      <c r="EGP230" s="514"/>
      <c r="EGQ230" s="514"/>
      <c r="EGR230" s="514"/>
      <c r="EGS230" s="514"/>
      <c r="EGT230" s="514"/>
      <c r="EGU230" s="514"/>
      <c r="EGV230" s="514"/>
      <c r="EGW230" s="514"/>
      <c r="EGX230" s="514"/>
      <c r="EGY230" s="514"/>
      <c r="EGZ230" s="514"/>
      <c r="EHA230" s="514"/>
      <c r="EHB230" s="514"/>
      <c r="EHC230" s="514"/>
      <c r="EHD230" s="514"/>
      <c r="EHE230" s="514"/>
      <c r="EHF230" s="514"/>
      <c r="EHG230" s="514"/>
      <c r="EHH230" s="514"/>
      <c r="EHI230" s="514"/>
      <c r="EHJ230" s="514"/>
      <c r="EHK230" s="514"/>
      <c r="EHL230" s="514"/>
      <c r="EHM230" s="514"/>
      <c r="EHN230" s="514"/>
      <c r="EHO230" s="514"/>
      <c r="EHP230" s="514"/>
      <c r="EHQ230" s="514"/>
      <c r="EHR230" s="514"/>
      <c r="EHS230" s="514"/>
      <c r="EHT230" s="514"/>
      <c r="EHU230" s="514"/>
      <c r="EHV230" s="514"/>
      <c r="EHW230" s="514"/>
      <c r="EHX230" s="514"/>
      <c r="EHY230" s="514"/>
      <c r="EHZ230" s="514"/>
      <c r="EIA230" s="514"/>
      <c r="EIB230" s="514"/>
      <c r="EIC230" s="514"/>
      <c r="EID230" s="514"/>
      <c r="EIE230" s="514"/>
      <c r="EIF230" s="514"/>
      <c r="EIG230" s="514"/>
      <c r="EIH230" s="514"/>
      <c r="EII230" s="514"/>
      <c r="EIJ230" s="514"/>
      <c r="EIK230" s="514"/>
      <c r="EIL230" s="514"/>
      <c r="EIM230" s="514"/>
      <c r="EIN230" s="514"/>
      <c r="EIO230" s="514"/>
      <c r="EIP230" s="514"/>
      <c r="EIQ230" s="514"/>
      <c r="EIR230" s="514"/>
      <c r="EIS230" s="514"/>
      <c r="EIT230" s="514"/>
      <c r="EIU230" s="514"/>
      <c r="EIV230" s="514"/>
      <c r="EIW230" s="514"/>
      <c r="EIX230" s="514"/>
      <c r="EIY230" s="514"/>
      <c r="EIZ230" s="514"/>
      <c r="EJA230" s="514"/>
      <c r="EJB230" s="514"/>
      <c r="EJC230" s="514"/>
      <c r="EJD230" s="514"/>
      <c r="EJE230" s="514"/>
      <c r="EJF230" s="514"/>
      <c r="EJG230" s="514"/>
      <c r="EJH230" s="514"/>
      <c r="EJI230" s="514"/>
      <c r="EJJ230" s="514"/>
      <c r="EJK230" s="514"/>
      <c r="EJL230" s="514"/>
      <c r="EJM230" s="514"/>
      <c r="EJN230" s="514"/>
      <c r="EJO230" s="514"/>
      <c r="EJP230" s="514"/>
      <c r="EJQ230" s="514"/>
      <c r="EJR230" s="514"/>
      <c r="EJS230" s="514"/>
      <c r="EJT230" s="514"/>
      <c r="EJU230" s="514"/>
      <c r="EJV230" s="514"/>
      <c r="EJW230" s="514"/>
      <c r="EJX230" s="514"/>
      <c r="EJY230" s="514"/>
      <c r="EJZ230" s="514"/>
      <c r="EKA230" s="514"/>
      <c r="EKB230" s="514"/>
      <c r="EKC230" s="514"/>
      <c r="EKD230" s="514"/>
      <c r="EKE230" s="514"/>
      <c r="EKF230" s="514"/>
      <c r="EKG230" s="514"/>
      <c r="EKH230" s="514"/>
      <c r="EKI230" s="514"/>
      <c r="EKJ230" s="514"/>
      <c r="EKK230" s="514"/>
      <c r="EKL230" s="514"/>
      <c r="EKM230" s="514"/>
      <c r="EKN230" s="514"/>
      <c r="EKO230" s="514"/>
      <c r="EKP230" s="514"/>
      <c r="EKQ230" s="514"/>
      <c r="EKR230" s="514"/>
      <c r="EKS230" s="514"/>
      <c r="EKT230" s="514"/>
      <c r="EKU230" s="514"/>
      <c r="EKV230" s="514"/>
      <c r="EKW230" s="514"/>
      <c r="EKX230" s="514"/>
      <c r="EKY230" s="514"/>
      <c r="EKZ230" s="514"/>
      <c r="ELA230" s="514"/>
      <c r="ELB230" s="514"/>
      <c r="ELC230" s="514"/>
      <c r="ELD230" s="514"/>
      <c r="ELE230" s="514"/>
      <c r="ELF230" s="514"/>
      <c r="ELG230" s="514"/>
      <c r="ELH230" s="514"/>
      <c r="ELI230" s="514"/>
      <c r="ELJ230" s="514"/>
      <c r="ELK230" s="514"/>
      <c r="ELL230" s="514"/>
      <c r="ELM230" s="514"/>
      <c r="ELN230" s="514"/>
      <c r="ELO230" s="514"/>
      <c r="ELP230" s="514"/>
      <c r="ELQ230" s="514"/>
      <c r="ELR230" s="514"/>
      <c r="ELS230" s="514"/>
      <c r="ELT230" s="514"/>
      <c r="ELU230" s="514"/>
      <c r="ELV230" s="514"/>
      <c r="ELW230" s="514"/>
      <c r="ELX230" s="514"/>
      <c r="ELY230" s="514"/>
      <c r="ELZ230" s="514"/>
      <c r="EMA230" s="514"/>
      <c r="EMB230" s="514"/>
      <c r="EMC230" s="514"/>
      <c r="EMD230" s="514"/>
      <c r="EME230" s="514"/>
      <c r="EMF230" s="514"/>
      <c r="EMG230" s="514"/>
      <c r="EMH230" s="514"/>
      <c r="EMI230" s="514"/>
      <c r="EMJ230" s="514"/>
      <c r="EMK230" s="514"/>
      <c r="EML230" s="514"/>
      <c r="EMM230" s="514"/>
      <c r="EMN230" s="514"/>
      <c r="EMO230" s="514"/>
      <c r="EMP230" s="514"/>
      <c r="EMQ230" s="514"/>
      <c r="EMR230" s="514"/>
      <c r="EMS230" s="514"/>
      <c r="EMT230" s="514"/>
      <c r="EMU230" s="514"/>
      <c r="EMV230" s="514"/>
      <c r="EMW230" s="514"/>
      <c r="EMX230" s="514"/>
      <c r="EMY230" s="514"/>
      <c r="EMZ230" s="514"/>
      <c r="ENA230" s="514"/>
      <c r="ENB230" s="514"/>
      <c r="ENC230" s="514"/>
      <c r="END230" s="514"/>
      <c r="ENE230" s="514"/>
      <c r="ENF230" s="514"/>
      <c r="ENG230" s="514"/>
      <c r="ENH230" s="514"/>
      <c r="ENI230" s="514"/>
      <c r="ENJ230" s="514"/>
      <c r="ENK230" s="514"/>
      <c r="ENL230" s="514"/>
      <c r="ENM230" s="514"/>
      <c r="ENN230" s="514"/>
      <c r="ENO230" s="514"/>
      <c r="ENP230" s="514"/>
      <c r="ENQ230" s="514"/>
      <c r="ENR230" s="514"/>
      <c r="ENS230" s="514"/>
      <c r="ENT230" s="514"/>
      <c r="ENU230" s="514"/>
      <c r="ENV230" s="514"/>
      <c r="ENW230" s="514"/>
      <c r="ENX230" s="514"/>
      <c r="ENY230" s="514"/>
      <c r="ENZ230" s="514"/>
      <c r="EOA230" s="514"/>
      <c r="EOB230" s="514"/>
      <c r="EOC230" s="514"/>
      <c r="EOD230" s="514"/>
      <c r="EOE230" s="514"/>
      <c r="EOF230" s="514"/>
      <c r="EOG230" s="514"/>
      <c r="EOH230" s="514"/>
      <c r="EOI230" s="514"/>
      <c r="EOJ230" s="514"/>
      <c r="EOK230" s="514"/>
      <c r="EOL230" s="514"/>
      <c r="EOM230" s="514"/>
      <c r="EON230" s="514"/>
      <c r="EOO230" s="514"/>
      <c r="EOP230" s="514"/>
      <c r="EOQ230" s="514"/>
      <c r="EOR230" s="514"/>
      <c r="EOS230" s="514"/>
      <c r="EOT230" s="514"/>
      <c r="EOU230" s="514"/>
      <c r="EOV230" s="514"/>
      <c r="EOW230" s="514"/>
      <c r="EOX230" s="514"/>
      <c r="EOY230" s="514"/>
      <c r="EOZ230" s="514"/>
      <c r="EPA230" s="514"/>
      <c r="EPB230" s="514"/>
      <c r="EPC230" s="514"/>
      <c r="EPD230" s="514"/>
      <c r="EPE230" s="514"/>
      <c r="EPF230" s="514"/>
      <c r="EPG230" s="514"/>
      <c r="EPH230" s="514"/>
      <c r="EPI230" s="514"/>
      <c r="EPJ230" s="514"/>
      <c r="EPK230" s="514"/>
      <c r="EPL230" s="514"/>
      <c r="EPM230" s="514"/>
      <c r="EPN230" s="514"/>
      <c r="EPO230" s="514"/>
      <c r="EPP230" s="514"/>
      <c r="EPQ230" s="514"/>
      <c r="EPR230" s="514"/>
      <c r="EPS230" s="514"/>
      <c r="EPT230" s="514"/>
      <c r="EPU230" s="514"/>
      <c r="EPV230" s="514"/>
      <c r="EPW230" s="514"/>
      <c r="EPX230" s="514"/>
      <c r="EPY230" s="514"/>
      <c r="EPZ230" s="514"/>
      <c r="EQA230" s="514"/>
      <c r="EQB230" s="514"/>
      <c r="EQC230" s="514"/>
      <c r="EQD230" s="514"/>
      <c r="EQE230" s="514"/>
      <c r="EQF230" s="514"/>
      <c r="EQG230" s="514"/>
      <c r="EQH230" s="514"/>
      <c r="EQI230" s="514"/>
      <c r="EQJ230" s="514"/>
      <c r="EQK230" s="514"/>
      <c r="EQL230" s="514"/>
      <c r="EQM230" s="514"/>
      <c r="EQN230" s="514"/>
      <c r="EQO230" s="514"/>
      <c r="EQP230" s="514"/>
      <c r="EQQ230" s="514"/>
      <c r="EQR230" s="514"/>
      <c r="EQS230" s="514"/>
      <c r="EQT230" s="514"/>
      <c r="EQU230" s="514"/>
      <c r="EQV230" s="514"/>
      <c r="EQW230" s="514"/>
      <c r="EQX230" s="514"/>
      <c r="EQY230" s="514"/>
      <c r="EQZ230" s="514"/>
      <c r="ERA230" s="514"/>
      <c r="ERB230" s="514"/>
      <c r="ERC230" s="514"/>
      <c r="ERD230" s="514"/>
      <c r="ERE230" s="514"/>
      <c r="ERF230" s="514"/>
      <c r="ERG230" s="514"/>
      <c r="ERH230" s="514"/>
      <c r="ERI230" s="514"/>
      <c r="ERJ230" s="514"/>
      <c r="ERK230" s="514"/>
      <c r="ERL230" s="514"/>
      <c r="ERM230" s="514"/>
      <c r="ERN230" s="514"/>
      <c r="ERO230" s="514"/>
      <c r="ERP230" s="514"/>
      <c r="ERQ230" s="514"/>
      <c r="ERR230" s="514"/>
      <c r="ERS230" s="514"/>
      <c r="ERT230" s="514"/>
      <c r="ERU230" s="514"/>
      <c r="ERV230" s="514"/>
      <c r="ERW230" s="514"/>
      <c r="ERX230" s="514"/>
      <c r="ERY230" s="514"/>
      <c r="ERZ230" s="514"/>
      <c r="ESA230" s="514"/>
      <c r="ESB230" s="514"/>
      <c r="ESC230" s="514"/>
      <c r="ESD230" s="514"/>
      <c r="ESE230" s="514"/>
      <c r="ESF230" s="514"/>
      <c r="ESG230" s="514"/>
      <c r="ESH230" s="514"/>
      <c r="ESI230" s="514"/>
      <c r="ESJ230" s="514"/>
      <c r="ESK230" s="514"/>
      <c r="ESL230" s="514"/>
      <c r="ESM230" s="514"/>
      <c r="ESN230" s="514"/>
      <c r="ESO230" s="514"/>
      <c r="ESP230" s="514"/>
      <c r="ESQ230" s="514"/>
      <c r="ESR230" s="514"/>
      <c r="ESS230" s="514"/>
      <c r="EST230" s="514"/>
      <c r="ESU230" s="514"/>
      <c r="ESV230" s="514"/>
      <c r="ESW230" s="514"/>
      <c r="ESX230" s="514"/>
      <c r="ESY230" s="514"/>
      <c r="ESZ230" s="514"/>
      <c r="ETA230" s="514"/>
      <c r="ETB230" s="514"/>
      <c r="ETC230" s="514"/>
      <c r="ETD230" s="514"/>
      <c r="ETE230" s="514"/>
      <c r="ETF230" s="514"/>
      <c r="ETG230" s="514"/>
      <c r="ETH230" s="514"/>
      <c r="ETI230" s="514"/>
      <c r="ETJ230" s="514"/>
      <c r="ETK230" s="514"/>
      <c r="ETL230" s="514"/>
      <c r="ETM230" s="514"/>
      <c r="ETN230" s="514"/>
      <c r="ETO230" s="514"/>
      <c r="ETP230" s="514"/>
      <c r="ETQ230" s="514"/>
      <c r="ETR230" s="514"/>
      <c r="ETS230" s="514"/>
      <c r="ETT230" s="514"/>
      <c r="ETU230" s="514"/>
      <c r="ETV230" s="514"/>
      <c r="ETW230" s="514"/>
      <c r="ETX230" s="514"/>
      <c r="ETY230" s="514"/>
      <c r="ETZ230" s="514"/>
      <c r="EUA230" s="514"/>
      <c r="EUB230" s="514"/>
      <c r="EUC230" s="514"/>
      <c r="EUD230" s="514"/>
      <c r="EUE230" s="514"/>
      <c r="EUF230" s="514"/>
      <c r="EUG230" s="514"/>
      <c r="EUH230" s="514"/>
      <c r="EUI230" s="514"/>
      <c r="EUJ230" s="514"/>
      <c r="EUK230" s="514"/>
      <c r="EUL230" s="514"/>
      <c r="EUM230" s="514"/>
      <c r="EUN230" s="514"/>
      <c r="EUO230" s="514"/>
      <c r="EUP230" s="514"/>
      <c r="EUQ230" s="514"/>
      <c r="EUR230" s="514"/>
      <c r="EUS230" s="514"/>
      <c r="EUT230" s="514"/>
      <c r="EUU230" s="514"/>
      <c r="EUV230" s="514"/>
      <c r="EUW230" s="514"/>
      <c r="EUX230" s="514"/>
      <c r="EUY230" s="514"/>
      <c r="EUZ230" s="514"/>
      <c r="EVA230" s="514"/>
      <c r="EVB230" s="514"/>
      <c r="EVC230" s="514"/>
      <c r="EVD230" s="514"/>
      <c r="EVE230" s="514"/>
      <c r="EVF230" s="514"/>
      <c r="EVG230" s="514"/>
      <c r="EVH230" s="514"/>
      <c r="EVI230" s="514"/>
      <c r="EVJ230" s="514"/>
      <c r="EVK230" s="514"/>
      <c r="EVL230" s="514"/>
      <c r="EVM230" s="514"/>
      <c r="EVN230" s="514"/>
      <c r="EVO230" s="514"/>
      <c r="EVP230" s="514"/>
      <c r="EVQ230" s="514"/>
      <c r="EVR230" s="514"/>
      <c r="EVS230" s="514"/>
      <c r="EVT230" s="514"/>
      <c r="EVU230" s="514"/>
      <c r="EVV230" s="514"/>
      <c r="EVW230" s="514"/>
      <c r="EVX230" s="514"/>
      <c r="EVY230" s="514"/>
      <c r="EVZ230" s="514"/>
      <c r="EWA230" s="514"/>
      <c r="EWB230" s="514"/>
      <c r="EWC230" s="514"/>
      <c r="EWD230" s="514"/>
      <c r="EWE230" s="514"/>
      <c r="EWF230" s="514"/>
      <c r="EWG230" s="514"/>
      <c r="EWH230" s="514"/>
      <c r="EWI230" s="514"/>
      <c r="EWJ230" s="514"/>
      <c r="EWK230" s="514"/>
      <c r="EWL230" s="514"/>
      <c r="EWM230" s="514"/>
      <c r="EWN230" s="514"/>
      <c r="EWO230" s="514"/>
      <c r="EWP230" s="514"/>
      <c r="EWQ230" s="514"/>
      <c r="EWR230" s="514"/>
      <c r="EWS230" s="514"/>
      <c r="EWT230" s="514"/>
      <c r="EWU230" s="514"/>
      <c r="EWV230" s="514"/>
      <c r="EWW230" s="514"/>
      <c r="EWX230" s="514"/>
      <c r="EWY230" s="514"/>
      <c r="EWZ230" s="514"/>
      <c r="EXA230" s="514"/>
      <c r="EXB230" s="514"/>
      <c r="EXC230" s="514"/>
      <c r="EXD230" s="514"/>
      <c r="EXE230" s="514"/>
      <c r="EXF230" s="514"/>
      <c r="EXG230" s="514"/>
      <c r="EXH230" s="514"/>
      <c r="EXI230" s="514"/>
      <c r="EXJ230" s="514"/>
      <c r="EXK230" s="514"/>
      <c r="EXL230" s="514"/>
      <c r="EXM230" s="514"/>
      <c r="EXN230" s="514"/>
      <c r="EXO230" s="514"/>
      <c r="EXP230" s="514"/>
      <c r="EXQ230" s="514"/>
      <c r="EXR230" s="514"/>
      <c r="EXS230" s="514"/>
      <c r="EXT230" s="514"/>
      <c r="EXU230" s="514"/>
      <c r="EXV230" s="514"/>
      <c r="EXW230" s="514"/>
      <c r="EXX230" s="514"/>
      <c r="EXY230" s="514"/>
      <c r="EXZ230" s="514"/>
      <c r="EYA230" s="514"/>
      <c r="EYB230" s="514"/>
      <c r="EYC230" s="514"/>
      <c r="EYD230" s="514"/>
      <c r="EYE230" s="514"/>
      <c r="EYF230" s="514"/>
      <c r="EYG230" s="514"/>
      <c r="EYH230" s="514"/>
      <c r="EYI230" s="514"/>
      <c r="EYJ230" s="514"/>
      <c r="EYK230" s="514"/>
      <c r="EYL230" s="514"/>
      <c r="EYM230" s="514"/>
      <c r="EYN230" s="514"/>
      <c r="EYO230" s="514"/>
      <c r="EYP230" s="514"/>
      <c r="EYQ230" s="514"/>
      <c r="EYR230" s="514"/>
      <c r="EYS230" s="514"/>
      <c r="EYT230" s="514"/>
      <c r="EYU230" s="514"/>
      <c r="EYV230" s="514"/>
      <c r="EYW230" s="514"/>
      <c r="EYX230" s="514"/>
      <c r="EYY230" s="514"/>
      <c r="EYZ230" s="514"/>
      <c r="EZA230" s="514"/>
      <c r="EZB230" s="514"/>
      <c r="EZC230" s="514"/>
      <c r="EZD230" s="514"/>
      <c r="EZE230" s="514"/>
      <c r="EZF230" s="514"/>
      <c r="EZG230" s="514"/>
      <c r="EZH230" s="514"/>
      <c r="EZI230" s="514"/>
      <c r="EZJ230" s="514"/>
      <c r="EZK230" s="514"/>
      <c r="EZL230" s="514"/>
      <c r="EZM230" s="514"/>
      <c r="EZN230" s="514"/>
      <c r="EZO230" s="514"/>
      <c r="EZP230" s="514"/>
      <c r="EZQ230" s="514"/>
      <c r="EZR230" s="514"/>
      <c r="EZS230" s="514"/>
      <c r="EZT230" s="514"/>
      <c r="EZU230" s="514"/>
      <c r="EZV230" s="514"/>
      <c r="EZW230" s="514"/>
      <c r="EZX230" s="514"/>
      <c r="EZY230" s="514"/>
      <c r="EZZ230" s="514"/>
      <c r="FAA230" s="514"/>
      <c r="FAB230" s="514"/>
      <c r="FAC230" s="514"/>
      <c r="FAD230" s="514"/>
      <c r="FAE230" s="514"/>
      <c r="FAF230" s="514"/>
      <c r="FAG230" s="514"/>
      <c r="FAH230" s="514"/>
      <c r="FAI230" s="514"/>
      <c r="FAJ230" s="514"/>
      <c r="FAK230" s="514"/>
      <c r="FAL230" s="514"/>
      <c r="FAM230" s="514"/>
      <c r="FAN230" s="514"/>
      <c r="FAO230" s="514"/>
      <c r="FAP230" s="514"/>
      <c r="FAQ230" s="514"/>
      <c r="FAR230" s="514"/>
      <c r="FAS230" s="514"/>
      <c r="FAT230" s="514"/>
      <c r="FAU230" s="514"/>
      <c r="FAV230" s="514"/>
      <c r="FAW230" s="514"/>
      <c r="FAX230" s="514"/>
      <c r="FAY230" s="514"/>
      <c r="FAZ230" s="514"/>
      <c r="FBA230" s="514"/>
      <c r="FBB230" s="514"/>
      <c r="FBC230" s="514"/>
      <c r="FBD230" s="514"/>
      <c r="FBE230" s="514"/>
      <c r="FBF230" s="514"/>
      <c r="FBG230" s="514"/>
      <c r="FBH230" s="514"/>
      <c r="FBI230" s="514"/>
      <c r="FBJ230" s="514"/>
      <c r="FBK230" s="514"/>
      <c r="FBL230" s="514"/>
      <c r="FBM230" s="514"/>
      <c r="FBN230" s="514"/>
      <c r="FBO230" s="514"/>
      <c r="FBP230" s="514"/>
      <c r="FBQ230" s="514"/>
      <c r="FBR230" s="514"/>
      <c r="FBS230" s="514"/>
      <c r="FBT230" s="514"/>
      <c r="FBU230" s="514"/>
      <c r="FBV230" s="514"/>
      <c r="FBW230" s="514"/>
      <c r="FBX230" s="514"/>
      <c r="FBY230" s="514"/>
      <c r="FBZ230" s="514"/>
      <c r="FCA230" s="514"/>
      <c r="FCB230" s="514"/>
      <c r="FCC230" s="514"/>
      <c r="FCD230" s="514"/>
      <c r="FCE230" s="514"/>
      <c r="FCF230" s="514"/>
      <c r="FCG230" s="514"/>
      <c r="FCH230" s="514"/>
      <c r="FCI230" s="514"/>
      <c r="FCJ230" s="514"/>
      <c r="FCK230" s="514"/>
      <c r="FCL230" s="514"/>
      <c r="FCM230" s="514"/>
      <c r="FCN230" s="514"/>
      <c r="FCO230" s="514"/>
      <c r="FCP230" s="514"/>
      <c r="FCQ230" s="514"/>
      <c r="FCR230" s="514"/>
      <c r="FCS230" s="514"/>
      <c r="FCT230" s="514"/>
      <c r="FCU230" s="514"/>
      <c r="FCV230" s="514"/>
      <c r="FCW230" s="514"/>
      <c r="FCX230" s="514"/>
      <c r="FCY230" s="514"/>
      <c r="FCZ230" s="514"/>
      <c r="FDA230" s="514"/>
      <c r="FDB230" s="514"/>
      <c r="FDC230" s="514"/>
      <c r="FDD230" s="514"/>
      <c r="FDE230" s="514"/>
      <c r="FDF230" s="514"/>
      <c r="FDG230" s="514"/>
      <c r="FDH230" s="514"/>
      <c r="FDI230" s="514"/>
      <c r="FDJ230" s="514"/>
      <c r="FDK230" s="514"/>
      <c r="FDL230" s="514"/>
      <c r="FDM230" s="514"/>
      <c r="FDN230" s="514"/>
      <c r="FDO230" s="514"/>
      <c r="FDP230" s="514"/>
      <c r="FDQ230" s="514"/>
      <c r="FDR230" s="514"/>
      <c r="FDS230" s="514"/>
      <c r="FDT230" s="514"/>
      <c r="FDU230" s="514"/>
      <c r="FDV230" s="514"/>
      <c r="FDW230" s="514"/>
      <c r="FDX230" s="514"/>
      <c r="FDY230" s="514"/>
      <c r="FDZ230" s="514"/>
      <c r="FEA230" s="514"/>
      <c r="FEB230" s="514"/>
      <c r="FEC230" s="514"/>
      <c r="FED230" s="514"/>
      <c r="FEE230" s="514"/>
      <c r="FEF230" s="514"/>
      <c r="FEG230" s="514"/>
      <c r="FEH230" s="514"/>
      <c r="FEI230" s="514"/>
      <c r="FEJ230" s="514"/>
      <c r="FEK230" s="514"/>
      <c r="FEL230" s="514"/>
      <c r="FEM230" s="514"/>
      <c r="FEN230" s="514"/>
      <c r="FEO230" s="514"/>
      <c r="FEP230" s="514"/>
      <c r="FEQ230" s="514"/>
      <c r="FER230" s="514"/>
      <c r="FES230" s="514"/>
      <c r="FET230" s="514"/>
      <c r="FEU230" s="514"/>
      <c r="FEV230" s="514"/>
      <c r="FEW230" s="514"/>
      <c r="FEX230" s="514"/>
      <c r="FEY230" s="514"/>
      <c r="FEZ230" s="514"/>
      <c r="FFA230" s="514"/>
      <c r="FFB230" s="514"/>
      <c r="FFC230" s="514"/>
      <c r="FFD230" s="514"/>
      <c r="FFE230" s="514"/>
      <c r="FFF230" s="514"/>
      <c r="FFG230" s="514"/>
      <c r="FFH230" s="514"/>
      <c r="FFI230" s="514"/>
      <c r="FFJ230" s="514"/>
      <c r="FFK230" s="514"/>
      <c r="FFL230" s="514"/>
      <c r="FFM230" s="514"/>
      <c r="FFN230" s="514"/>
      <c r="FFO230" s="514"/>
      <c r="FFP230" s="514"/>
      <c r="FFQ230" s="514"/>
      <c r="FFR230" s="514"/>
      <c r="FFS230" s="514"/>
      <c r="FFT230" s="514"/>
      <c r="FFU230" s="514"/>
      <c r="FFV230" s="514"/>
      <c r="FFW230" s="514"/>
      <c r="FFX230" s="514"/>
      <c r="FFY230" s="514"/>
      <c r="FFZ230" s="514"/>
      <c r="FGA230" s="514"/>
      <c r="FGB230" s="514"/>
      <c r="FGC230" s="514"/>
      <c r="FGD230" s="514"/>
      <c r="FGE230" s="514"/>
      <c r="FGF230" s="514"/>
      <c r="FGG230" s="514"/>
      <c r="FGH230" s="514"/>
      <c r="FGI230" s="514"/>
      <c r="FGJ230" s="514"/>
      <c r="FGK230" s="514"/>
      <c r="FGL230" s="514"/>
      <c r="FGM230" s="514"/>
      <c r="FGN230" s="514"/>
      <c r="FGO230" s="514"/>
      <c r="FGP230" s="514"/>
      <c r="FGQ230" s="514"/>
      <c r="FGR230" s="514"/>
      <c r="FGS230" s="514"/>
      <c r="FGT230" s="514"/>
      <c r="FGU230" s="514"/>
      <c r="FGV230" s="514"/>
      <c r="FGW230" s="514"/>
      <c r="FGX230" s="514"/>
      <c r="FGY230" s="514"/>
      <c r="FGZ230" s="514"/>
      <c r="FHA230" s="514"/>
      <c r="FHB230" s="514"/>
      <c r="FHC230" s="514"/>
      <c r="FHD230" s="514"/>
      <c r="FHE230" s="514"/>
      <c r="FHF230" s="514"/>
      <c r="FHG230" s="514"/>
      <c r="FHH230" s="514"/>
      <c r="FHI230" s="514"/>
      <c r="FHJ230" s="514"/>
      <c r="FHK230" s="514"/>
      <c r="FHL230" s="514"/>
      <c r="FHM230" s="514"/>
      <c r="FHN230" s="514"/>
      <c r="FHO230" s="514"/>
      <c r="FHP230" s="514"/>
      <c r="FHQ230" s="514"/>
      <c r="FHR230" s="514"/>
      <c r="FHS230" s="514"/>
      <c r="FHT230" s="514"/>
      <c r="FHU230" s="514"/>
      <c r="FHV230" s="514"/>
      <c r="FHW230" s="514"/>
      <c r="FHX230" s="514"/>
      <c r="FHY230" s="514"/>
      <c r="FHZ230" s="514"/>
      <c r="FIA230" s="514"/>
      <c r="FIB230" s="514"/>
      <c r="FIC230" s="514"/>
      <c r="FID230" s="514"/>
      <c r="FIE230" s="514"/>
      <c r="FIF230" s="514"/>
      <c r="FIG230" s="514"/>
      <c r="FIH230" s="514"/>
      <c r="FII230" s="514"/>
      <c r="FIJ230" s="514"/>
      <c r="FIK230" s="514"/>
      <c r="FIL230" s="514"/>
      <c r="FIM230" s="514"/>
      <c r="FIN230" s="514"/>
      <c r="FIO230" s="514"/>
      <c r="FIP230" s="514"/>
      <c r="FIQ230" s="514"/>
      <c r="FIR230" s="514"/>
      <c r="FIS230" s="514"/>
      <c r="FIT230" s="514"/>
      <c r="FIU230" s="514"/>
      <c r="FIV230" s="514"/>
      <c r="FIW230" s="514"/>
      <c r="FIX230" s="514"/>
      <c r="FIY230" s="514"/>
      <c r="FIZ230" s="514"/>
      <c r="FJA230" s="514"/>
      <c r="FJB230" s="514"/>
      <c r="FJC230" s="514"/>
      <c r="FJD230" s="514"/>
      <c r="FJE230" s="514"/>
      <c r="FJF230" s="514"/>
      <c r="FJG230" s="514"/>
      <c r="FJH230" s="514"/>
      <c r="FJI230" s="514"/>
      <c r="FJJ230" s="514"/>
      <c r="FJK230" s="514"/>
      <c r="FJL230" s="514"/>
      <c r="FJM230" s="514"/>
      <c r="FJN230" s="514"/>
      <c r="FJO230" s="514"/>
      <c r="FJP230" s="514"/>
      <c r="FJQ230" s="514"/>
      <c r="FJR230" s="514"/>
      <c r="FJS230" s="514"/>
      <c r="FJT230" s="514"/>
      <c r="FJU230" s="514"/>
      <c r="FJV230" s="514"/>
      <c r="FJW230" s="514"/>
      <c r="FJX230" s="514"/>
      <c r="FJY230" s="514"/>
      <c r="FJZ230" s="514"/>
      <c r="FKA230" s="514"/>
      <c r="FKB230" s="514"/>
      <c r="FKC230" s="514"/>
      <c r="FKD230" s="514"/>
      <c r="FKE230" s="514"/>
      <c r="FKF230" s="514"/>
      <c r="FKG230" s="514"/>
      <c r="FKH230" s="514"/>
      <c r="FKI230" s="514"/>
      <c r="FKJ230" s="514"/>
      <c r="FKK230" s="514"/>
      <c r="FKL230" s="514"/>
      <c r="FKM230" s="514"/>
      <c r="FKN230" s="514"/>
      <c r="FKO230" s="514"/>
      <c r="FKP230" s="514"/>
      <c r="FKQ230" s="514"/>
      <c r="FKR230" s="514"/>
      <c r="FKS230" s="514"/>
      <c r="FKT230" s="514"/>
      <c r="FKU230" s="514"/>
      <c r="FKV230" s="514"/>
      <c r="FKW230" s="514"/>
      <c r="FKX230" s="514"/>
      <c r="FKY230" s="514"/>
      <c r="FKZ230" s="514"/>
      <c r="FLA230" s="514"/>
      <c r="FLB230" s="514"/>
      <c r="FLC230" s="514"/>
      <c r="FLD230" s="514"/>
      <c r="FLE230" s="514"/>
      <c r="FLF230" s="514"/>
      <c r="FLG230" s="514"/>
      <c r="FLH230" s="514"/>
      <c r="FLI230" s="514"/>
      <c r="FLJ230" s="514"/>
      <c r="FLK230" s="514"/>
      <c r="FLL230" s="514"/>
      <c r="FLM230" s="514"/>
      <c r="FLN230" s="514"/>
      <c r="FLO230" s="514"/>
      <c r="FLP230" s="514"/>
      <c r="FLQ230" s="514"/>
      <c r="FLR230" s="514"/>
      <c r="FLS230" s="514"/>
      <c r="FLT230" s="514"/>
      <c r="FLU230" s="514"/>
      <c r="FLV230" s="514"/>
      <c r="FLW230" s="514"/>
      <c r="FLX230" s="514"/>
      <c r="FLY230" s="514"/>
      <c r="FLZ230" s="514"/>
      <c r="FMA230" s="514"/>
      <c r="FMB230" s="514"/>
      <c r="FMC230" s="514"/>
      <c r="FMD230" s="514"/>
      <c r="FME230" s="514"/>
      <c r="FMF230" s="514"/>
      <c r="FMG230" s="514"/>
      <c r="FMH230" s="514"/>
      <c r="FMI230" s="514"/>
      <c r="FMJ230" s="514"/>
      <c r="FMK230" s="514"/>
      <c r="FML230" s="514"/>
      <c r="FMM230" s="514"/>
      <c r="FMN230" s="514"/>
      <c r="FMO230" s="514"/>
      <c r="FMP230" s="514"/>
      <c r="FMQ230" s="514"/>
      <c r="FMR230" s="514"/>
      <c r="FMS230" s="514"/>
      <c r="FMT230" s="514"/>
      <c r="FMU230" s="514"/>
      <c r="FMV230" s="514"/>
      <c r="FMW230" s="514"/>
      <c r="FMX230" s="514"/>
      <c r="FMY230" s="514"/>
      <c r="FMZ230" s="514"/>
      <c r="FNA230" s="514"/>
      <c r="FNB230" s="514"/>
      <c r="FNC230" s="514"/>
      <c r="FND230" s="514"/>
      <c r="FNE230" s="514"/>
      <c r="FNF230" s="514"/>
      <c r="FNG230" s="514"/>
      <c r="FNH230" s="514"/>
      <c r="FNI230" s="514"/>
      <c r="FNJ230" s="514"/>
      <c r="FNK230" s="514"/>
      <c r="FNL230" s="514"/>
      <c r="FNM230" s="514"/>
      <c r="FNN230" s="514"/>
      <c r="FNO230" s="514"/>
      <c r="FNP230" s="514"/>
      <c r="FNQ230" s="514"/>
      <c r="FNR230" s="514"/>
      <c r="FNS230" s="514"/>
      <c r="FNT230" s="514"/>
      <c r="FNU230" s="514"/>
      <c r="FNV230" s="514"/>
      <c r="FNW230" s="514"/>
      <c r="FNX230" s="514"/>
      <c r="FNY230" s="514"/>
      <c r="FNZ230" s="514"/>
      <c r="FOA230" s="514"/>
      <c r="FOB230" s="514"/>
      <c r="FOC230" s="514"/>
      <c r="FOD230" s="514"/>
      <c r="FOE230" s="514"/>
      <c r="FOF230" s="514"/>
      <c r="FOG230" s="514"/>
      <c r="FOH230" s="514"/>
      <c r="FOI230" s="514"/>
      <c r="FOJ230" s="514"/>
      <c r="FOK230" s="514"/>
      <c r="FOL230" s="514"/>
      <c r="FOM230" s="514"/>
      <c r="FON230" s="514"/>
      <c r="FOO230" s="514"/>
      <c r="FOP230" s="514"/>
      <c r="FOQ230" s="514"/>
      <c r="FOR230" s="514"/>
      <c r="FOS230" s="514"/>
      <c r="FOT230" s="514"/>
      <c r="FOU230" s="514"/>
      <c r="FOV230" s="514"/>
      <c r="FOW230" s="514"/>
      <c r="FOX230" s="514"/>
      <c r="FOY230" s="514"/>
      <c r="FOZ230" s="514"/>
      <c r="FPA230" s="514"/>
      <c r="FPB230" s="514"/>
      <c r="FPC230" s="514"/>
      <c r="FPD230" s="514"/>
      <c r="FPE230" s="514"/>
      <c r="FPF230" s="514"/>
      <c r="FPG230" s="514"/>
      <c r="FPH230" s="514"/>
      <c r="FPI230" s="514"/>
      <c r="FPJ230" s="514"/>
      <c r="FPK230" s="514"/>
      <c r="FPL230" s="514"/>
      <c r="FPM230" s="514"/>
      <c r="FPN230" s="514"/>
      <c r="FPO230" s="514"/>
      <c r="FPP230" s="514"/>
      <c r="FPQ230" s="514"/>
      <c r="FPR230" s="514"/>
      <c r="FPS230" s="514"/>
      <c r="FPT230" s="514"/>
      <c r="FPU230" s="514"/>
      <c r="FPV230" s="514"/>
      <c r="FPW230" s="514"/>
      <c r="FPX230" s="514"/>
      <c r="FPY230" s="514"/>
      <c r="FPZ230" s="514"/>
      <c r="FQA230" s="514"/>
      <c r="FQB230" s="514"/>
      <c r="FQC230" s="514"/>
      <c r="FQD230" s="514"/>
      <c r="FQE230" s="514"/>
      <c r="FQF230" s="514"/>
      <c r="FQG230" s="514"/>
      <c r="FQH230" s="514"/>
      <c r="FQI230" s="514"/>
      <c r="FQJ230" s="514"/>
      <c r="FQK230" s="514"/>
      <c r="FQL230" s="514"/>
      <c r="FQM230" s="514"/>
      <c r="FQN230" s="514"/>
      <c r="FQO230" s="514"/>
      <c r="FQP230" s="514"/>
      <c r="FQQ230" s="514"/>
      <c r="FQR230" s="514"/>
      <c r="FQS230" s="514"/>
      <c r="FQT230" s="514"/>
      <c r="FQU230" s="514"/>
      <c r="FQV230" s="514"/>
      <c r="FQW230" s="514"/>
      <c r="FQX230" s="514"/>
      <c r="FQY230" s="514"/>
      <c r="FQZ230" s="514"/>
      <c r="FRA230" s="514"/>
      <c r="FRB230" s="514"/>
      <c r="FRC230" s="514"/>
      <c r="FRD230" s="514"/>
      <c r="FRE230" s="514"/>
      <c r="FRF230" s="514"/>
      <c r="FRG230" s="514"/>
      <c r="FRH230" s="514"/>
      <c r="FRI230" s="514"/>
      <c r="FRJ230" s="514"/>
      <c r="FRK230" s="514"/>
      <c r="FRL230" s="514"/>
      <c r="FRM230" s="514"/>
      <c r="FRN230" s="514"/>
      <c r="FRO230" s="514"/>
      <c r="FRP230" s="514"/>
      <c r="FRQ230" s="514"/>
      <c r="FRR230" s="514"/>
      <c r="FRS230" s="514"/>
      <c r="FRT230" s="514"/>
      <c r="FRU230" s="514"/>
      <c r="FRV230" s="514"/>
      <c r="FRW230" s="514"/>
      <c r="FRX230" s="514"/>
      <c r="FRY230" s="514"/>
      <c r="FRZ230" s="514"/>
      <c r="FSA230" s="514"/>
      <c r="FSB230" s="514"/>
      <c r="FSC230" s="514"/>
      <c r="FSD230" s="514"/>
      <c r="FSE230" s="514"/>
      <c r="FSF230" s="514"/>
      <c r="FSG230" s="514"/>
      <c r="FSH230" s="514"/>
      <c r="FSI230" s="514"/>
      <c r="FSJ230" s="514"/>
      <c r="FSK230" s="514"/>
      <c r="FSL230" s="514"/>
      <c r="FSM230" s="514"/>
      <c r="FSN230" s="514"/>
      <c r="FSO230" s="514"/>
      <c r="FSP230" s="514"/>
      <c r="FSQ230" s="514"/>
      <c r="FSR230" s="514"/>
      <c r="FSS230" s="514"/>
      <c r="FST230" s="514"/>
      <c r="FSU230" s="514"/>
      <c r="FSV230" s="514"/>
      <c r="FSW230" s="514"/>
      <c r="FSX230" s="514"/>
      <c r="FSY230" s="514"/>
      <c r="FSZ230" s="514"/>
      <c r="FTA230" s="514"/>
      <c r="FTB230" s="514"/>
      <c r="FTC230" s="514"/>
      <c r="FTD230" s="514"/>
      <c r="FTE230" s="514"/>
      <c r="FTF230" s="514"/>
      <c r="FTG230" s="514"/>
      <c r="FTH230" s="514"/>
      <c r="FTI230" s="514"/>
      <c r="FTJ230" s="514"/>
      <c r="FTK230" s="514"/>
      <c r="FTL230" s="514"/>
      <c r="FTM230" s="514"/>
      <c r="FTN230" s="514"/>
      <c r="FTO230" s="514"/>
      <c r="FTP230" s="514"/>
      <c r="FTQ230" s="514"/>
      <c r="FTR230" s="514"/>
      <c r="FTS230" s="514"/>
      <c r="FTT230" s="514"/>
      <c r="FTU230" s="514"/>
      <c r="FTV230" s="514"/>
      <c r="FTW230" s="514"/>
      <c r="FTX230" s="514"/>
      <c r="FTY230" s="514"/>
      <c r="FTZ230" s="514"/>
      <c r="FUA230" s="514"/>
      <c r="FUB230" s="514"/>
      <c r="FUC230" s="514"/>
      <c r="FUD230" s="514"/>
      <c r="FUE230" s="514"/>
      <c r="FUF230" s="514"/>
      <c r="FUG230" s="514"/>
      <c r="FUH230" s="514"/>
      <c r="FUI230" s="514"/>
      <c r="FUJ230" s="514"/>
      <c r="FUK230" s="514"/>
      <c r="FUL230" s="514"/>
      <c r="FUM230" s="514"/>
      <c r="FUN230" s="514"/>
      <c r="FUO230" s="514"/>
      <c r="FUP230" s="514"/>
      <c r="FUQ230" s="514"/>
      <c r="FUR230" s="514"/>
      <c r="FUS230" s="514"/>
      <c r="FUT230" s="514"/>
      <c r="FUU230" s="514"/>
      <c r="FUV230" s="514"/>
      <c r="FUW230" s="514"/>
      <c r="FUX230" s="514"/>
      <c r="FUY230" s="514"/>
      <c r="FUZ230" s="514"/>
      <c r="FVA230" s="514"/>
      <c r="FVB230" s="514"/>
      <c r="FVC230" s="514"/>
      <c r="FVD230" s="514"/>
      <c r="FVE230" s="514"/>
      <c r="FVF230" s="514"/>
      <c r="FVG230" s="514"/>
      <c r="FVH230" s="514"/>
      <c r="FVI230" s="514"/>
      <c r="FVJ230" s="514"/>
      <c r="FVK230" s="514"/>
      <c r="FVL230" s="514"/>
      <c r="FVM230" s="514"/>
      <c r="FVN230" s="514"/>
      <c r="FVO230" s="514"/>
      <c r="FVP230" s="514"/>
      <c r="FVQ230" s="514"/>
      <c r="FVR230" s="514"/>
      <c r="FVS230" s="514"/>
      <c r="FVT230" s="514"/>
      <c r="FVU230" s="514"/>
      <c r="FVV230" s="514"/>
      <c r="FVW230" s="514"/>
      <c r="FVX230" s="514"/>
      <c r="FVY230" s="514"/>
      <c r="FVZ230" s="514"/>
      <c r="FWA230" s="514"/>
      <c r="FWB230" s="514"/>
      <c r="FWC230" s="514"/>
      <c r="FWD230" s="514"/>
      <c r="FWE230" s="514"/>
      <c r="FWF230" s="514"/>
      <c r="FWG230" s="514"/>
      <c r="FWH230" s="514"/>
      <c r="FWI230" s="514"/>
      <c r="FWJ230" s="514"/>
      <c r="FWK230" s="514"/>
      <c r="FWL230" s="514"/>
      <c r="FWM230" s="514"/>
      <c r="FWN230" s="514"/>
      <c r="FWO230" s="514"/>
      <c r="FWP230" s="514"/>
      <c r="FWQ230" s="514"/>
      <c r="FWR230" s="514"/>
      <c r="FWS230" s="514"/>
      <c r="FWT230" s="514"/>
      <c r="FWU230" s="514"/>
      <c r="FWV230" s="514"/>
      <c r="FWW230" s="514"/>
      <c r="FWX230" s="514"/>
      <c r="FWY230" s="514"/>
      <c r="FWZ230" s="514"/>
      <c r="FXA230" s="514"/>
      <c r="FXB230" s="514"/>
      <c r="FXC230" s="514"/>
      <c r="FXD230" s="514"/>
      <c r="FXE230" s="514"/>
      <c r="FXF230" s="514"/>
      <c r="FXG230" s="514"/>
      <c r="FXH230" s="514"/>
      <c r="FXI230" s="514"/>
      <c r="FXJ230" s="514"/>
      <c r="FXK230" s="514"/>
      <c r="FXL230" s="514"/>
      <c r="FXM230" s="514"/>
      <c r="FXN230" s="514"/>
      <c r="FXO230" s="514"/>
      <c r="FXP230" s="514"/>
      <c r="FXQ230" s="514"/>
      <c r="FXR230" s="514"/>
      <c r="FXS230" s="514"/>
      <c r="FXT230" s="514"/>
      <c r="FXU230" s="514"/>
      <c r="FXV230" s="514"/>
      <c r="FXW230" s="514"/>
      <c r="FXX230" s="514"/>
      <c r="FXY230" s="514"/>
      <c r="FXZ230" s="514"/>
      <c r="FYA230" s="514"/>
      <c r="FYB230" s="514"/>
      <c r="FYC230" s="514"/>
      <c r="FYD230" s="514"/>
      <c r="FYE230" s="514"/>
      <c r="FYF230" s="514"/>
      <c r="FYG230" s="514"/>
      <c r="FYH230" s="514"/>
      <c r="FYI230" s="514"/>
      <c r="FYJ230" s="514"/>
      <c r="FYK230" s="514"/>
      <c r="FYL230" s="514"/>
      <c r="FYM230" s="514"/>
      <c r="FYN230" s="514"/>
      <c r="FYO230" s="514"/>
      <c r="FYP230" s="514"/>
      <c r="FYQ230" s="514"/>
      <c r="FYR230" s="514"/>
      <c r="FYS230" s="514"/>
      <c r="FYT230" s="514"/>
      <c r="FYU230" s="514"/>
      <c r="FYV230" s="514"/>
      <c r="FYW230" s="514"/>
      <c r="FYX230" s="514"/>
      <c r="FYY230" s="514"/>
      <c r="FYZ230" s="514"/>
      <c r="FZA230" s="514"/>
      <c r="FZB230" s="514"/>
      <c r="FZC230" s="514"/>
      <c r="FZD230" s="514"/>
      <c r="FZE230" s="514"/>
      <c r="FZF230" s="514"/>
      <c r="FZG230" s="514"/>
      <c r="FZH230" s="514"/>
      <c r="FZI230" s="514"/>
      <c r="FZJ230" s="514"/>
      <c r="FZK230" s="514"/>
      <c r="FZL230" s="514"/>
      <c r="FZM230" s="514"/>
      <c r="FZN230" s="514"/>
      <c r="FZO230" s="514"/>
      <c r="FZP230" s="514"/>
      <c r="FZQ230" s="514"/>
      <c r="FZR230" s="514"/>
      <c r="FZS230" s="514"/>
      <c r="FZT230" s="514"/>
      <c r="FZU230" s="514"/>
      <c r="FZV230" s="514"/>
      <c r="FZW230" s="514"/>
      <c r="FZX230" s="514"/>
      <c r="FZY230" s="514"/>
      <c r="FZZ230" s="514"/>
      <c r="GAA230" s="514"/>
      <c r="GAB230" s="514"/>
      <c r="GAC230" s="514"/>
      <c r="GAD230" s="514"/>
      <c r="GAE230" s="514"/>
      <c r="GAF230" s="514"/>
      <c r="GAG230" s="514"/>
      <c r="GAH230" s="514"/>
      <c r="GAI230" s="514"/>
      <c r="GAJ230" s="514"/>
      <c r="GAK230" s="514"/>
      <c r="GAL230" s="514"/>
      <c r="GAM230" s="514"/>
      <c r="GAN230" s="514"/>
      <c r="GAO230" s="514"/>
      <c r="GAP230" s="514"/>
      <c r="GAQ230" s="514"/>
      <c r="GAR230" s="514"/>
      <c r="GAS230" s="514"/>
      <c r="GAT230" s="514"/>
      <c r="GAU230" s="514"/>
      <c r="GAV230" s="514"/>
      <c r="GAW230" s="514"/>
      <c r="GAX230" s="514"/>
      <c r="GAY230" s="514"/>
      <c r="GAZ230" s="514"/>
      <c r="GBA230" s="514"/>
      <c r="GBB230" s="514"/>
      <c r="GBC230" s="514"/>
      <c r="GBD230" s="514"/>
      <c r="GBE230" s="514"/>
      <c r="GBF230" s="514"/>
      <c r="GBG230" s="514"/>
      <c r="GBH230" s="514"/>
      <c r="GBI230" s="514"/>
      <c r="GBJ230" s="514"/>
      <c r="GBK230" s="514"/>
      <c r="GBL230" s="514"/>
      <c r="GBM230" s="514"/>
      <c r="GBN230" s="514"/>
      <c r="GBO230" s="514"/>
      <c r="GBP230" s="514"/>
      <c r="GBQ230" s="514"/>
      <c r="GBR230" s="514"/>
      <c r="GBS230" s="514"/>
      <c r="GBT230" s="514"/>
      <c r="GBU230" s="514"/>
      <c r="GBV230" s="514"/>
      <c r="GBW230" s="514"/>
      <c r="GBX230" s="514"/>
      <c r="GBY230" s="514"/>
      <c r="GBZ230" s="514"/>
      <c r="GCA230" s="514"/>
      <c r="GCB230" s="514"/>
      <c r="GCC230" s="514"/>
      <c r="GCD230" s="514"/>
      <c r="GCE230" s="514"/>
      <c r="GCF230" s="514"/>
      <c r="GCG230" s="514"/>
      <c r="GCH230" s="514"/>
      <c r="GCI230" s="514"/>
      <c r="GCJ230" s="514"/>
      <c r="GCK230" s="514"/>
      <c r="GCL230" s="514"/>
      <c r="GCM230" s="514"/>
      <c r="GCN230" s="514"/>
      <c r="GCO230" s="514"/>
      <c r="GCP230" s="514"/>
      <c r="GCQ230" s="514"/>
      <c r="GCR230" s="514"/>
      <c r="GCS230" s="514"/>
      <c r="GCT230" s="514"/>
      <c r="GCU230" s="514"/>
      <c r="GCV230" s="514"/>
      <c r="GCW230" s="514"/>
      <c r="GCX230" s="514"/>
      <c r="GCY230" s="514"/>
      <c r="GCZ230" s="514"/>
      <c r="GDA230" s="514"/>
      <c r="GDB230" s="514"/>
      <c r="GDC230" s="514"/>
      <c r="GDD230" s="514"/>
      <c r="GDE230" s="514"/>
      <c r="GDF230" s="514"/>
      <c r="GDG230" s="514"/>
      <c r="GDH230" s="514"/>
      <c r="GDI230" s="514"/>
      <c r="GDJ230" s="514"/>
      <c r="GDK230" s="514"/>
      <c r="GDL230" s="514"/>
      <c r="GDM230" s="514"/>
      <c r="GDN230" s="514"/>
      <c r="GDO230" s="514"/>
      <c r="GDP230" s="514"/>
      <c r="GDQ230" s="514"/>
      <c r="GDR230" s="514"/>
      <c r="GDS230" s="514"/>
      <c r="GDT230" s="514"/>
      <c r="GDU230" s="514"/>
      <c r="GDV230" s="514"/>
      <c r="GDW230" s="514"/>
      <c r="GDX230" s="514"/>
      <c r="GDY230" s="514"/>
      <c r="GDZ230" s="514"/>
      <c r="GEA230" s="514"/>
      <c r="GEB230" s="514"/>
      <c r="GEC230" s="514"/>
      <c r="GED230" s="514"/>
      <c r="GEE230" s="514"/>
      <c r="GEF230" s="514"/>
      <c r="GEG230" s="514"/>
      <c r="GEH230" s="514"/>
      <c r="GEI230" s="514"/>
      <c r="GEJ230" s="514"/>
      <c r="GEK230" s="514"/>
      <c r="GEL230" s="514"/>
      <c r="GEM230" s="514"/>
      <c r="GEN230" s="514"/>
      <c r="GEO230" s="514"/>
      <c r="GEP230" s="514"/>
      <c r="GEQ230" s="514"/>
      <c r="GER230" s="514"/>
      <c r="GES230" s="514"/>
      <c r="GET230" s="514"/>
      <c r="GEU230" s="514"/>
      <c r="GEV230" s="514"/>
      <c r="GEW230" s="514"/>
      <c r="GEX230" s="514"/>
      <c r="GEY230" s="514"/>
      <c r="GEZ230" s="514"/>
      <c r="GFA230" s="514"/>
      <c r="GFB230" s="514"/>
      <c r="GFC230" s="514"/>
      <c r="GFD230" s="514"/>
      <c r="GFE230" s="514"/>
      <c r="GFF230" s="514"/>
      <c r="GFG230" s="514"/>
      <c r="GFH230" s="514"/>
      <c r="GFI230" s="514"/>
      <c r="GFJ230" s="514"/>
      <c r="GFK230" s="514"/>
      <c r="GFL230" s="514"/>
      <c r="GFM230" s="514"/>
      <c r="GFN230" s="514"/>
      <c r="GFO230" s="514"/>
      <c r="GFP230" s="514"/>
      <c r="GFQ230" s="514"/>
      <c r="GFR230" s="514"/>
      <c r="GFS230" s="514"/>
      <c r="GFT230" s="514"/>
      <c r="GFU230" s="514"/>
      <c r="GFV230" s="514"/>
      <c r="GFW230" s="514"/>
      <c r="GFX230" s="514"/>
      <c r="GFY230" s="514"/>
      <c r="GFZ230" s="514"/>
      <c r="GGA230" s="514"/>
      <c r="GGB230" s="514"/>
      <c r="GGC230" s="514"/>
      <c r="GGD230" s="514"/>
      <c r="GGE230" s="514"/>
      <c r="GGF230" s="514"/>
      <c r="GGG230" s="514"/>
      <c r="GGH230" s="514"/>
      <c r="GGI230" s="514"/>
      <c r="GGJ230" s="514"/>
      <c r="GGK230" s="514"/>
      <c r="GGL230" s="514"/>
      <c r="GGM230" s="514"/>
      <c r="GGN230" s="514"/>
      <c r="GGO230" s="514"/>
      <c r="GGP230" s="514"/>
      <c r="GGQ230" s="514"/>
      <c r="GGR230" s="514"/>
      <c r="GGS230" s="514"/>
      <c r="GGT230" s="514"/>
      <c r="GGU230" s="514"/>
      <c r="GGV230" s="514"/>
      <c r="GGW230" s="514"/>
      <c r="GGX230" s="514"/>
      <c r="GGY230" s="514"/>
      <c r="GGZ230" s="514"/>
      <c r="GHA230" s="514"/>
      <c r="GHB230" s="514"/>
      <c r="GHC230" s="514"/>
      <c r="GHD230" s="514"/>
      <c r="GHE230" s="514"/>
      <c r="GHF230" s="514"/>
      <c r="GHG230" s="514"/>
      <c r="GHH230" s="514"/>
      <c r="GHI230" s="514"/>
      <c r="GHJ230" s="514"/>
      <c r="GHK230" s="514"/>
      <c r="GHL230" s="514"/>
      <c r="GHM230" s="514"/>
      <c r="GHN230" s="514"/>
      <c r="GHO230" s="514"/>
      <c r="GHP230" s="514"/>
      <c r="GHQ230" s="514"/>
      <c r="GHR230" s="514"/>
      <c r="GHS230" s="514"/>
      <c r="GHT230" s="514"/>
      <c r="GHU230" s="514"/>
      <c r="GHV230" s="514"/>
      <c r="GHW230" s="514"/>
      <c r="GHX230" s="514"/>
      <c r="GHY230" s="514"/>
      <c r="GHZ230" s="514"/>
      <c r="GIA230" s="514"/>
      <c r="GIB230" s="514"/>
      <c r="GIC230" s="514"/>
      <c r="GID230" s="514"/>
      <c r="GIE230" s="514"/>
      <c r="GIF230" s="514"/>
      <c r="GIG230" s="514"/>
      <c r="GIH230" s="514"/>
      <c r="GII230" s="514"/>
      <c r="GIJ230" s="514"/>
      <c r="GIK230" s="514"/>
      <c r="GIL230" s="514"/>
      <c r="GIM230" s="514"/>
      <c r="GIN230" s="514"/>
      <c r="GIO230" s="514"/>
      <c r="GIP230" s="514"/>
      <c r="GIQ230" s="514"/>
      <c r="GIR230" s="514"/>
      <c r="GIS230" s="514"/>
      <c r="GIT230" s="514"/>
      <c r="GIU230" s="514"/>
      <c r="GIV230" s="514"/>
      <c r="GIW230" s="514"/>
      <c r="GIX230" s="514"/>
      <c r="GIY230" s="514"/>
      <c r="GIZ230" s="514"/>
      <c r="GJA230" s="514"/>
      <c r="GJB230" s="514"/>
      <c r="GJC230" s="514"/>
      <c r="GJD230" s="514"/>
      <c r="GJE230" s="514"/>
      <c r="GJF230" s="514"/>
      <c r="GJG230" s="514"/>
      <c r="GJH230" s="514"/>
      <c r="GJI230" s="514"/>
      <c r="GJJ230" s="514"/>
      <c r="GJK230" s="514"/>
      <c r="GJL230" s="514"/>
      <c r="GJM230" s="514"/>
      <c r="GJN230" s="514"/>
      <c r="GJO230" s="514"/>
      <c r="GJP230" s="514"/>
      <c r="GJQ230" s="514"/>
      <c r="GJR230" s="514"/>
      <c r="GJS230" s="514"/>
      <c r="GJT230" s="514"/>
      <c r="GJU230" s="514"/>
      <c r="GJV230" s="514"/>
      <c r="GJW230" s="514"/>
      <c r="GJX230" s="514"/>
      <c r="GJY230" s="514"/>
      <c r="GJZ230" s="514"/>
      <c r="GKA230" s="514"/>
      <c r="GKB230" s="514"/>
      <c r="GKC230" s="514"/>
      <c r="GKD230" s="514"/>
      <c r="GKE230" s="514"/>
      <c r="GKF230" s="514"/>
      <c r="GKG230" s="514"/>
      <c r="GKH230" s="514"/>
      <c r="GKI230" s="514"/>
      <c r="GKJ230" s="514"/>
      <c r="GKK230" s="514"/>
      <c r="GKL230" s="514"/>
      <c r="GKM230" s="514"/>
      <c r="GKN230" s="514"/>
      <c r="GKO230" s="514"/>
      <c r="GKP230" s="514"/>
      <c r="GKQ230" s="514"/>
      <c r="GKR230" s="514"/>
      <c r="GKS230" s="514"/>
      <c r="GKT230" s="514"/>
      <c r="GKU230" s="514"/>
      <c r="GKV230" s="514"/>
      <c r="GKW230" s="514"/>
      <c r="GKX230" s="514"/>
      <c r="GKY230" s="514"/>
      <c r="GKZ230" s="514"/>
      <c r="GLA230" s="514"/>
      <c r="GLB230" s="514"/>
      <c r="GLC230" s="514"/>
      <c r="GLD230" s="514"/>
      <c r="GLE230" s="514"/>
      <c r="GLF230" s="514"/>
      <c r="GLG230" s="514"/>
      <c r="GLH230" s="514"/>
      <c r="GLI230" s="514"/>
      <c r="GLJ230" s="514"/>
      <c r="GLK230" s="514"/>
      <c r="GLL230" s="514"/>
      <c r="GLM230" s="514"/>
      <c r="GLN230" s="514"/>
      <c r="GLO230" s="514"/>
      <c r="GLP230" s="514"/>
      <c r="GLQ230" s="514"/>
      <c r="GLR230" s="514"/>
      <c r="GLS230" s="514"/>
      <c r="GLT230" s="514"/>
      <c r="GLU230" s="514"/>
      <c r="GLV230" s="514"/>
      <c r="GLW230" s="514"/>
      <c r="GLX230" s="514"/>
      <c r="GLY230" s="514"/>
      <c r="GLZ230" s="514"/>
      <c r="GMA230" s="514"/>
      <c r="GMB230" s="514"/>
      <c r="GMC230" s="514"/>
      <c r="GMD230" s="514"/>
      <c r="GME230" s="514"/>
      <c r="GMF230" s="514"/>
      <c r="GMG230" s="514"/>
      <c r="GMH230" s="514"/>
      <c r="GMI230" s="514"/>
      <c r="GMJ230" s="514"/>
      <c r="GMK230" s="514"/>
      <c r="GML230" s="514"/>
      <c r="GMM230" s="514"/>
      <c r="GMN230" s="514"/>
      <c r="GMO230" s="514"/>
      <c r="GMP230" s="514"/>
      <c r="GMQ230" s="514"/>
      <c r="GMR230" s="514"/>
      <c r="GMS230" s="514"/>
      <c r="GMT230" s="514"/>
      <c r="GMU230" s="514"/>
      <c r="GMV230" s="514"/>
      <c r="GMW230" s="514"/>
      <c r="GMX230" s="514"/>
      <c r="GMY230" s="514"/>
      <c r="GMZ230" s="514"/>
      <c r="GNA230" s="514"/>
      <c r="GNB230" s="514"/>
      <c r="GNC230" s="514"/>
      <c r="GND230" s="514"/>
      <c r="GNE230" s="514"/>
      <c r="GNF230" s="514"/>
      <c r="GNG230" s="514"/>
      <c r="GNH230" s="514"/>
      <c r="GNI230" s="514"/>
      <c r="GNJ230" s="514"/>
      <c r="GNK230" s="514"/>
      <c r="GNL230" s="514"/>
      <c r="GNM230" s="514"/>
      <c r="GNN230" s="514"/>
      <c r="GNO230" s="514"/>
      <c r="GNP230" s="514"/>
      <c r="GNQ230" s="514"/>
      <c r="GNR230" s="514"/>
      <c r="GNS230" s="514"/>
      <c r="GNT230" s="514"/>
      <c r="GNU230" s="514"/>
      <c r="GNV230" s="514"/>
      <c r="GNW230" s="514"/>
      <c r="GNX230" s="514"/>
      <c r="GNY230" s="514"/>
      <c r="GNZ230" s="514"/>
      <c r="GOA230" s="514"/>
      <c r="GOB230" s="514"/>
      <c r="GOC230" s="514"/>
      <c r="GOD230" s="514"/>
      <c r="GOE230" s="514"/>
      <c r="GOF230" s="514"/>
      <c r="GOG230" s="514"/>
      <c r="GOH230" s="514"/>
      <c r="GOI230" s="514"/>
      <c r="GOJ230" s="514"/>
      <c r="GOK230" s="514"/>
      <c r="GOL230" s="514"/>
      <c r="GOM230" s="514"/>
      <c r="GON230" s="514"/>
      <c r="GOO230" s="514"/>
      <c r="GOP230" s="514"/>
      <c r="GOQ230" s="514"/>
      <c r="GOR230" s="514"/>
      <c r="GOS230" s="514"/>
      <c r="GOT230" s="514"/>
      <c r="GOU230" s="514"/>
      <c r="GOV230" s="514"/>
      <c r="GOW230" s="514"/>
      <c r="GOX230" s="514"/>
      <c r="GOY230" s="514"/>
      <c r="GOZ230" s="514"/>
      <c r="GPA230" s="514"/>
      <c r="GPB230" s="514"/>
      <c r="GPC230" s="514"/>
      <c r="GPD230" s="514"/>
      <c r="GPE230" s="514"/>
      <c r="GPF230" s="514"/>
      <c r="GPG230" s="514"/>
      <c r="GPH230" s="514"/>
      <c r="GPI230" s="514"/>
      <c r="GPJ230" s="514"/>
      <c r="GPK230" s="514"/>
      <c r="GPL230" s="514"/>
      <c r="GPM230" s="514"/>
      <c r="GPN230" s="514"/>
      <c r="GPO230" s="514"/>
      <c r="GPP230" s="514"/>
      <c r="GPQ230" s="514"/>
      <c r="GPR230" s="514"/>
      <c r="GPS230" s="514"/>
      <c r="GPT230" s="514"/>
      <c r="GPU230" s="514"/>
      <c r="GPV230" s="514"/>
      <c r="GPW230" s="514"/>
      <c r="GPX230" s="514"/>
      <c r="GPY230" s="514"/>
      <c r="GPZ230" s="514"/>
      <c r="GQA230" s="514"/>
      <c r="GQB230" s="514"/>
      <c r="GQC230" s="514"/>
      <c r="GQD230" s="514"/>
      <c r="GQE230" s="514"/>
      <c r="GQF230" s="514"/>
      <c r="GQG230" s="514"/>
      <c r="GQH230" s="514"/>
      <c r="GQI230" s="514"/>
      <c r="GQJ230" s="514"/>
      <c r="GQK230" s="514"/>
      <c r="GQL230" s="514"/>
      <c r="GQM230" s="514"/>
      <c r="GQN230" s="514"/>
      <c r="GQO230" s="514"/>
      <c r="GQP230" s="514"/>
      <c r="GQQ230" s="514"/>
      <c r="GQR230" s="514"/>
      <c r="GQS230" s="514"/>
      <c r="GQT230" s="514"/>
      <c r="GQU230" s="514"/>
      <c r="GQV230" s="514"/>
      <c r="GQW230" s="514"/>
      <c r="GQX230" s="514"/>
      <c r="GQY230" s="514"/>
      <c r="GQZ230" s="514"/>
      <c r="GRA230" s="514"/>
      <c r="GRB230" s="514"/>
      <c r="GRC230" s="514"/>
      <c r="GRD230" s="514"/>
      <c r="GRE230" s="514"/>
      <c r="GRF230" s="514"/>
      <c r="GRG230" s="514"/>
      <c r="GRH230" s="514"/>
      <c r="GRI230" s="514"/>
      <c r="GRJ230" s="514"/>
      <c r="GRK230" s="514"/>
      <c r="GRL230" s="514"/>
      <c r="GRM230" s="514"/>
      <c r="GRN230" s="514"/>
      <c r="GRO230" s="514"/>
      <c r="GRP230" s="514"/>
      <c r="GRQ230" s="514"/>
      <c r="GRR230" s="514"/>
      <c r="GRS230" s="514"/>
      <c r="GRT230" s="514"/>
      <c r="GRU230" s="514"/>
      <c r="GRV230" s="514"/>
      <c r="GRW230" s="514"/>
      <c r="GRX230" s="514"/>
      <c r="GRY230" s="514"/>
      <c r="GRZ230" s="514"/>
      <c r="GSA230" s="514"/>
      <c r="GSB230" s="514"/>
      <c r="GSC230" s="514"/>
      <c r="GSD230" s="514"/>
      <c r="GSE230" s="514"/>
      <c r="GSF230" s="514"/>
      <c r="GSG230" s="514"/>
      <c r="GSH230" s="514"/>
      <c r="GSI230" s="514"/>
      <c r="GSJ230" s="514"/>
      <c r="GSK230" s="514"/>
      <c r="GSL230" s="514"/>
      <c r="GSM230" s="514"/>
      <c r="GSN230" s="514"/>
      <c r="GSO230" s="514"/>
      <c r="GSP230" s="514"/>
      <c r="GSQ230" s="514"/>
      <c r="GSR230" s="514"/>
      <c r="GSS230" s="514"/>
      <c r="GST230" s="514"/>
      <c r="GSU230" s="514"/>
      <c r="GSV230" s="514"/>
      <c r="GSW230" s="514"/>
      <c r="GSX230" s="514"/>
      <c r="GSY230" s="514"/>
      <c r="GSZ230" s="514"/>
      <c r="GTA230" s="514"/>
      <c r="GTB230" s="514"/>
      <c r="GTC230" s="514"/>
      <c r="GTD230" s="514"/>
      <c r="GTE230" s="514"/>
      <c r="GTF230" s="514"/>
      <c r="GTG230" s="514"/>
      <c r="GTH230" s="514"/>
      <c r="GTI230" s="514"/>
      <c r="GTJ230" s="514"/>
      <c r="GTK230" s="514"/>
      <c r="GTL230" s="514"/>
      <c r="GTM230" s="514"/>
      <c r="GTN230" s="514"/>
      <c r="GTO230" s="514"/>
      <c r="GTP230" s="514"/>
      <c r="GTQ230" s="514"/>
      <c r="GTR230" s="514"/>
      <c r="GTS230" s="514"/>
      <c r="GTT230" s="514"/>
      <c r="GTU230" s="514"/>
      <c r="GTV230" s="514"/>
      <c r="GTW230" s="514"/>
      <c r="GTX230" s="514"/>
      <c r="GTY230" s="514"/>
      <c r="GTZ230" s="514"/>
      <c r="GUA230" s="514"/>
      <c r="GUB230" s="514"/>
      <c r="GUC230" s="514"/>
      <c r="GUD230" s="514"/>
      <c r="GUE230" s="514"/>
      <c r="GUF230" s="514"/>
      <c r="GUG230" s="514"/>
      <c r="GUH230" s="514"/>
      <c r="GUI230" s="514"/>
      <c r="GUJ230" s="514"/>
      <c r="GUK230" s="514"/>
      <c r="GUL230" s="514"/>
      <c r="GUM230" s="514"/>
      <c r="GUN230" s="514"/>
      <c r="GUO230" s="514"/>
      <c r="GUP230" s="514"/>
      <c r="GUQ230" s="514"/>
      <c r="GUR230" s="514"/>
      <c r="GUS230" s="514"/>
      <c r="GUT230" s="514"/>
      <c r="GUU230" s="514"/>
      <c r="GUV230" s="514"/>
      <c r="GUW230" s="514"/>
      <c r="GUX230" s="514"/>
      <c r="GUY230" s="514"/>
      <c r="GUZ230" s="514"/>
      <c r="GVA230" s="514"/>
      <c r="GVB230" s="514"/>
      <c r="GVC230" s="514"/>
      <c r="GVD230" s="514"/>
      <c r="GVE230" s="514"/>
      <c r="GVF230" s="514"/>
      <c r="GVG230" s="514"/>
      <c r="GVH230" s="514"/>
      <c r="GVI230" s="514"/>
      <c r="GVJ230" s="514"/>
      <c r="GVK230" s="514"/>
      <c r="GVL230" s="514"/>
      <c r="GVM230" s="514"/>
      <c r="GVN230" s="514"/>
      <c r="GVO230" s="514"/>
      <c r="GVP230" s="514"/>
      <c r="GVQ230" s="514"/>
      <c r="GVR230" s="514"/>
      <c r="GVS230" s="514"/>
      <c r="GVT230" s="514"/>
      <c r="GVU230" s="514"/>
      <c r="GVV230" s="514"/>
      <c r="GVW230" s="514"/>
      <c r="GVX230" s="514"/>
      <c r="GVY230" s="514"/>
      <c r="GVZ230" s="514"/>
      <c r="GWA230" s="514"/>
      <c r="GWB230" s="514"/>
      <c r="GWC230" s="514"/>
      <c r="GWD230" s="514"/>
      <c r="GWE230" s="514"/>
      <c r="GWF230" s="514"/>
      <c r="GWG230" s="514"/>
      <c r="GWH230" s="514"/>
      <c r="GWI230" s="514"/>
      <c r="GWJ230" s="514"/>
      <c r="GWK230" s="514"/>
      <c r="GWL230" s="514"/>
      <c r="GWM230" s="514"/>
      <c r="GWN230" s="514"/>
      <c r="GWO230" s="514"/>
      <c r="GWP230" s="514"/>
      <c r="GWQ230" s="514"/>
      <c r="GWR230" s="514"/>
      <c r="GWS230" s="514"/>
      <c r="GWT230" s="514"/>
      <c r="GWU230" s="514"/>
      <c r="GWV230" s="514"/>
      <c r="GWW230" s="514"/>
      <c r="GWX230" s="514"/>
      <c r="GWY230" s="514"/>
      <c r="GWZ230" s="514"/>
      <c r="GXA230" s="514"/>
      <c r="GXB230" s="514"/>
      <c r="GXC230" s="514"/>
      <c r="GXD230" s="514"/>
      <c r="GXE230" s="514"/>
      <c r="GXF230" s="514"/>
      <c r="GXG230" s="514"/>
      <c r="GXH230" s="514"/>
      <c r="GXI230" s="514"/>
      <c r="GXJ230" s="514"/>
      <c r="GXK230" s="514"/>
      <c r="GXL230" s="514"/>
      <c r="GXM230" s="514"/>
      <c r="GXN230" s="514"/>
      <c r="GXO230" s="514"/>
      <c r="GXP230" s="514"/>
      <c r="GXQ230" s="514"/>
      <c r="GXR230" s="514"/>
      <c r="GXS230" s="514"/>
      <c r="GXT230" s="514"/>
      <c r="GXU230" s="514"/>
      <c r="GXV230" s="514"/>
      <c r="GXW230" s="514"/>
      <c r="GXX230" s="514"/>
      <c r="GXY230" s="514"/>
      <c r="GXZ230" s="514"/>
      <c r="GYA230" s="514"/>
      <c r="GYB230" s="514"/>
      <c r="GYC230" s="514"/>
      <c r="GYD230" s="514"/>
      <c r="GYE230" s="514"/>
      <c r="GYF230" s="514"/>
      <c r="GYG230" s="514"/>
      <c r="GYH230" s="514"/>
      <c r="GYI230" s="514"/>
      <c r="GYJ230" s="514"/>
      <c r="GYK230" s="514"/>
      <c r="GYL230" s="514"/>
      <c r="GYM230" s="514"/>
      <c r="GYN230" s="514"/>
      <c r="GYO230" s="514"/>
      <c r="GYP230" s="514"/>
      <c r="GYQ230" s="514"/>
      <c r="GYR230" s="514"/>
      <c r="GYS230" s="514"/>
      <c r="GYT230" s="514"/>
      <c r="GYU230" s="514"/>
      <c r="GYV230" s="514"/>
      <c r="GYW230" s="514"/>
      <c r="GYX230" s="514"/>
      <c r="GYY230" s="514"/>
      <c r="GYZ230" s="514"/>
      <c r="GZA230" s="514"/>
      <c r="GZB230" s="514"/>
      <c r="GZC230" s="514"/>
      <c r="GZD230" s="514"/>
      <c r="GZE230" s="514"/>
      <c r="GZF230" s="514"/>
      <c r="GZG230" s="514"/>
      <c r="GZH230" s="514"/>
      <c r="GZI230" s="514"/>
      <c r="GZJ230" s="514"/>
      <c r="GZK230" s="514"/>
      <c r="GZL230" s="514"/>
      <c r="GZM230" s="514"/>
      <c r="GZN230" s="514"/>
      <c r="GZO230" s="514"/>
      <c r="GZP230" s="514"/>
      <c r="GZQ230" s="514"/>
      <c r="GZR230" s="514"/>
      <c r="GZS230" s="514"/>
      <c r="GZT230" s="514"/>
      <c r="GZU230" s="514"/>
      <c r="GZV230" s="514"/>
      <c r="GZW230" s="514"/>
      <c r="GZX230" s="514"/>
      <c r="GZY230" s="514"/>
      <c r="GZZ230" s="514"/>
      <c r="HAA230" s="514"/>
      <c r="HAB230" s="514"/>
      <c r="HAC230" s="514"/>
      <c r="HAD230" s="514"/>
      <c r="HAE230" s="514"/>
      <c r="HAF230" s="514"/>
      <c r="HAG230" s="514"/>
      <c r="HAH230" s="514"/>
      <c r="HAI230" s="514"/>
      <c r="HAJ230" s="514"/>
      <c r="HAK230" s="514"/>
      <c r="HAL230" s="514"/>
      <c r="HAM230" s="514"/>
      <c r="HAN230" s="514"/>
      <c r="HAO230" s="514"/>
      <c r="HAP230" s="514"/>
      <c r="HAQ230" s="514"/>
      <c r="HAR230" s="514"/>
      <c r="HAS230" s="514"/>
      <c r="HAT230" s="514"/>
      <c r="HAU230" s="514"/>
      <c r="HAV230" s="514"/>
      <c r="HAW230" s="514"/>
      <c r="HAX230" s="514"/>
      <c r="HAY230" s="514"/>
      <c r="HAZ230" s="514"/>
      <c r="HBA230" s="514"/>
      <c r="HBB230" s="514"/>
      <c r="HBC230" s="514"/>
      <c r="HBD230" s="514"/>
      <c r="HBE230" s="514"/>
      <c r="HBF230" s="514"/>
      <c r="HBG230" s="514"/>
      <c r="HBH230" s="514"/>
      <c r="HBI230" s="514"/>
      <c r="HBJ230" s="514"/>
      <c r="HBK230" s="514"/>
      <c r="HBL230" s="514"/>
      <c r="HBM230" s="514"/>
      <c r="HBN230" s="514"/>
      <c r="HBO230" s="514"/>
      <c r="HBP230" s="514"/>
      <c r="HBQ230" s="514"/>
      <c r="HBR230" s="514"/>
      <c r="HBS230" s="514"/>
      <c r="HBT230" s="514"/>
      <c r="HBU230" s="514"/>
      <c r="HBV230" s="514"/>
      <c r="HBW230" s="514"/>
      <c r="HBX230" s="514"/>
      <c r="HBY230" s="514"/>
      <c r="HBZ230" s="514"/>
      <c r="HCA230" s="514"/>
      <c r="HCB230" s="514"/>
      <c r="HCC230" s="514"/>
      <c r="HCD230" s="514"/>
      <c r="HCE230" s="514"/>
      <c r="HCF230" s="514"/>
      <c r="HCG230" s="514"/>
      <c r="HCH230" s="514"/>
      <c r="HCI230" s="514"/>
      <c r="HCJ230" s="514"/>
      <c r="HCK230" s="514"/>
      <c r="HCL230" s="514"/>
      <c r="HCM230" s="514"/>
      <c r="HCN230" s="514"/>
      <c r="HCO230" s="514"/>
      <c r="HCP230" s="514"/>
      <c r="HCQ230" s="514"/>
      <c r="HCR230" s="514"/>
      <c r="HCS230" s="514"/>
      <c r="HCT230" s="514"/>
      <c r="HCU230" s="514"/>
      <c r="HCV230" s="514"/>
      <c r="HCW230" s="514"/>
      <c r="HCX230" s="514"/>
      <c r="HCY230" s="514"/>
      <c r="HCZ230" s="514"/>
      <c r="HDA230" s="514"/>
      <c r="HDB230" s="514"/>
      <c r="HDC230" s="514"/>
      <c r="HDD230" s="514"/>
      <c r="HDE230" s="514"/>
      <c r="HDF230" s="514"/>
      <c r="HDG230" s="514"/>
      <c r="HDH230" s="514"/>
      <c r="HDI230" s="514"/>
      <c r="HDJ230" s="514"/>
      <c r="HDK230" s="514"/>
      <c r="HDL230" s="514"/>
      <c r="HDM230" s="514"/>
      <c r="HDN230" s="514"/>
      <c r="HDO230" s="514"/>
      <c r="HDP230" s="514"/>
      <c r="HDQ230" s="514"/>
      <c r="HDR230" s="514"/>
      <c r="HDS230" s="514"/>
      <c r="HDT230" s="514"/>
      <c r="HDU230" s="514"/>
      <c r="HDV230" s="514"/>
      <c r="HDW230" s="514"/>
      <c r="HDX230" s="514"/>
      <c r="HDY230" s="514"/>
      <c r="HDZ230" s="514"/>
      <c r="HEA230" s="514"/>
      <c r="HEB230" s="514"/>
      <c r="HEC230" s="514"/>
      <c r="HED230" s="514"/>
      <c r="HEE230" s="514"/>
      <c r="HEF230" s="514"/>
      <c r="HEG230" s="514"/>
      <c r="HEH230" s="514"/>
      <c r="HEI230" s="514"/>
      <c r="HEJ230" s="514"/>
      <c r="HEK230" s="514"/>
      <c r="HEL230" s="514"/>
      <c r="HEM230" s="514"/>
      <c r="HEN230" s="514"/>
      <c r="HEO230" s="514"/>
      <c r="HEP230" s="514"/>
      <c r="HEQ230" s="514"/>
      <c r="HER230" s="514"/>
      <c r="HES230" s="514"/>
      <c r="HET230" s="514"/>
      <c r="HEU230" s="514"/>
      <c r="HEV230" s="514"/>
      <c r="HEW230" s="514"/>
      <c r="HEX230" s="514"/>
      <c r="HEY230" s="514"/>
      <c r="HEZ230" s="514"/>
      <c r="HFA230" s="514"/>
      <c r="HFB230" s="514"/>
      <c r="HFC230" s="514"/>
      <c r="HFD230" s="514"/>
      <c r="HFE230" s="514"/>
      <c r="HFF230" s="514"/>
      <c r="HFG230" s="514"/>
      <c r="HFH230" s="514"/>
      <c r="HFI230" s="514"/>
      <c r="HFJ230" s="514"/>
      <c r="HFK230" s="514"/>
      <c r="HFL230" s="514"/>
      <c r="HFM230" s="514"/>
      <c r="HFN230" s="514"/>
      <c r="HFO230" s="514"/>
      <c r="HFP230" s="514"/>
      <c r="HFQ230" s="514"/>
      <c r="HFR230" s="514"/>
      <c r="HFS230" s="514"/>
      <c r="HFT230" s="514"/>
      <c r="HFU230" s="514"/>
      <c r="HFV230" s="514"/>
      <c r="HFW230" s="514"/>
      <c r="HFX230" s="514"/>
      <c r="HFY230" s="514"/>
      <c r="HFZ230" s="514"/>
      <c r="HGA230" s="514"/>
      <c r="HGB230" s="514"/>
      <c r="HGC230" s="514"/>
      <c r="HGD230" s="514"/>
      <c r="HGE230" s="514"/>
      <c r="HGF230" s="514"/>
      <c r="HGG230" s="514"/>
      <c r="HGH230" s="514"/>
      <c r="HGI230" s="514"/>
      <c r="HGJ230" s="514"/>
      <c r="HGK230" s="514"/>
      <c r="HGL230" s="514"/>
      <c r="HGM230" s="514"/>
      <c r="HGN230" s="514"/>
      <c r="HGO230" s="514"/>
      <c r="HGP230" s="514"/>
      <c r="HGQ230" s="514"/>
      <c r="HGR230" s="514"/>
      <c r="HGS230" s="514"/>
      <c r="HGT230" s="514"/>
      <c r="HGU230" s="514"/>
      <c r="HGV230" s="514"/>
      <c r="HGW230" s="514"/>
      <c r="HGX230" s="514"/>
      <c r="HGY230" s="514"/>
      <c r="HGZ230" s="514"/>
      <c r="HHA230" s="514"/>
      <c r="HHB230" s="514"/>
      <c r="HHC230" s="514"/>
      <c r="HHD230" s="514"/>
      <c r="HHE230" s="514"/>
      <c r="HHF230" s="514"/>
      <c r="HHG230" s="514"/>
      <c r="HHH230" s="514"/>
      <c r="HHI230" s="514"/>
      <c r="HHJ230" s="514"/>
      <c r="HHK230" s="514"/>
      <c r="HHL230" s="514"/>
      <c r="HHM230" s="514"/>
      <c r="HHN230" s="514"/>
      <c r="HHO230" s="514"/>
      <c r="HHP230" s="514"/>
      <c r="HHQ230" s="514"/>
      <c r="HHR230" s="514"/>
      <c r="HHS230" s="514"/>
      <c r="HHT230" s="514"/>
      <c r="HHU230" s="514"/>
      <c r="HHV230" s="514"/>
      <c r="HHW230" s="514"/>
      <c r="HHX230" s="514"/>
      <c r="HHY230" s="514"/>
      <c r="HHZ230" s="514"/>
      <c r="HIA230" s="514"/>
      <c r="HIB230" s="514"/>
      <c r="HIC230" s="514"/>
      <c r="HID230" s="514"/>
      <c r="HIE230" s="514"/>
      <c r="HIF230" s="514"/>
      <c r="HIG230" s="514"/>
      <c r="HIH230" s="514"/>
      <c r="HII230" s="514"/>
      <c r="HIJ230" s="514"/>
      <c r="HIK230" s="514"/>
      <c r="HIL230" s="514"/>
      <c r="HIM230" s="514"/>
      <c r="HIN230" s="514"/>
      <c r="HIO230" s="514"/>
      <c r="HIP230" s="514"/>
      <c r="HIQ230" s="514"/>
      <c r="HIR230" s="514"/>
      <c r="HIS230" s="514"/>
      <c r="HIT230" s="514"/>
      <c r="HIU230" s="514"/>
      <c r="HIV230" s="514"/>
      <c r="HIW230" s="514"/>
      <c r="HIX230" s="514"/>
      <c r="HIY230" s="514"/>
      <c r="HIZ230" s="514"/>
      <c r="HJA230" s="514"/>
      <c r="HJB230" s="514"/>
      <c r="HJC230" s="514"/>
      <c r="HJD230" s="514"/>
      <c r="HJE230" s="514"/>
      <c r="HJF230" s="514"/>
      <c r="HJG230" s="514"/>
      <c r="HJH230" s="514"/>
      <c r="HJI230" s="514"/>
      <c r="HJJ230" s="514"/>
      <c r="HJK230" s="514"/>
      <c r="HJL230" s="514"/>
      <c r="HJM230" s="514"/>
      <c r="HJN230" s="514"/>
      <c r="HJO230" s="514"/>
      <c r="HJP230" s="514"/>
      <c r="HJQ230" s="514"/>
      <c r="HJR230" s="514"/>
      <c r="HJS230" s="514"/>
      <c r="HJT230" s="514"/>
      <c r="HJU230" s="514"/>
      <c r="HJV230" s="514"/>
      <c r="HJW230" s="514"/>
      <c r="HJX230" s="514"/>
      <c r="HJY230" s="514"/>
      <c r="HJZ230" s="514"/>
      <c r="HKA230" s="514"/>
      <c r="HKB230" s="514"/>
      <c r="HKC230" s="514"/>
      <c r="HKD230" s="514"/>
      <c r="HKE230" s="514"/>
      <c r="HKF230" s="514"/>
      <c r="HKG230" s="514"/>
      <c r="HKH230" s="514"/>
      <c r="HKI230" s="514"/>
      <c r="HKJ230" s="514"/>
      <c r="HKK230" s="514"/>
      <c r="HKL230" s="514"/>
      <c r="HKM230" s="514"/>
      <c r="HKN230" s="514"/>
      <c r="HKO230" s="514"/>
      <c r="HKP230" s="514"/>
      <c r="HKQ230" s="514"/>
      <c r="HKR230" s="514"/>
      <c r="HKS230" s="514"/>
      <c r="HKT230" s="514"/>
      <c r="HKU230" s="514"/>
      <c r="HKV230" s="514"/>
      <c r="HKW230" s="514"/>
      <c r="HKX230" s="514"/>
      <c r="HKY230" s="514"/>
      <c r="HKZ230" s="514"/>
      <c r="HLA230" s="514"/>
      <c r="HLB230" s="514"/>
      <c r="HLC230" s="514"/>
      <c r="HLD230" s="514"/>
      <c r="HLE230" s="514"/>
      <c r="HLF230" s="514"/>
      <c r="HLG230" s="514"/>
      <c r="HLH230" s="514"/>
      <c r="HLI230" s="514"/>
      <c r="HLJ230" s="514"/>
      <c r="HLK230" s="514"/>
      <c r="HLL230" s="514"/>
      <c r="HLM230" s="514"/>
      <c r="HLN230" s="514"/>
      <c r="HLO230" s="514"/>
      <c r="HLP230" s="514"/>
      <c r="HLQ230" s="514"/>
      <c r="HLR230" s="514"/>
      <c r="HLS230" s="514"/>
      <c r="HLT230" s="514"/>
      <c r="HLU230" s="514"/>
      <c r="HLV230" s="514"/>
      <c r="HLW230" s="514"/>
      <c r="HLX230" s="514"/>
      <c r="HLY230" s="514"/>
      <c r="HLZ230" s="514"/>
      <c r="HMA230" s="514"/>
      <c r="HMB230" s="514"/>
      <c r="HMC230" s="514"/>
      <c r="HMD230" s="514"/>
      <c r="HME230" s="514"/>
      <c r="HMF230" s="514"/>
      <c r="HMG230" s="514"/>
      <c r="HMH230" s="514"/>
      <c r="HMI230" s="514"/>
      <c r="HMJ230" s="514"/>
      <c r="HMK230" s="514"/>
      <c r="HML230" s="514"/>
      <c r="HMM230" s="514"/>
      <c r="HMN230" s="514"/>
      <c r="HMO230" s="514"/>
      <c r="HMP230" s="514"/>
      <c r="HMQ230" s="514"/>
      <c r="HMR230" s="514"/>
      <c r="HMS230" s="514"/>
      <c r="HMT230" s="514"/>
      <c r="HMU230" s="514"/>
      <c r="HMV230" s="514"/>
      <c r="HMW230" s="514"/>
      <c r="HMX230" s="514"/>
      <c r="HMY230" s="514"/>
      <c r="HMZ230" s="514"/>
      <c r="HNA230" s="514"/>
      <c r="HNB230" s="514"/>
      <c r="HNC230" s="514"/>
      <c r="HND230" s="514"/>
      <c r="HNE230" s="514"/>
      <c r="HNF230" s="514"/>
      <c r="HNG230" s="514"/>
      <c r="HNH230" s="514"/>
      <c r="HNI230" s="514"/>
      <c r="HNJ230" s="514"/>
      <c r="HNK230" s="514"/>
      <c r="HNL230" s="514"/>
      <c r="HNM230" s="514"/>
      <c r="HNN230" s="514"/>
      <c r="HNO230" s="514"/>
      <c r="HNP230" s="514"/>
      <c r="HNQ230" s="514"/>
      <c r="HNR230" s="514"/>
      <c r="HNS230" s="514"/>
      <c r="HNT230" s="514"/>
      <c r="HNU230" s="514"/>
      <c r="HNV230" s="514"/>
      <c r="HNW230" s="514"/>
      <c r="HNX230" s="514"/>
      <c r="HNY230" s="514"/>
      <c r="HNZ230" s="514"/>
      <c r="HOA230" s="514"/>
      <c r="HOB230" s="514"/>
      <c r="HOC230" s="514"/>
      <c r="HOD230" s="514"/>
      <c r="HOE230" s="514"/>
      <c r="HOF230" s="514"/>
      <c r="HOG230" s="514"/>
      <c r="HOH230" s="514"/>
      <c r="HOI230" s="514"/>
      <c r="HOJ230" s="514"/>
      <c r="HOK230" s="514"/>
      <c r="HOL230" s="514"/>
      <c r="HOM230" s="514"/>
      <c r="HON230" s="514"/>
      <c r="HOO230" s="514"/>
      <c r="HOP230" s="514"/>
      <c r="HOQ230" s="514"/>
      <c r="HOR230" s="514"/>
      <c r="HOS230" s="514"/>
      <c r="HOT230" s="514"/>
      <c r="HOU230" s="514"/>
      <c r="HOV230" s="514"/>
      <c r="HOW230" s="514"/>
      <c r="HOX230" s="514"/>
      <c r="HOY230" s="514"/>
      <c r="HOZ230" s="514"/>
      <c r="HPA230" s="514"/>
      <c r="HPB230" s="514"/>
      <c r="HPC230" s="514"/>
      <c r="HPD230" s="514"/>
      <c r="HPE230" s="514"/>
      <c r="HPF230" s="514"/>
      <c r="HPG230" s="514"/>
      <c r="HPH230" s="514"/>
      <c r="HPI230" s="514"/>
      <c r="HPJ230" s="514"/>
      <c r="HPK230" s="514"/>
      <c r="HPL230" s="514"/>
      <c r="HPM230" s="514"/>
      <c r="HPN230" s="514"/>
      <c r="HPO230" s="514"/>
      <c r="HPP230" s="514"/>
      <c r="HPQ230" s="514"/>
      <c r="HPR230" s="514"/>
      <c r="HPS230" s="514"/>
      <c r="HPT230" s="514"/>
      <c r="HPU230" s="514"/>
      <c r="HPV230" s="514"/>
      <c r="HPW230" s="514"/>
      <c r="HPX230" s="514"/>
      <c r="HPY230" s="514"/>
      <c r="HPZ230" s="514"/>
      <c r="HQA230" s="514"/>
      <c r="HQB230" s="514"/>
      <c r="HQC230" s="514"/>
      <c r="HQD230" s="514"/>
      <c r="HQE230" s="514"/>
      <c r="HQF230" s="514"/>
      <c r="HQG230" s="514"/>
      <c r="HQH230" s="514"/>
      <c r="HQI230" s="514"/>
      <c r="HQJ230" s="514"/>
      <c r="HQK230" s="514"/>
      <c r="HQL230" s="514"/>
      <c r="HQM230" s="514"/>
      <c r="HQN230" s="514"/>
      <c r="HQO230" s="514"/>
      <c r="HQP230" s="514"/>
      <c r="HQQ230" s="514"/>
      <c r="HQR230" s="514"/>
      <c r="HQS230" s="514"/>
      <c r="HQT230" s="514"/>
      <c r="HQU230" s="514"/>
      <c r="HQV230" s="514"/>
      <c r="HQW230" s="514"/>
      <c r="HQX230" s="514"/>
      <c r="HQY230" s="514"/>
      <c r="HQZ230" s="514"/>
      <c r="HRA230" s="514"/>
      <c r="HRB230" s="514"/>
      <c r="HRC230" s="514"/>
      <c r="HRD230" s="514"/>
      <c r="HRE230" s="514"/>
      <c r="HRF230" s="514"/>
      <c r="HRG230" s="514"/>
      <c r="HRH230" s="514"/>
      <c r="HRI230" s="514"/>
      <c r="HRJ230" s="514"/>
      <c r="HRK230" s="514"/>
      <c r="HRL230" s="514"/>
      <c r="HRM230" s="514"/>
      <c r="HRN230" s="514"/>
      <c r="HRO230" s="514"/>
      <c r="HRP230" s="514"/>
      <c r="HRQ230" s="514"/>
      <c r="HRR230" s="514"/>
      <c r="HRS230" s="514"/>
      <c r="HRT230" s="514"/>
      <c r="HRU230" s="514"/>
      <c r="HRV230" s="514"/>
      <c r="HRW230" s="514"/>
      <c r="HRX230" s="514"/>
      <c r="HRY230" s="514"/>
      <c r="HRZ230" s="514"/>
      <c r="HSA230" s="514"/>
      <c r="HSB230" s="514"/>
      <c r="HSC230" s="514"/>
      <c r="HSD230" s="514"/>
      <c r="HSE230" s="514"/>
      <c r="HSF230" s="514"/>
      <c r="HSG230" s="514"/>
      <c r="HSH230" s="514"/>
      <c r="HSI230" s="514"/>
      <c r="HSJ230" s="514"/>
      <c r="HSK230" s="514"/>
      <c r="HSL230" s="514"/>
      <c r="HSM230" s="514"/>
      <c r="HSN230" s="514"/>
      <c r="HSO230" s="514"/>
      <c r="HSP230" s="514"/>
      <c r="HSQ230" s="514"/>
      <c r="HSR230" s="514"/>
      <c r="HSS230" s="514"/>
      <c r="HST230" s="514"/>
      <c r="HSU230" s="514"/>
      <c r="HSV230" s="514"/>
      <c r="HSW230" s="514"/>
      <c r="HSX230" s="514"/>
      <c r="HSY230" s="514"/>
      <c r="HSZ230" s="514"/>
      <c r="HTA230" s="514"/>
      <c r="HTB230" s="514"/>
      <c r="HTC230" s="514"/>
      <c r="HTD230" s="514"/>
      <c r="HTE230" s="514"/>
      <c r="HTF230" s="514"/>
      <c r="HTG230" s="514"/>
      <c r="HTH230" s="514"/>
      <c r="HTI230" s="514"/>
      <c r="HTJ230" s="514"/>
      <c r="HTK230" s="514"/>
      <c r="HTL230" s="514"/>
      <c r="HTM230" s="514"/>
      <c r="HTN230" s="514"/>
      <c r="HTO230" s="514"/>
      <c r="HTP230" s="514"/>
      <c r="HTQ230" s="514"/>
      <c r="HTR230" s="514"/>
      <c r="HTS230" s="514"/>
      <c r="HTT230" s="514"/>
      <c r="HTU230" s="514"/>
      <c r="HTV230" s="514"/>
      <c r="HTW230" s="514"/>
      <c r="HTX230" s="514"/>
      <c r="HTY230" s="514"/>
      <c r="HTZ230" s="514"/>
      <c r="HUA230" s="514"/>
      <c r="HUB230" s="514"/>
      <c r="HUC230" s="514"/>
      <c r="HUD230" s="514"/>
      <c r="HUE230" s="514"/>
      <c r="HUF230" s="514"/>
      <c r="HUG230" s="514"/>
      <c r="HUH230" s="514"/>
      <c r="HUI230" s="514"/>
      <c r="HUJ230" s="514"/>
      <c r="HUK230" s="514"/>
      <c r="HUL230" s="514"/>
      <c r="HUM230" s="514"/>
      <c r="HUN230" s="514"/>
      <c r="HUO230" s="514"/>
      <c r="HUP230" s="514"/>
      <c r="HUQ230" s="514"/>
      <c r="HUR230" s="514"/>
      <c r="HUS230" s="514"/>
      <c r="HUT230" s="514"/>
      <c r="HUU230" s="514"/>
      <c r="HUV230" s="514"/>
      <c r="HUW230" s="514"/>
      <c r="HUX230" s="514"/>
      <c r="HUY230" s="514"/>
      <c r="HUZ230" s="514"/>
      <c r="HVA230" s="514"/>
      <c r="HVB230" s="514"/>
      <c r="HVC230" s="514"/>
      <c r="HVD230" s="514"/>
      <c r="HVE230" s="514"/>
      <c r="HVF230" s="514"/>
      <c r="HVG230" s="514"/>
      <c r="HVH230" s="514"/>
      <c r="HVI230" s="514"/>
      <c r="HVJ230" s="514"/>
      <c r="HVK230" s="514"/>
      <c r="HVL230" s="514"/>
      <c r="HVM230" s="514"/>
      <c r="HVN230" s="514"/>
      <c r="HVO230" s="514"/>
      <c r="HVP230" s="514"/>
      <c r="HVQ230" s="514"/>
      <c r="HVR230" s="514"/>
      <c r="HVS230" s="514"/>
      <c r="HVT230" s="514"/>
      <c r="HVU230" s="514"/>
      <c r="HVV230" s="514"/>
      <c r="HVW230" s="514"/>
      <c r="HVX230" s="514"/>
      <c r="HVY230" s="514"/>
      <c r="HVZ230" s="514"/>
      <c r="HWA230" s="514"/>
      <c r="HWB230" s="514"/>
      <c r="HWC230" s="514"/>
      <c r="HWD230" s="514"/>
      <c r="HWE230" s="514"/>
      <c r="HWF230" s="514"/>
      <c r="HWG230" s="514"/>
      <c r="HWH230" s="514"/>
      <c r="HWI230" s="514"/>
      <c r="HWJ230" s="514"/>
      <c r="HWK230" s="514"/>
      <c r="HWL230" s="514"/>
      <c r="HWM230" s="514"/>
      <c r="HWN230" s="514"/>
      <c r="HWO230" s="514"/>
      <c r="HWP230" s="514"/>
      <c r="HWQ230" s="514"/>
      <c r="HWR230" s="514"/>
      <c r="HWS230" s="514"/>
      <c r="HWT230" s="514"/>
      <c r="HWU230" s="514"/>
      <c r="HWV230" s="514"/>
      <c r="HWW230" s="514"/>
      <c r="HWX230" s="514"/>
      <c r="HWY230" s="514"/>
      <c r="HWZ230" s="514"/>
      <c r="HXA230" s="514"/>
      <c r="HXB230" s="514"/>
      <c r="HXC230" s="514"/>
      <c r="HXD230" s="514"/>
      <c r="HXE230" s="514"/>
      <c r="HXF230" s="514"/>
      <c r="HXG230" s="514"/>
      <c r="HXH230" s="514"/>
      <c r="HXI230" s="514"/>
      <c r="HXJ230" s="514"/>
      <c r="HXK230" s="514"/>
      <c r="HXL230" s="514"/>
      <c r="HXM230" s="514"/>
      <c r="HXN230" s="514"/>
      <c r="HXO230" s="514"/>
      <c r="HXP230" s="514"/>
      <c r="HXQ230" s="514"/>
      <c r="HXR230" s="514"/>
      <c r="HXS230" s="514"/>
      <c r="HXT230" s="514"/>
      <c r="HXU230" s="514"/>
      <c r="HXV230" s="514"/>
      <c r="HXW230" s="514"/>
      <c r="HXX230" s="514"/>
      <c r="HXY230" s="514"/>
      <c r="HXZ230" s="514"/>
      <c r="HYA230" s="514"/>
      <c r="HYB230" s="514"/>
      <c r="HYC230" s="514"/>
      <c r="HYD230" s="514"/>
      <c r="HYE230" s="514"/>
      <c r="HYF230" s="514"/>
      <c r="HYG230" s="514"/>
      <c r="HYH230" s="514"/>
      <c r="HYI230" s="514"/>
      <c r="HYJ230" s="514"/>
      <c r="HYK230" s="514"/>
      <c r="HYL230" s="514"/>
      <c r="HYM230" s="514"/>
      <c r="HYN230" s="514"/>
      <c r="HYO230" s="514"/>
      <c r="HYP230" s="514"/>
      <c r="HYQ230" s="514"/>
      <c r="HYR230" s="514"/>
      <c r="HYS230" s="514"/>
      <c r="HYT230" s="514"/>
      <c r="HYU230" s="514"/>
      <c r="HYV230" s="514"/>
      <c r="HYW230" s="514"/>
      <c r="HYX230" s="514"/>
      <c r="HYY230" s="514"/>
      <c r="HYZ230" s="514"/>
      <c r="HZA230" s="514"/>
      <c r="HZB230" s="514"/>
      <c r="HZC230" s="514"/>
      <c r="HZD230" s="514"/>
      <c r="HZE230" s="514"/>
      <c r="HZF230" s="514"/>
      <c r="HZG230" s="514"/>
      <c r="HZH230" s="514"/>
      <c r="HZI230" s="514"/>
      <c r="HZJ230" s="514"/>
      <c r="HZK230" s="514"/>
      <c r="HZL230" s="514"/>
      <c r="HZM230" s="514"/>
      <c r="HZN230" s="514"/>
      <c r="HZO230" s="514"/>
      <c r="HZP230" s="514"/>
      <c r="HZQ230" s="514"/>
      <c r="HZR230" s="514"/>
      <c r="HZS230" s="514"/>
      <c r="HZT230" s="514"/>
      <c r="HZU230" s="514"/>
      <c r="HZV230" s="514"/>
      <c r="HZW230" s="514"/>
      <c r="HZX230" s="514"/>
      <c r="HZY230" s="514"/>
      <c r="HZZ230" s="514"/>
      <c r="IAA230" s="514"/>
      <c r="IAB230" s="514"/>
      <c r="IAC230" s="514"/>
      <c r="IAD230" s="514"/>
      <c r="IAE230" s="514"/>
      <c r="IAF230" s="514"/>
      <c r="IAG230" s="514"/>
      <c r="IAH230" s="514"/>
      <c r="IAI230" s="514"/>
      <c r="IAJ230" s="514"/>
      <c r="IAK230" s="514"/>
      <c r="IAL230" s="514"/>
      <c r="IAM230" s="514"/>
      <c r="IAN230" s="514"/>
      <c r="IAO230" s="514"/>
      <c r="IAP230" s="514"/>
      <c r="IAQ230" s="514"/>
      <c r="IAR230" s="514"/>
      <c r="IAS230" s="514"/>
      <c r="IAT230" s="514"/>
      <c r="IAU230" s="514"/>
      <c r="IAV230" s="514"/>
      <c r="IAW230" s="514"/>
      <c r="IAX230" s="514"/>
      <c r="IAY230" s="514"/>
      <c r="IAZ230" s="514"/>
      <c r="IBA230" s="514"/>
      <c r="IBB230" s="514"/>
      <c r="IBC230" s="514"/>
      <c r="IBD230" s="514"/>
      <c r="IBE230" s="514"/>
      <c r="IBF230" s="514"/>
      <c r="IBG230" s="514"/>
      <c r="IBH230" s="514"/>
      <c r="IBI230" s="514"/>
      <c r="IBJ230" s="514"/>
      <c r="IBK230" s="514"/>
      <c r="IBL230" s="514"/>
      <c r="IBM230" s="514"/>
      <c r="IBN230" s="514"/>
      <c r="IBO230" s="514"/>
      <c r="IBP230" s="514"/>
      <c r="IBQ230" s="514"/>
      <c r="IBR230" s="514"/>
      <c r="IBS230" s="514"/>
      <c r="IBT230" s="514"/>
      <c r="IBU230" s="514"/>
      <c r="IBV230" s="514"/>
      <c r="IBW230" s="514"/>
      <c r="IBX230" s="514"/>
      <c r="IBY230" s="514"/>
      <c r="IBZ230" s="514"/>
      <c r="ICA230" s="514"/>
      <c r="ICB230" s="514"/>
      <c r="ICC230" s="514"/>
      <c r="ICD230" s="514"/>
      <c r="ICE230" s="514"/>
      <c r="ICF230" s="514"/>
      <c r="ICG230" s="514"/>
      <c r="ICH230" s="514"/>
      <c r="ICI230" s="514"/>
      <c r="ICJ230" s="514"/>
      <c r="ICK230" s="514"/>
      <c r="ICL230" s="514"/>
      <c r="ICM230" s="514"/>
      <c r="ICN230" s="514"/>
      <c r="ICO230" s="514"/>
      <c r="ICP230" s="514"/>
      <c r="ICQ230" s="514"/>
      <c r="ICR230" s="514"/>
      <c r="ICS230" s="514"/>
      <c r="ICT230" s="514"/>
      <c r="ICU230" s="514"/>
      <c r="ICV230" s="514"/>
      <c r="ICW230" s="514"/>
      <c r="ICX230" s="514"/>
      <c r="ICY230" s="514"/>
      <c r="ICZ230" s="514"/>
      <c r="IDA230" s="514"/>
      <c r="IDB230" s="514"/>
      <c r="IDC230" s="514"/>
      <c r="IDD230" s="514"/>
      <c r="IDE230" s="514"/>
      <c r="IDF230" s="514"/>
      <c r="IDG230" s="514"/>
      <c r="IDH230" s="514"/>
      <c r="IDI230" s="514"/>
      <c r="IDJ230" s="514"/>
      <c r="IDK230" s="514"/>
      <c r="IDL230" s="514"/>
      <c r="IDM230" s="514"/>
      <c r="IDN230" s="514"/>
      <c r="IDO230" s="514"/>
      <c r="IDP230" s="514"/>
      <c r="IDQ230" s="514"/>
      <c r="IDR230" s="514"/>
      <c r="IDS230" s="514"/>
      <c r="IDT230" s="514"/>
      <c r="IDU230" s="514"/>
      <c r="IDV230" s="514"/>
      <c r="IDW230" s="514"/>
      <c r="IDX230" s="514"/>
      <c r="IDY230" s="514"/>
      <c r="IDZ230" s="514"/>
      <c r="IEA230" s="514"/>
      <c r="IEB230" s="514"/>
      <c r="IEC230" s="514"/>
      <c r="IED230" s="514"/>
      <c r="IEE230" s="514"/>
      <c r="IEF230" s="514"/>
      <c r="IEG230" s="514"/>
      <c r="IEH230" s="514"/>
      <c r="IEI230" s="514"/>
      <c r="IEJ230" s="514"/>
      <c r="IEK230" s="514"/>
      <c r="IEL230" s="514"/>
      <c r="IEM230" s="514"/>
      <c r="IEN230" s="514"/>
      <c r="IEO230" s="514"/>
      <c r="IEP230" s="514"/>
      <c r="IEQ230" s="514"/>
      <c r="IER230" s="514"/>
      <c r="IES230" s="514"/>
      <c r="IET230" s="514"/>
      <c r="IEU230" s="514"/>
      <c r="IEV230" s="514"/>
      <c r="IEW230" s="514"/>
      <c r="IEX230" s="514"/>
      <c r="IEY230" s="514"/>
      <c r="IEZ230" s="514"/>
      <c r="IFA230" s="514"/>
      <c r="IFB230" s="514"/>
      <c r="IFC230" s="514"/>
      <c r="IFD230" s="514"/>
      <c r="IFE230" s="514"/>
      <c r="IFF230" s="514"/>
      <c r="IFG230" s="514"/>
      <c r="IFH230" s="514"/>
      <c r="IFI230" s="514"/>
      <c r="IFJ230" s="514"/>
      <c r="IFK230" s="514"/>
      <c r="IFL230" s="514"/>
      <c r="IFM230" s="514"/>
      <c r="IFN230" s="514"/>
      <c r="IFO230" s="514"/>
      <c r="IFP230" s="514"/>
      <c r="IFQ230" s="514"/>
      <c r="IFR230" s="514"/>
      <c r="IFS230" s="514"/>
      <c r="IFT230" s="514"/>
      <c r="IFU230" s="514"/>
      <c r="IFV230" s="514"/>
      <c r="IFW230" s="514"/>
      <c r="IFX230" s="514"/>
      <c r="IFY230" s="514"/>
      <c r="IFZ230" s="514"/>
      <c r="IGA230" s="514"/>
      <c r="IGB230" s="514"/>
      <c r="IGC230" s="514"/>
      <c r="IGD230" s="514"/>
      <c r="IGE230" s="514"/>
      <c r="IGF230" s="514"/>
      <c r="IGG230" s="514"/>
      <c r="IGH230" s="514"/>
      <c r="IGI230" s="514"/>
      <c r="IGJ230" s="514"/>
      <c r="IGK230" s="514"/>
      <c r="IGL230" s="514"/>
      <c r="IGM230" s="514"/>
      <c r="IGN230" s="514"/>
      <c r="IGO230" s="514"/>
      <c r="IGP230" s="514"/>
      <c r="IGQ230" s="514"/>
      <c r="IGR230" s="514"/>
      <c r="IGS230" s="514"/>
      <c r="IGT230" s="514"/>
      <c r="IGU230" s="514"/>
      <c r="IGV230" s="514"/>
      <c r="IGW230" s="514"/>
      <c r="IGX230" s="514"/>
      <c r="IGY230" s="514"/>
      <c r="IGZ230" s="514"/>
      <c r="IHA230" s="514"/>
      <c r="IHB230" s="514"/>
      <c r="IHC230" s="514"/>
      <c r="IHD230" s="514"/>
      <c r="IHE230" s="514"/>
      <c r="IHF230" s="514"/>
      <c r="IHG230" s="514"/>
      <c r="IHH230" s="514"/>
      <c r="IHI230" s="514"/>
      <c r="IHJ230" s="514"/>
      <c r="IHK230" s="514"/>
      <c r="IHL230" s="514"/>
      <c r="IHM230" s="514"/>
      <c r="IHN230" s="514"/>
      <c r="IHO230" s="514"/>
      <c r="IHP230" s="514"/>
      <c r="IHQ230" s="514"/>
      <c r="IHR230" s="514"/>
      <c r="IHS230" s="514"/>
      <c r="IHT230" s="514"/>
      <c r="IHU230" s="514"/>
      <c r="IHV230" s="514"/>
      <c r="IHW230" s="514"/>
      <c r="IHX230" s="514"/>
      <c r="IHY230" s="514"/>
      <c r="IHZ230" s="514"/>
      <c r="IIA230" s="514"/>
      <c r="IIB230" s="514"/>
      <c r="IIC230" s="514"/>
      <c r="IID230" s="514"/>
      <c r="IIE230" s="514"/>
      <c r="IIF230" s="514"/>
      <c r="IIG230" s="514"/>
      <c r="IIH230" s="514"/>
      <c r="III230" s="514"/>
      <c r="IIJ230" s="514"/>
      <c r="IIK230" s="514"/>
      <c r="IIL230" s="514"/>
      <c r="IIM230" s="514"/>
      <c r="IIN230" s="514"/>
      <c r="IIO230" s="514"/>
      <c r="IIP230" s="514"/>
      <c r="IIQ230" s="514"/>
      <c r="IIR230" s="514"/>
      <c r="IIS230" s="514"/>
      <c r="IIT230" s="514"/>
      <c r="IIU230" s="514"/>
      <c r="IIV230" s="514"/>
      <c r="IIW230" s="514"/>
      <c r="IIX230" s="514"/>
      <c r="IIY230" s="514"/>
      <c r="IIZ230" s="514"/>
      <c r="IJA230" s="514"/>
      <c r="IJB230" s="514"/>
      <c r="IJC230" s="514"/>
      <c r="IJD230" s="514"/>
      <c r="IJE230" s="514"/>
      <c r="IJF230" s="514"/>
      <c r="IJG230" s="514"/>
      <c r="IJH230" s="514"/>
      <c r="IJI230" s="514"/>
      <c r="IJJ230" s="514"/>
      <c r="IJK230" s="514"/>
      <c r="IJL230" s="514"/>
      <c r="IJM230" s="514"/>
      <c r="IJN230" s="514"/>
      <c r="IJO230" s="514"/>
      <c r="IJP230" s="514"/>
      <c r="IJQ230" s="514"/>
      <c r="IJR230" s="514"/>
      <c r="IJS230" s="514"/>
      <c r="IJT230" s="514"/>
      <c r="IJU230" s="514"/>
      <c r="IJV230" s="514"/>
      <c r="IJW230" s="514"/>
      <c r="IJX230" s="514"/>
      <c r="IJY230" s="514"/>
      <c r="IJZ230" s="514"/>
      <c r="IKA230" s="514"/>
      <c r="IKB230" s="514"/>
      <c r="IKC230" s="514"/>
      <c r="IKD230" s="514"/>
      <c r="IKE230" s="514"/>
      <c r="IKF230" s="514"/>
      <c r="IKG230" s="514"/>
      <c r="IKH230" s="514"/>
      <c r="IKI230" s="514"/>
      <c r="IKJ230" s="514"/>
      <c r="IKK230" s="514"/>
      <c r="IKL230" s="514"/>
      <c r="IKM230" s="514"/>
      <c r="IKN230" s="514"/>
      <c r="IKO230" s="514"/>
      <c r="IKP230" s="514"/>
      <c r="IKQ230" s="514"/>
      <c r="IKR230" s="514"/>
      <c r="IKS230" s="514"/>
      <c r="IKT230" s="514"/>
      <c r="IKU230" s="514"/>
      <c r="IKV230" s="514"/>
      <c r="IKW230" s="514"/>
      <c r="IKX230" s="514"/>
      <c r="IKY230" s="514"/>
      <c r="IKZ230" s="514"/>
      <c r="ILA230" s="514"/>
      <c r="ILB230" s="514"/>
      <c r="ILC230" s="514"/>
      <c r="ILD230" s="514"/>
      <c r="ILE230" s="514"/>
      <c r="ILF230" s="514"/>
      <c r="ILG230" s="514"/>
      <c r="ILH230" s="514"/>
      <c r="ILI230" s="514"/>
      <c r="ILJ230" s="514"/>
      <c r="ILK230" s="514"/>
      <c r="ILL230" s="514"/>
      <c r="ILM230" s="514"/>
      <c r="ILN230" s="514"/>
      <c r="ILO230" s="514"/>
      <c r="ILP230" s="514"/>
      <c r="ILQ230" s="514"/>
      <c r="ILR230" s="514"/>
      <c r="ILS230" s="514"/>
      <c r="ILT230" s="514"/>
      <c r="ILU230" s="514"/>
      <c r="ILV230" s="514"/>
      <c r="ILW230" s="514"/>
      <c r="ILX230" s="514"/>
      <c r="ILY230" s="514"/>
      <c r="ILZ230" s="514"/>
      <c r="IMA230" s="514"/>
      <c r="IMB230" s="514"/>
      <c r="IMC230" s="514"/>
      <c r="IMD230" s="514"/>
      <c r="IME230" s="514"/>
      <c r="IMF230" s="514"/>
      <c r="IMG230" s="514"/>
      <c r="IMH230" s="514"/>
      <c r="IMI230" s="514"/>
      <c r="IMJ230" s="514"/>
      <c r="IMK230" s="514"/>
      <c r="IML230" s="514"/>
      <c r="IMM230" s="514"/>
      <c r="IMN230" s="514"/>
      <c r="IMO230" s="514"/>
      <c r="IMP230" s="514"/>
      <c r="IMQ230" s="514"/>
      <c r="IMR230" s="514"/>
      <c r="IMS230" s="514"/>
      <c r="IMT230" s="514"/>
      <c r="IMU230" s="514"/>
      <c r="IMV230" s="514"/>
      <c r="IMW230" s="514"/>
      <c r="IMX230" s="514"/>
      <c r="IMY230" s="514"/>
      <c r="IMZ230" s="514"/>
      <c r="INA230" s="514"/>
      <c r="INB230" s="514"/>
      <c r="INC230" s="514"/>
      <c r="IND230" s="514"/>
      <c r="INE230" s="514"/>
      <c r="INF230" s="514"/>
      <c r="ING230" s="514"/>
      <c r="INH230" s="514"/>
      <c r="INI230" s="514"/>
      <c r="INJ230" s="514"/>
      <c r="INK230" s="514"/>
      <c r="INL230" s="514"/>
      <c r="INM230" s="514"/>
      <c r="INN230" s="514"/>
      <c r="INO230" s="514"/>
      <c r="INP230" s="514"/>
      <c r="INQ230" s="514"/>
      <c r="INR230" s="514"/>
      <c r="INS230" s="514"/>
      <c r="INT230" s="514"/>
      <c r="INU230" s="514"/>
      <c r="INV230" s="514"/>
      <c r="INW230" s="514"/>
      <c r="INX230" s="514"/>
      <c r="INY230" s="514"/>
      <c r="INZ230" s="514"/>
      <c r="IOA230" s="514"/>
      <c r="IOB230" s="514"/>
      <c r="IOC230" s="514"/>
      <c r="IOD230" s="514"/>
      <c r="IOE230" s="514"/>
      <c r="IOF230" s="514"/>
      <c r="IOG230" s="514"/>
      <c r="IOH230" s="514"/>
      <c r="IOI230" s="514"/>
      <c r="IOJ230" s="514"/>
      <c r="IOK230" s="514"/>
      <c r="IOL230" s="514"/>
      <c r="IOM230" s="514"/>
      <c r="ION230" s="514"/>
      <c r="IOO230" s="514"/>
      <c r="IOP230" s="514"/>
      <c r="IOQ230" s="514"/>
      <c r="IOR230" s="514"/>
      <c r="IOS230" s="514"/>
      <c r="IOT230" s="514"/>
      <c r="IOU230" s="514"/>
      <c r="IOV230" s="514"/>
      <c r="IOW230" s="514"/>
      <c r="IOX230" s="514"/>
      <c r="IOY230" s="514"/>
      <c r="IOZ230" s="514"/>
      <c r="IPA230" s="514"/>
      <c r="IPB230" s="514"/>
      <c r="IPC230" s="514"/>
      <c r="IPD230" s="514"/>
      <c r="IPE230" s="514"/>
      <c r="IPF230" s="514"/>
      <c r="IPG230" s="514"/>
      <c r="IPH230" s="514"/>
      <c r="IPI230" s="514"/>
      <c r="IPJ230" s="514"/>
      <c r="IPK230" s="514"/>
      <c r="IPL230" s="514"/>
      <c r="IPM230" s="514"/>
      <c r="IPN230" s="514"/>
      <c r="IPO230" s="514"/>
      <c r="IPP230" s="514"/>
      <c r="IPQ230" s="514"/>
      <c r="IPR230" s="514"/>
      <c r="IPS230" s="514"/>
      <c r="IPT230" s="514"/>
      <c r="IPU230" s="514"/>
      <c r="IPV230" s="514"/>
      <c r="IPW230" s="514"/>
      <c r="IPX230" s="514"/>
      <c r="IPY230" s="514"/>
      <c r="IPZ230" s="514"/>
      <c r="IQA230" s="514"/>
      <c r="IQB230" s="514"/>
      <c r="IQC230" s="514"/>
      <c r="IQD230" s="514"/>
      <c r="IQE230" s="514"/>
      <c r="IQF230" s="514"/>
      <c r="IQG230" s="514"/>
      <c r="IQH230" s="514"/>
      <c r="IQI230" s="514"/>
      <c r="IQJ230" s="514"/>
      <c r="IQK230" s="514"/>
      <c r="IQL230" s="514"/>
      <c r="IQM230" s="514"/>
      <c r="IQN230" s="514"/>
      <c r="IQO230" s="514"/>
      <c r="IQP230" s="514"/>
      <c r="IQQ230" s="514"/>
      <c r="IQR230" s="514"/>
      <c r="IQS230" s="514"/>
      <c r="IQT230" s="514"/>
      <c r="IQU230" s="514"/>
      <c r="IQV230" s="514"/>
      <c r="IQW230" s="514"/>
      <c r="IQX230" s="514"/>
      <c r="IQY230" s="514"/>
      <c r="IQZ230" s="514"/>
      <c r="IRA230" s="514"/>
      <c r="IRB230" s="514"/>
      <c r="IRC230" s="514"/>
      <c r="IRD230" s="514"/>
      <c r="IRE230" s="514"/>
      <c r="IRF230" s="514"/>
      <c r="IRG230" s="514"/>
      <c r="IRH230" s="514"/>
      <c r="IRI230" s="514"/>
      <c r="IRJ230" s="514"/>
      <c r="IRK230" s="514"/>
      <c r="IRL230" s="514"/>
      <c r="IRM230" s="514"/>
      <c r="IRN230" s="514"/>
      <c r="IRO230" s="514"/>
      <c r="IRP230" s="514"/>
      <c r="IRQ230" s="514"/>
      <c r="IRR230" s="514"/>
      <c r="IRS230" s="514"/>
      <c r="IRT230" s="514"/>
      <c r="IRU230" s="514"/>
      <c r="IRV230" s="514"/>
      <c r="IRW230" s="514"/>
      <c r="IRX230" s="514"/>
      <c r="IRY230" s="514"/>
      <c r="IRZ230" s="514"/>
      <c r="ISA230" s="514"/>
      <c r="ISB230" s="514"/>
      <c r="ISC230" s="514"/>
      <c r="ISD230" s="514"/>
      <c r="ISE230" s="514"/>
      <c r="ISF230" s="514"/>
      <c r="ISG230" s="514"/>
      <c r="ISH230" s="514"/>
      <c r="ISI230" s="514"/>
      <c r="ISJ230" s="514"/>
      <c r="ISK230" s="514"/>
      <c r="ISL230" s="514"/>
      <c r="ISM230" s="514"/>
      <c r="ISN230" s="514"/>
      <c r="ISO230" s="514"/>
      <c r="ISP230" s="514"/>
      <c r="ISQ230" s="514"/>
      <c r="ISR230" s="514"/>
      <c r="ISS230" s="514"/>
      <c r="IST230" s="514"/>
      <c r="ISU230" s="514"/>
      <c r="ISV230" s="514"/>
      <c r="ISW230" s="514"/>
      <c r="ISX230" s="514"/>
      <c r="ISY230" s="514"/>
      <c r="ISZ230" s="514"/>
      <c r="ITA230" s="514"/>
      <c r="ITB230" s="514"/>
      <c r="ITC230" s="514"/>
      <c r="ITD230" s="514"/>
      <c r="ITE230" s="514"/>
      <c r="ITF230" s="514"/>
      <c r="ITG230" s="514"/>
      <c r="ITH230" s="514"/>
      <c r="ITI230" s="514"/>
      <c r="ITJ230" s="514"/>
      <c r="ITK230" s="514"/>
      <c r="ITL230" s="514"/>
      <c r="ITM230" s="514"/>
      <c r="ITN230" s="514"/>
      <c r="ITO230" s="514"/>
      <c r="ITP230" s="514"/>
      <c r="ITQ230" s="514"/>
      <c r="ITR230" s="514"/>
      <c r="ITS230" s="514"/>
      <c r="ITT230" s="514"/>
      <c r="ITU230" s="514"/>
      <c r="ITV230" s="514"/>
      <c r="ITW230" s="514"/>
      <c r="ITX230" s="514"/>
      <c r="ITY230" s="514"/>
      <c r="ITZ230" s="514"/>
      <c r="IUA230" s="514"/>
      <c r="IUB230" s="514"/>
      <c r="IUC230" s="514"/>
      <c r="IUD230" s="514"/>
      <c r="IUE230" s="514"/>
      <c r="IUF230" s="514"/>
      <c r="IUG230" s="514"/>
      <c r="IUH230" s="514"/>
      <c r="IUI230" s="514"/>
      <c r="IUJ230" s="514"/>
      <c r="IUK230" s="514"/>
      <c r="IUL230" s="514"/>
      <c r="IUM230" s="514"/>
      <c r="IUN230" s="514"/>
      <c r="IUO230" s="514"/>
      <c r="IUP230" s="514"/>
      <c r="IUQ230" s="514"/>
      <c r="IUR230" s="514"/>
      <c r="IUS230" s="514"/>
      <c r="IUT230" s="514"/>
      <c r="IUU230" s="514"/>
      <c r="IUV230" s="514"/>
      <c r="IUW230" s="514"/>
      <c r="IUX230" s="514"/>
      <c r="IUY230" s="514"/>
      <c r="IUZ230" s="514"/>
      <c r="IVA230" s="514"/>
      <c r="IVB230" s="514"/>
      <c r="IVC230" s="514"/>
      <c r="IVD230" s="514"/>
      <c r="IVE230" s="514"/>
      <c r="IVF230" s="514"/>
      <c r="IVG230" s="514"/>
      <c r="IVH230" s="514"/>
      <c r="IVI230" s="514"/>
      <c r="IVJ230" s="514"/>
      <c r="IVK230" s="514"/>
      <c r="IVL230" s="514"/>
      <c r="IVM230" s="514"/>
      <c r="IVN230" s="514"/>
      <c r="IVO230" s="514"/>
      <c r="IVP230" s="514"/>
      <c r="IVQ230" s="514"/>
      <c r="IVR230" s="514"/>
      <c r="IVS230" s="514"/>
      <c r="IVT230" s="514"/>
      <c r="IVU230" s="514"/>
      <c r="IVV230" s="514"/>
      <c r="IVW230" s="514"/>
      <c r="IVX230" s="514"/>
      <c r="IVY230" s="514"/>
      <c r="IVZ230" s="514"/>
      <c r="IWA230" s="514"/>
      <c r="IWB230" s="514"/>
      <c r="IWC230" s="514"/>
      <c r="IWD230" s="514"/>
      <c r="IWE230" s="514"/>
      <c r="IWF230" s="514"/>
      <c r="IWG230" s="514"/>
      <c r="IWH230" s="514"/>
      <c r="IWI230" s="514"/>
      <c r="IWJ230" s="514"/>
      <c r="IWK230" s="514"/>
      <c r="IWL230" s="514"/>
      <c r="IWM230" s="514"/>
      <c r="IWN230" s="514"/>
      <c r="IWO230" s="514"/>
      <c r="IWP230" s="514"/>
      <c r="IWQ230" s="514"/>
      <c r="IWR230" s="514"/>
      <c r="IWS230" s="514"/>
      <c r="IWT230" s="514"/>
      <c r="IWU230" s="514"/>
      <c r="IWV230" s="514"/>
      <c r="IWW230" s="514"/>
      <c r="IWX230" s="514"/>
      <c r="IWY230" s="514"/>
      <c r="IWZ230" s="514"/>
      <c r="IXA230" s="514"/>
      <c r="IXB230" s="514"/>
      <c r="IXC230" s="514"/>
      <c r="IXD230" s="514"/>
      <c r="IXE230" s="514"/>
      <c r="IXF230" s="514"/>
      <c r="IXG230" s="514"/>
      <c r="IXH230" s="514"/>
      <c r="IXI230" s="514"/>
      <c r="IXJ230" s="514"/>
      <c r="IXK230" s="514"/>
      <c r="IXL230" s="514"/>
      <c r="IXM230" s="514"/>
      <c r="IXN230" s="514"/>
      <c r="IXO230" s="514"/>
      <c r="IXP230" s="514"/>
      <c r="IXQ230" s="514"/>
      <c r="IXR230" s="514"/>
      <c r="IXS230" s="514"/>
      <c r="IXT230" s="514"/>
      <c r="IXU230" s="514"/>
      <c r="IXV230" s="514"/>
      <c r="IXW230" s="514"/>
      <c r="IXX230" s="514"/>
      <c r="IXY230" s="514"/>
      <c r="IXZ230" s="514"/>
      <c r="IYA230" s="514"/>
      <c r="IYB230" s="514"/>
      <c r="IYC230" s="514"/>
      <c r="IYD230" s="514"/>
      <c r="IYE230" s="514"/>
      <c r="IYF230" s="514"/>
      <c r="IYG230" s="514"/>
      <c r="IYH230" s="514"/>
      <c r="IYI230" s="514"/>
      <c r="IYJ230" s="514"/>
      <c r="IYK230" s="514"/>
      <c r="IYL230" s="514"/>
      <c r="IYM230" s="514"/>
      <c r="IYN230" s="514"/>
      <c r="IYO230" s="514"/>
      <c r="IYP230" s="514"/>
      <c r="IYQ230" s="514"/>
      <c r="IYR230" s="514"/>
      <c r="IYS230" s="514"/>
      <c r="IYT230" s="514"/>
      <c r="IYU230" s="514"/>
      <c r="IYV230" s="514"/>
      <c r="IYW230" s="514"/>
      <c r="IYX230" s="514"/>
      <c r="IYY230" s="514"/>
      <c r="IYZ230" s="514"/>
      <c r="IZA230" s="514"/>
      <c r="IZB230" s="514"/>
      <c r="IZC230" s="514"/>
      <c r="IZD230" s="514"/>
      <c r="IZE230" s="514"/>
      <c r="IZF230" s="514"/>
      <c r="IZG230" s="514"/>
      <c r="IZH230" s="514"/>
      <c r="IZI230" s="514"/>
      <c r="IZJ230" s="514"/>
      <c r="IZK230" s="514"/>
      <c r="IZL230" s="514"/>
      <c r="IZM230" s="514"/>
      <c r="IZN230" s="514"/>
      <c r="IZO230" s="514"/>
      <c r="IZP230" s="514"/>
      <c r="IZQ230" s="514"/>
      <c r="IZR230" s="514"/>
      <c r="IZS230" s="514"/>
      <c r="IZT230" s="514"/>
      <c r="IZU230" s="514"/>
      <c r="IZV230" s="514"/>
      <c r="IZW230" s="514"/>
      <c r="IZX230" s="514"/>
      <c r="IZY230" s="514"/>
      <c r="IZZ230" s="514"/>
      <c r="JAA230" s="514"/>
      <c r="JAB230" s="514"/>
      <c r="JAC230" s="514"/>
      <c r="JAD230" s="514"/>
      <c r="JAE230" s="514"/>
      <c r="JAF230" s="514"/>
      <c r="JAG230" s="514"/>
      <c r="JAH230" s="514"/>
      <c r="JAI230" s="514"/>
      <c r="JAJ230" s="514"/>
      <c r="JAK230" s="514"/>
      <c r="JAL230" s="514"/>
      <c r="JAM230" s="514"/>
      <c r="JAN230" s="514"/>
      <c r="JAO230" s="514"/>
      <c r="JAP230" s="514"/>
      <c r="JAQ230" s="514"/>
      <c r="JAR230" s="514"/>
      <c r="JAS230" s="514"/>
      <c r="JAT230" s="514"/>
      <c r="JAU230" s="514"/>
      <c r="JAV230" s="514"/>
      <c r="JAW230" s="514"/>
      <c r="JAX230" s="514"/>
      <c r="JAY230" s="514"/>
      <c r="JAZ230" s="514"/>
      <c r="JBA230" s="514"/>
      <c r="JBB230" s="514"/>
      <c r="JBC230" s="514"/>
      <c r="JBD230" s="514"/>
      <c r="JBE230" s="514"/>
      <c r="JBF230" s="514"/>
      <c r="JBG230" s="514"/>
      <c r="JBH230" s="514"/>
      <c r="JBI230" s="514"/>
      <c r="JBJ230" s="514"/>
      <c r="JBK230" s="514"/>
      <c r="JBL230" s="514"/>
      <c r="JBM230" s="514"/>
      <c r="JBN230" s="514"/>
      <c r="JBO230" s="514"/>
      <c r="JBP230" s="514"/>
      <c r="JBQ230" s="514"/>
      <c r="JBR230" s="514"/>
      <c r="JBS230" s="514"/>
      <c r="JBT230" s="514"/>
      <c r="JBU230" s="514"/>
      <c r="JBV230" s="514"/>
      <c r="JBW230" s="514"/>
      <c r="JBX230" s="514"/>
      <c r="JBY230" s="514"/>
      <c r="JBZ230" s="514"/>
      <c r="JCA230" s="514"/>
      <c r="JCB230" s="514"/>
      <c r="JCC230" s="514"/>
      <c r="JCD230" s="514"/>
      <c r="JCE230" s="514"/>
      <c r="JCF230" s="514"/>
      <c r="JCG230" s="514"/>
      <c r="JCH230" s="514"/>
      <c r="JCI230" s="514"/>
      <c r="JCJ230" s="514"/>
      <c r="JCK230" s="514"/>
      <c r="JCL230" s="514"/>
      <c r="JCM230" s="514"/>
      <c r="JCN230" s="514"/>
      <c r="JCO230" s="514"/>
      <c r="JCP230" s="514"/>
      <c r="JCQ230" s="514"/>
      <c r="JCR230" s="514"/>
      <c r="JCS230" s="514"/>
      <c r="JCT230" s="514"/>
      <c r="JCU230" s="514"/>
      <c r="JCV230" s="514"/>
      <c r="JCW230" s="514"/>
      <c r="JCX230" s="514"/>
      <c r="JCY230" s="514"/>
      <c r="JCZ230" s="514"/>
      <c r="JDA230" s="514"/>
      <c r="JDB230" s="514"/>
      <c r="JDC230" s="514"/>
      <c r="JDD230" s="514"/>
      <c r="JDE230" s="514"/>
      <c r="JDF230" s="514"/>
      <c r="JDG230" s="514"/>
      <c r="JDH230" s="514"/>
      <c r="JDI230" s="514"/>
      <c r="JDJ230" s="514"/>
      <c r="JDK230" s="514"/>
      <c r="JDL230" s="514"/>
      <c r="JDM230" s="514"/>
      <c r="JDN230" s="514"/>
      <c r="JDO230" s="514"/>
      <c r="JDP230" s="514"/>
      <c r="JDQ230" s="514"/>
      <c r="JDR230" s="514"/>
      <c r="JDS230" s="514"/>
      <c r="JDT230" s="514"/>
      <c r="JDU230" s="514"/>
      <c r="JDV230" s="514"/>
      <c r="JDW230" s="514"/>
      <c r="JDX230" s="514"/>
      <c r="JDY230" s="514"/>
      <c r="JDZ230" s="514"/>
      <c r="JEA230" s="514"/>
      <c r="JEB230" s="514"/>
      <c r="JEC230" s="514"/>
      <c r="JED230" s="514"/>
      <c r="JEE230" s="514"/>
      <c r="JEF230" s="514"/>
      <c r="JEG230" s="514"/>
      <c r="JEH230" s="514"/>
      <c r="JEI230" s="514"/>
      <c r="JEJ230" s="514"/>
      <c r="JEK230" s="514"/>
      <c r="JEL230" s="514"/>
      <c r="JEM230" s="514"/>
      <c r="JEN230" s="514"/>
      <c r="JEO230" s="514"/>
      <c r="JEP230" s="514"/>
      <c r="JEQ230" s="514"/>
      <c r="JER230" s="514"/>
      <c r="JES230" s="514"/>
      <c r="JET230" s="514"/>
      <c r="JEU230" s="514"/>
      <c r="JEV230" s="514"/>
      <c r="JEW230" s="514"/>
      <c r="JEX230" s="514"/>
      <c r="JEY230" s="514"/>
      <c r="JEZ230" s="514"/>
      <c r="JFA230" s="514"/>
      <c r="JFB230" s="514"/>
      <c r="JFC230" s="514"/>
      <c r="JFD230" s="514"/>
      <c r="JFE230" s="514"/>
      <c r="JFF230" s="514"/>
      <c r="JFG230" s="514"/>
      <c r="JFH230" s="514"/>
      <c r="JFI230" s="514"/>
      <c r="JFJ230" s="514"/>
      <c r="JFK230" s="514"/>
      <c r="JFL230" s="514"/>
      <c r="JFM230" s="514"/>
      <c r="JFN230" s="514"/>
      <c r="JFO230" s="514"/>
      <c r="JFP230" s="514"/>
      <c r="JFQ230" s="514"/>
      <c r="JFR230" s="514"/>
      <c r="JFS230" s="514"/>
      <c r="JFT230" s="514"/>
      <c r="JFU230" s="514"/>
      <c r="JFV230" s="514"/>
      <c r="JFW230" s="514"/>
      <c r="JFX230" s="514"/>
      <c r="JFY230" s="514"/>
      <c r="JFZ230" s="514"/>
      <c r="JGA230" s="514"/>
      <c r="JGB230" s="514"/>
      <c r="JGC230" s="514"/>
      <c r="JGD230" s="514"/>
      <c r="JGE230" s="514"/>
      <c r="JGF230" s="514"/>
      <c r="JGG230" s="514"/>
      <c r="JGH230" s="514"/>
      <c r="JGI230" s="514"/>
      <c r="JGJ230" s="514"/>
      <c r="JGK230" s="514"/>
      <c r="JGL230" s="514"/>
      <c r="JGM230" s="514"/>
      <c r="JGN230" s="514"/>
      <c r="JGO230" s="514"/>
      <c r="JGP230" s="514"/>
      <c r="JGQ230" s="514"/>
      <c r="JGR230" s="514"/>
      <c r="JGS230" s="514"/>
      <c r="JGT230" s="514"/>
      <c r="JGU230" s="514"/>
      <c r="JGV230" s="514"/>
      <c r="JGW230" s="514"/>
      <c r="JGX230" s="514"/>
      <c r="JGY230" s="514"/>
      <c r="JGZ230" s="514"/>
      <c r="JHA230" s="514"/>
      <c r="JHB230" s="514"/>
      <c r="JHC230" s="514"/>
      <c r="JHD230" s="514"/>
      <c r="JHE230" s="514"/>
      <c r="JHF230" s="514"/>
      <c r="JHG230" s="514"/>
      <c r="JHH230" s="514"/>
      <c r="JHI230" s="514"/>
      <c r="JHJ230" s="514"/>
      <c r="JHK230" s="514"/>
      <c r="JHL230" s="514"/>
      <c r="JHM230" s="514"/>
      <c r="JHN230" s="514"/>
      <c r="JHO230" s="514"/>
      <c r="JHP230" s="514"/>
      <c r="JHQ230" s="514"/>
      <c r="JHR230" s="514"/>
      <c r="JHS230" s="514"/>
      <c r="JHT230" s="514"/>
      <c r="JHU230" s="514"/>
      <c r="JHV230" s="514"/>
      <c r="JHW230" s="514"/>
      <c r="JHX230" s="514"/>
      <c r="JHY230" s="514"/>
      <c r="JHZ230" s="514"/>
      <c r="JIA230" s="514"/>
      <c r="JIB230" s="514"/>
      <c r="JIC230" s="514"/>
      <c r="JID230" s="514"/>
      <c r="JIE230" s="514"/>
      <c r="JIF230" s="514"/>
      <c r="JIG230" s="514"/>
      <c r="JIH230" s="514"/>
      <c r="JII230" s="514"/>
      <c r="JIJ230" s="514"/>
      <c r="JIK230" s="514"/>
      <c r="JIL230" s="514"/>
      <c r="JIM230" s="514"/>
      <c r="JIN230" s="514"/>
      <c r="JIO230" s="514"/>
      <c r="JIP230" s="514"/>
      <c r="JIQ230" s="514"/>
      <c r="JIR230" s="514"/>
      <c r="JIS230" s="514"/>
      <c r="JIT230" s="514"/>
      <c r="JIU230" s="514"/>
      <c r="JIV230" s="514"/>
      <c r="JIW230" s="514"/>
      <c r="JIX230" s="514"/>
      <c r="JIY230" s="514"/>
      <c r="JIZ230" s="514"/>
      <c r="JJA230" s="514"/>
      <c r="JJB230" s="514"/>
      <c r="JJC230" s="514"/>
      <c r="JJD230" s="514"/>
      <c r="JJE230" s="514"/>
      <c r="JJF230" s="514"/>
      <c r="JJG230" s="514"/>
      <c r="JJH230" s="514"/>
      <c r="JJI230" s="514"/>
      <c r="JJJ230" s="514"/>
      <c r="JJK230" s="514"/>
      <c r="JJL230" s="514"/>
      <c r="JJM230" s="514"/>
      <c r="JJN230" s="514"/>
      <c r="JJO230" s="514"/>
      <c r="JJP230" s="514"/>
      <c r="JJQ230" s="514"/>
      <c r="JJR230" s="514"/>
      <c r="JJS230" s="514"/>
      <c r="JJT230" s="514"/>
      <c r="JJU230" s="514"/>
      <c r="JJV230" s="514"/>
      <c r="JJW230" s="514"/>
      <c r="JJX230" s="514"/>
      <c r="JJY230" s="514"/>
      <c r="JJZ230" s="514"/>
      <c r="JKA230" s="514"/>
      <c r="JKB230" s="514"/>
      <c r="JKC230" s="514"/>
      <c r="JKD230" s="514"/>
      <c r="JKE230" s="514"/>
      <c r="JKF230" s="514"/>
      <c r="JKG230" s="514"/>
      <c r="JKH230" s="514"/>
      <c r="JKI230" s="514"/>
      <c r="JKJ230" s="514"/>
      <c r="JKK230" s="514"/>
      <c r="JKL230" s="514"/>
      <c r="JKM230" s="514"/>
      <c r="JKN230" s="514"/>
      <c r="JKO230" s="514"/>
      <c r="JKP230" s="514"/>
      <c r="JKQ230" s="514"/>
      <c r="JKR230" s="514"/>
      <c r="JKS230" s="514"/>
      <c r="JKT230" s="514"/>
      <c r="JKU230" s="514"/>
      <c r="JKV230" s="514"/>
      <c r="JKW230" s="514"/>
      <c r="JKX230" s="514"/>
      <c r="JKY230" s="514"/>
      <c r="JKZ230" s="514"/>
      <c r="JLA230" s="514"/>
      <c r="JLB230" s="514"/>
      <c r="JLC230" s="514"/>
      <c r="JLD230" s="514"/>
      <c r="JLE230" s="514"/>
      <c r="JLF230" s="514"/>
      <c r="JLG230" s="514"/>
      <c r="JLH230" s="514"/>
      <c r="JLI230" s="514"/>
      <c r="JLJ230" s="514"/>
      <c r="JLK230" s="514"/>
      <c r="JLL230" s="514"/>
      <c r="JLM230" s="514"/>
      <c r="JLN230" s="514"/>
      <c r="JLO230" s="514"/>
      <c r="JLP230" s="514"/>
      <c r="JLQ230" s="514"/>
      <c r="JLR230" s="514"/>
      <c r="JLS230" s="514"/>
      <c r="JLT230" s="514"/>
      <c r="JLU230" s="514"/>
      <c r="JLV230" s="514"/>
      <c r="JLW230" s="514"/>
      <c r="JLX230" s="514"/>
      <c r="JLY230" s="514"/>
      <c r="JLZ230" s="514"/>
      <c r="JMA230" s="514"/>
      <c r="JMB230" s="514"/>
      <c r="JMC230" s="514"/>
      <c r="JMD230" s="514"/>
      <c r="JME230" s="514"/>
      <c r="JMF230" s="514"/>
      <c r="JMG230" s="514"/>
      <c r="JMH230" s="514"/>
      <c r="JMI230" s="514"/>
      <c r="JMJ230" s="514"/>
      <c r="JMK230" s="514"/>
      <c r="JML230" s="514"/>
      <c r="JMM230" s="514"/>
      <c r="JMN230" s="514"/>
      <c r="JMO230" s="514"/>
      <c r="JMP230" s="514"/>
      <c r="JMQ230" s="514"/>
      <c r="JMR230" s="514"/>
      <c r="JMS230" s="514"/>
      <c r="JMT230" s="514"/>
      <c r="JMU230" s="514"/>
      <c r="JMV230" s="514"/>
      <c r="JMW230" s="514"/>
      <c r="JMX230" s="514"/>
      <c r="JMY230" s="514"/>
      <c r="JMZ230" s="514"/>
      <c r="JNA230" s="514"/>
      <c r="JNB230" s="514"/>
      <c r="JNC230" s="514"/>
      <c r="JND230" s="514"/>
      <c r="JNE230" s="514"/>
      <c r="JNF230" s="514"/>
      <c r="JNG230" s="514"/>
      <c r="JNH230" s="514"/>
      <c r="JNI230" s="514"/>
      <c r="JNJ230" s="514"/>
      <c r="JNK230" s="514"/>
      <c r="JNL230" s="514"/>
      <c r="JNM230" s="514"/>
      <c r="JNN230" s="514"/>
      <c r="JNO230" s="514"/>
      <c r="JNP230" s="514"/>
      <c r="JNQ230" s="514"/>
      <c r="JNR230" s="514"/>
      <c r="JNS230" s="514"/>
      <c r="JNT230" s="514"/>
      <c r="JNU230" s="514"/>
      <c r="JNV230" s="514"/>
      <c r="JNW230" s="514"/>
      <c r="JNX230" s="514"/>
      <c r="JNY230" s="514"/>
      <c r="JNZ230" s="514"/>
      <c r="JOA230" s="514"/>
      <c r="JOB230" s="514"/>
      <c r="JOC230" s="514"/>
      <c r="JOD230" s="514"/>
      <c r="JOE230" s="514"/>
      <c r="JOF230" s="514"/>
      <c r="JOG230" s="514"/>
      <c r="JOH230" s="514"/>
      <c r="JOI230" s="514"/>
      <c r="JOJ230" s="514"/>
      <c r="JOK230" s="514"/>
      <c r="JOL230" s="514"/>
      <c r="JOM230" s="514"/>
      <c r="JON230" s="514"/>
      <c r="JOO230" s="514"/>
      <c r="JOP230" s="514"/>
      <c r="JOQ230" s="514"/>
      <c r="JOR230" s="514"/>
      <c r="JOS230" s="514"/>
      <c r="JOT230" s="514"/>
      <c r="JOU230" s="514"/>
      <c r="JOV230" s="514"/>
      <c r="JOW230" s="514"/>
      <c r="JOX230" s="514"/>
      <c r="JOY230" s="514"/>
      <c r="JOZ230" s="514"/>
      <c r="JPA230" s="514"/>
      <c r="JPB230" s="514"/>
      <c r="JPC230" s="514"/>
      <c r="JPD230" s="514"/>
      <c r="JPE230" s="514"/>
      <c r="JPF230" s="514"/>
      <c r="JPG230" s="514"/>
      <c r="JPH230" s="514"/>
      <c r="JPI230" s="514"/>
      <c r="JPJ230" s="514"/>
      <c r="JPK230" s="514"/>
      <c r="JPL230" s="514"/>
      <c r="JPM230" s="514"/>
      <c r="JPN230" s="514"/>
      <c r="JPO230" s="514"/>
      <c r="JPP230" s="514"/>
      <c r="JPQ230" s="514"/>
      <c r="JPR230" s="514"/>
      <c r="JPS230" s="514"/>
      <c r="JPT230" s="514"/>
      <c r="JPU230" s="514"/>
      <c r="JPV230" s="514"/>
      <c r="JPW230" s="514"/>
      <c r="JPX230" s="514"/>
      <c r="JPY230" s="514"/>
      <c r="JPZ230" s="514"/>
      <c r="JQA230" s="514"/>
      <c r="JQB230" s="514"/>
      <c r="JQC230" s="514"/>
      <c r="JQD230" s="514"/>
      <c r="JQE230" s="514"/>
      <c r="JQF230" s="514"/>
      <c r="JQG230" s="514"/>
      <c r="JQH230" s="514"/>
      <c r="JQI230" s="514"/>
      <c r="JQJ230" s="514"/>
      <c r="JQK230" s="514"/>
      <c r="JQL230" s="514"/>
      <c r="JQM230" s="514"/>
      <c r="JQN230" s="514"/>
      <c r="JQO230" s="514"/>
      <c r="JQP230" s="514"/>
      <c r="JQQ230" s="514"/>
      <c r="JQR230" s="514"/>
      <c r="JQS230" s="514"/>
      <c r="JQT230" s="514"/>
      <c r="JQU230" s="514"/>
      <c r="JQV230" s="514"/>
      <c r="JQW230" s="514"/>
      <c r="JQX230" s="514"/>
      <c r="JQY230" s="514"/>
      <c r="JQZ230" s="514"/>
      <c r="JRA230" s="514"/>
      <c r="JRB230" s="514"/>
      <c r="JRC230" s="514"/>
      <c r="JRD230" s="514"/>
      <c r="JRE230" s="514"/>
      <c r="JRF230" s="514"/>
      <c r="JRG230" s="514"/>
      <c r="JRH230" s="514"/>
      <c r="JRI230" s="514"/>
      <c r="JRJ230" s="514"/>
      <c r="JRK230" s="514"/>
      <c r="JRL230" s="514"/>
      <c r="JRM230" s="514"/>
      <c r="JRN230" s="514"/>
      <c r="JRO230" s="514"/>
      <c r="JRP230" s="514"/>
      <c r="JRQ230" s="514"/>
      <c r="JRR230" s="514"/>
      <c r="JRS230" s="514"/>
      <c r="JRT230" s="514"/>
      <c r="JRU230" s="514"/>
      <c r="JRV230" s="514"/>
      <c r="JRW230" s="514"/>
      <c r="JRX230" s="514"/>
      <c r="JRY230" s="514"/>
      <c r="JRZ230" s="514"/>
      <c r="JSA230" s="514"/>
      <c r="JSB230" s="514"/>
      <c r="JSC230" s="514"/>
      <c r="JSD230" s="514"/>
      <c r="JSE230" s="514"/>
      <c r="JSF230" s="514"/>
      <c r="JSG230" s="514"/>
      <c r="JSH230" s="514"/>
      <c r="JSI230" s="514"/>
      <c r="JSJ230" s="514"/>
      <c r="JSK230" s="514"/>
      <c r="JSL230" s="514"/>
      <c r="JSM230" s="514"/>
      <c r="JSN230" s="514"/>
      <c r="JSO230" s="514"/>
      <c r="JSP230" s="514"/>
      <c r="JSQ230" s="514"/>
      <c r="JSR230" s="514"/>
      <c r="JSS230" s="514"/>
      <c r="JST230" s="514"/>
      <c r="JSU230" s="514"/>
      <c r="JSV230" s="514"/>
      <c r="JSW230" s="514"/>
      <c r="JSX230" s="514"/>
      <c r="JSY230" s="514"/>
      <c r="JSZ230" s="514"/>
      <c r="JTA230" s="514"/>
      <c r="JTB230" s="514"/>
      <c r="JTC230" s="514"/>
      <c r="JTD230" s="514"/>
      <c r="JTE230" s="514"/>
      <c r="JTF230" s="514"/>
      <c r="JTG230" s="514"/>
      <c r="JTH230" s="514"/>
      <c r="JTI230" s="514"/>
      <c r="JTJ230" s="514"/>
      <c r="JTK230" s="514"/>
      <c r="JTL230" s="514"/>
      <c r="JTM230" s="514"/>
      <c r="JTN230" s="514"/>
      <c r="JTO230" s="514"/>
      <c r="JTP230" s="514"/>
      <c r="JTQ230" s="514"/>
      <c r="JTR230" s="514"/>
      <c r="JTS230" s="514"/>
      <c r="JTT230" s="514"/>
      <c r="JTU230" s="514"/>
      <c r="JTV230" s="514"/>
      <c r="JTW230" s="514"/>
      <c r="JTX230" s="514"/>
      <c r="JTY230" s="514"/>
      <c r="JTZ230" s="514"/>
      <c r="JUA230" s="514"/>
      <c r="JUB230" s="514"/>
      <c r="JUC230" s="514"/>
      <c r="JUD230" s="514"/>
      <c r="JUE230" s="514"/>
      <c r="JUF230" s="514"/>
      <c r="JUG230" s="514"/>
      <c r="JUH230" s="514"/>
      <c r="JUI230" s="514"/>
      <c r="JUJ230" s="514"/>
      <c r="JUK230" s="514"/>
      <c r="JUL230" s="514"/>
      <c r="JUM230" s="514"/>
      <c r="JUN230" s="514"/>
      <c r="JUO230" s="514"/>
      <c r="JUP230" s="514"/>
      <c r="JUQ230" s="514"/>
      <c r="JUR230" s="514"/>
      <c r="JUS230" s="514"/>
      <c r="JUT230" s="514"/>
      <c r="JUU230" s="514"/>
      <c r="JUV230" s="514"/>
      <c r="JUW230" s="514"/>
      <c r="JUX230" s="514"/>
      <c r="JUY230" s="514"/>
      <c r="JUZ230" s="514"/>
      <c r="JVA230" s="514"/>
      <c r="JVB230" s="514"/>
      <c r="JVC230" s="514"/>
      <c r="JVD230" s="514"/>
      <c r="JVE230" s="514"/>
      <c r="JVF230" s="514"/>
      <c r="JVG230" s="514"/>
      <c r="JVH230" s="514"/>
      <c r="JVI230" s="514"/>
      <c r="JVJ230" s="514"/>
      <c r="JVK230" s="514"/>
      <c r="JVL230" s="514"/>
      <c r="JVM230" s="514"/>
      <c r="JVN230" s="514"/>
      <c r="JVO230" s="514"/>
      <c r="JVP230" s="514"/>
      <c r="JVQ230" s="514"/>
      <c r="JVR230" s="514"/>
      <c r="JVS230" s="514"/>
      <c r="JVT230" s="514"/>
      <c r="JVU230" s="514"/>
      <c r="JVV230" s="514"/>
      <c r="JVW230" s="514"/>
      <c r="JVX230" s="514"/>
      <c r="JVY230" s="514"/>
      <c r="JVZ230" s="514"/>
      <c r="JWA230" s="514"/>
      <c r="JWB230" s="514"/>
      <c r="JWC230" s="514"/>
      <c r="JWD230" s="514"/>
      <c r="JWE230" s="514"/>
      <c r="JWF230" s="514"/>
      <c r="JWG230" s="514"/>
      <c r="JWH230" s="514"/>
      <c r="JWI230" s="514"/>
      <c r="JWJ230" s="514"/>
      <c r="JWK230" s="514"/>
      <c r="JWL230" s="514"/>
      <c r="JWM230" s="514"/>
      <c r="JWN230" s="514"/>
      <c r="JWO230" s="514"/>
      <c r="JWP230" s="514"/>
      <c r="JWQ230" s="514"/>
      <c r="JWR230" s="514"/>
      <c r="JWS230" s="514"/>
      <c r="JWT230" s="514"/>
      <c r="JWU230" s="514"/>
      <c r="JWV230" s="514"/>
      <c r="JWW230" s="514"/>
      <c r="JWX230" s="514"/>
      <c r="JWY230" s="514"/>
      <c r="JWZ230" s="514"/>
      <c r="JXA230" s="514"/>
      <c r="JXB230" s="514"/>
      <c r="JXC230" s="514"/>
      <c r="JXD230" s="514"/>
      <c r="JXE230" s="514"/>
      <c r="JXF230" s="514"/>
      <c r="JXG230" s="514"/>
      <c r="JXH230" s="514"/>
      <c r="JXI230" s="514"/>
      <c r="JXJ230" s="514"/>
      <c r="JXK230" s="514"/>
      <c r="JXL230" s="514"/>
      <c r="JXM230" s="514"/>
      <c r="JXN230" s="514"/>
      <c r="JXO230" s="514"/>
      <c r="JXP230" s="514"/>
      <c r="JXQ230" s="514"/>
      <c r="JXR230" s="514"/>
      <c r="JXS230" s="514"/>
      <c r="JXT230" s="514"/>
      <c r="JXU230" s="514"/>
      <c r="JXV230" s="514"/>
      <c r="JXW230" s="514"/>
      <c r="JXX230" s="514"/>
      <c r="JXY230" s="514"/>
      <c r="JXZ230" s="514"/>
      <c r="JYA230" s="514"/>
      <c r="JYB230" s="514"/>
      <c r="JYC230" s="514"/>
      <c r="JYD230" s="514"/>
      <c r="JYE230" s="514"/>
      <c r="JYF230" s="514"/>
      <c r="JYG230" s="514"/>
      <c r="JYH230" s="514"/>
      <c r="JYI230" s="514"/>
      <c r="JYJ230" s="514"/>
      <c r="JYK230" s="514"/>
      <c r="JYL230" s="514"/>
      <c r="JYM230" s="514"/>
      <c r="JYN230" s="514"/>
      <c r="JYO230" s="514"/>
      <c r="JYP230" s="514"/>
      <c r="JYQ230" s="514"/>
      <c r="JYR230" s="514"/>
      <c r="JYS230" s="514"/>
      <c r="JYT230" s="514"/>
      <c r="JYU230" s="514"/>
      <c r="JYV230" s="514"/>
      <c r="JYW230" s="514"/>
      <c r="JYX230" s="514"/>
      <c r="JYY230" s="514"/>
      <c r="JYZ230" s="514"/>
      <c r="JZA230" s="514"/>
      <c r="JZB230" s="514"/>
      <c r="JZC230" s="514"/>
      <c r="JZD230" s="514"/>
      <c r="JZE230" s="514"/>
      <c r="JZF230" s="514"/>
      <c r="JZG230" s="514"/>
      <c r="JZH230" s="514"/>
      <c r="JZI230" s="514"/>
      <c r="JZJ230" s="514"/>
      <c r="JZK230" s="514"/>
      <c r="JZL230" s="514"/>
      <c r="JZM230" s="514"/>
      <c r="JZN230" s="514"/>
      <c r="JZO230" s="514"/>
      <c r="JZP230" s="514"/>
      <c r="JZQ230" s="514"/>
      <c r="JZR230" s="514"/>
      <c r="JZS230" s="514"/>
      <c r="JZT230" s="514"/>
      <c r="JZU230" s="514"/>
      <c r="JZV230" s="514"/>
      <c r="JZW230" s="514"/>
      <c r="JZX230" s="514"/>
      <c r="JZY230" s="514"/>
      <c r="JZZ230" s="514"/>
      <c r="KAA230" s="514"/>
      <c r="KAB230" s="514"/>
      <c r="KAC230" s="514"/>
      <c r="KAD230" s="514"/>
      <c r="KAE230" s="514"/>
      <c r="KAF230" s="514"/>
      <c r="KAG230" s="514"/>
      <c r="KAH230" s="514"/>
      <c r="KAI230" s="514"/>
      <c r="KAJ230" s="514"/>
      <c r="KAK230" s="514"/>
      <c r="KAL230" s="514"/>
      <c r="KAM230" s="514"/>
      <c r="KAN230" s="514"/>
      <c r="KAO230" s="514"/>
      <c r="KAP230" s="514"/>
      <c r="KAQ230" s="514"/>
      <c r="KAR230" s="514"/>
      <c r="KAS230" s="514"/>
      <c r="KAT230" s="514"/>
      <c r="KAU230" s="514"/>
      <c r="KAV230" s="514"/>
      <c r="KAW230" s="514"/>
      <c r="KAX230" s="514"/>
      <c r="KAY230" s="514"/>
      <c r="KAZ230" s="514"/>
      <c r="KBA230" s="514"/>
      <c r="KBB230" s="514"/>
      <c r="KBC230" s="514"/>
      <c r="KBD230" s="514"/>
      <c r="KBE230" s="514"/>
      <c r="KBF230" s="514"/>
      <c r="KBG230" s="514"/>
      <c r="KBH230" s="514"/>
      <c r="KBI230" s="514"/>
      <c r="KBJ230" s="514"/>
      <c r="KBK230" s="514"/>
      <c r="KBL230" s="514"/>
      <c r="KBM230" s="514"/>
      <c r="KBN230" s="514"/>
      <c r="KBO230" s="514"/>
      <c r="KBP230" s="514"/>
      <c r="KBQ230" s="514"/>
      <c r="KBR230" s="514"/>
      <c r="KBS230" s="514"/>
      <c r="KBT230" s="514"/>
      <c r="KBU230" s="514"/>
      <c r="KBV230" s="514"/>
      <c r="KBW230" s="514"/>
      <c r="KBX230" s="514"/>
      <c r="KBY230" s="514"/>
      <c r="KBZ230" s="514"/>
      <c r="KCA230" s="514"/>
      <c r="KCB230" s="514"/>
      <c r="KCC230" s="514"/>
      <c r="KCD230" s="514"/>
      <c r="KCE230" s="514"/>
      <c r="KCF230" s="514"/>
      <c r="KCG230" s="514"/>
      <c r="KCH230" s="514"/>
      <c r="KCI230" s="514"/>
      <c r="KCJ230" s="514"/>
      <c r="KCK230" s="514"/>
      <c r="KCL230" s="514"/>
      <c r="KCM230" s="514"/>
      <c r="KCN230" s="514"/>
      <c r="KCO230" s="514"/>
      <c r="KCP230" s="514"/>
      <c r="KCQ230" s="514"/>
      <c r="KCR230" s="514"/>
      <c r="KCS230" s="514"/>
      <c r="KCT230" s="514"/>
      <c r="KCU230" s="514"/>
      <c r="KCV230" s="514"/>
      <c r="KCW230" s="514"/>
      <c r="KCX230" s="514"/>
      <c r="KCY230" s="514"/>
      <c r="KCZ230" s="514"/>
      <c r="KDA230" s="514"/>
      <c r="KDB230" s="514"/>
      <c r="KDC230" s="514"/>
      <c r="KDD230" s="514"/>
      <c r="KDE230" s="514"/>
      <c r="KDF230" s="514"/>
      <c r="KDG230" s="514"/>
      <c r="KDH230" s="514"/>
      <c r="KDI230" s="514"/>
      <c r="KDJ230" s="514"/>
      <c r="KDK230" s="514"/>
      <c r="KDL230" s="514"/>
      <c r="KDM230" s="514"/>
      <c r="KDN230" s="514"/>
      <c r="KDO230" s="514"/>
      <c r="KDP230" s="514"/>
      <c r="KDQ230" s="514"/>
      <c r="KDR230" s="514"/>
      <c r="KDS230" s="514"/>
      <c r="KDT230" s="514"/>
      <c r="KDU230" s="514"/>
      <c r="KDV230" s="514"/>
      <c r="KDW230" s="514"/>
      <c r="KDX230" s="514"/>
      <c r="KDY230" s="514"/>
      <c r="KDZ230" s="514"/>
      <c r="KEA230" s="514"/>
      <c r="KEB230" s="514"/>
      <c r="KEC230" s="514"/>
      <c r="KED230" s="514"/>
      <c r="KEE230" s="514"/>
      <c r="KEF230" s="514"/>
      <c r="KEG230" s="514"/>
      <c r="KEH230" s="514"/>
      <c r="KEI230" s="514"/>
      <c r="KEJ230" s="514"/>
      <c r="KEK230" s="514"/>
      <c r="KEL230" s="514"/>
      <c r="KEM230" s="514"/>
      <c r="KEN230" s="514"/>
      <c r="KEO230" s="514"/>
      <c r="KEP230" s="514"/>
      <c r="KEQ230" s="514"/>
      <c r="KER230" s="514"/>
      <c r="KES230" s="514"/>
      <c r="KET230" s="514"/>
      <c r="KEU230" s="514"/>
      <c r="KEV230" s="514"/>
      <c r="KEW230" s="514"/>
      <c r="KEX230" s="514"/>
      <c r="KEY230" s="514"/>
      <c r="KEZ230" s="514"/>
      <c r="KFA230" s="514"/>
      <c r="KFB230" s="514"/>
      <c r="KFC230" s="514"/>
      <c r="KFD230" s="514"/>
      <c r="KFE230" s="514"/>
      <c r="KFF230" s="514"/>
      <c r="KFG230" s="514"/>
      <c r="KFH230" s="514"/>
      <c r="KFI230" s="514"/>
      <c r="KFJ230" s="514"/>
      <c r="KFK230" s="514"/>
      <c r="KFL230" s="514"/>
      <c r="KFM230" s="514"/>
      <c r="KFN230" s="514"/>
      <c r="KFO230" s="514"/>
      <c r="KFP230" s="514"/>
      <c r="KFQ230" s="514"/>
      <c r="KFR230" s="514"/>
      <c r="KFS230" s="514"/>
      <c r="KFT230" s="514"/>
      <c r="KFU230" s="514"/>
      <c r="KFV230" s="514"/>
      <c r="KFW230" s="514"/>
      <c r="KFX230" s="514"/>
      <c r="KFY230" s="514"/>
      <c r="KFZ230" s="514"/>
      <c r="KGA230" s="514"/>
      <c r="KGB230" s="514"/>
      <c r="KGC230" s="514"/>
      <c r="KGD230" s="514"/>
      <c r="KGE230" s="514"/>
      <c r="KGF230" s="514"/>
      <c r="KGG230" s="514"/>
      <c r="KGH230" s="514"/>
      <c r="KGI230" s="514"/>
      <c r="KGJ230" s="514"/>
      <c r="KGK230" s="514"/>
      <c r="KGL230" s="514"/>
      <c r="KGM230" s="514"/>
      <c r="KGN230" s="514"/>
      <c r="KGO230" s="514"/>
      <c r="KGP230" s="514"/>
      <c r="KGQ230" s="514"/>
      <c r="KGR230" s="514"/>
      <c r="KGS230" s="514"/>
      <c r="KGT230" s="514"/>
      <c r="KGU230" s="514"/>
      <c r="KGV230" s="514"/>
      <c r="KGW230" s="514"/>
      <c r="KGX230" s="514"/>
      <c r="KGY230" s="514"/>
      <c r="KGZ230" s="514"/>
      <c r="KHA230" s="514"/>
      <c r="KHB230" s="514"/>
      <c r="KHC230" s="514"/>
      <c r="KHD230" s="514"/>
      <c r="KHE230" s="514"/>
      <c r="KHF230" s="514"/>
      <c r="KHG230" s="514"/>
      <c r="KHH230" s="514"/>
      <c r="KHI230" s="514"/>
      <c r="KHJ230" s="514"/>
      <c r="KHK230" s="514"/>
      <c r="KHL230" s="514"/>
      <c r="KHM230" s="514"/>
      <c r="KHN230" s="514"/>
      <c r="KHO230" s="514"/>
      <c r="KHP230" s="514"/>
      <c r="KHQ230" s="514"/>
      <c r="KHR230" s="514"/>
      <c r="KHS230" s="514"/>
      <c r="KHT230" s="514"/>
      <c r="KHU230" s="514"/>
      <c r="KHV230" s="514"/>
      <c r="KHW230" s="514"/>
      <c r="KHX230" s="514"/>
      <c r="KHY230" s="514"/>
      <c r="KHZ230" s="514"/>
      <c r="KIA230" s="514"/>
      <c r="KIB230" s="514"/>
      <c r="KIC230" s="514"/>
      <c r="KID230" s="514"/>
      <c r="KIE230" s="514"/>
      <c r="KIF230" s="514"/>
      <c r="KIG230" s="514"/>
      <c r="KIH230" s="514"/>
      <c r="KII230" s="514"/>
      <c r="KIJ230" s="514"/>
      <c r="KIK230" s="514"/>
      <c r="KIL230" s="514"/>
      <c r="KIM230" s="514"/>
      <c r="KIN230" s="514"/>
      <c r="KIO230" s="514"/>
      <c r="KIP230" s="514"/>
      <c r="KIQ230" s="514"/>
      <c r="KIR230" s="514"/>
      <c r="KIS230" s="514"/>
      <c r="KIT230" s="514"/>
      <c r="KIU230" s="514"/>
      <c r="KIV230" s="514"/>
      <c r="KIW230" s="514"/>
      <c r="KIX230" s="514"/>
      <c r="KIY230" s="514"/>
      <c r="KIZ230" s="514"/>
      <c r="KJA230" s="514"/>
      <c r="KJB230" s="514"/>
      <c r="KJC230" s="514"/>
      <c r="KJD230" s="514"/>
      <c r="KJE230" s="514"/>
      <c r="KJF230" s="514"/>
      <c r="KJG230" s="514"/>
      <c r="KJH230" s="514"/>
      <c r="KJI230" s="514"/>
      <c r="KJJ230" s="514"/>
      <c r="KJK230" s="514"/>
      <c r="KJL230" s="514"/>
      <c r="KJM230" s="514"/>
      <c r="KJN230" s="514"/>
      <c r="KJO230" s="514"/>
      <c r="KJP230" s="514"/>
      <c r="KJQ230" s="514"/>
      <c r="KJR230" s="514"/>
      <c r="KJS230" s="514"/>
      <c r="KJT230" s="514"/>
      <c r="KJU230" s="514"/>
      <c r="KJV230" s="514"/>
      <c r="KJW230" s="514"/>
      <c r="KJX230" s="514"/>
      <c r="KJY230" s="514"/>
      <c r="KJZ230" s="514"/>
      <c r="KKA230" s="514"/>
      <c r="KKB230" s="514"/>
      <c r="KKC230" s="514"/>
      <c r="KKD230" s="514"/>
      <c r="KKE230" s="514"/>
      <c r="KKF230" s="514"/>
      <c r="KKG230" s="514"/>
      <c r="KKH230" s="514"/>
      <c r="KKI230" s="514"/>
      <c r="KKJ230" s="514"/>
      <c r="KKK230" s="514"/>
      <c r="KKL230" s="514"/>
      <c r="KKM230" s="514"/>
      <c r="KKN230" s="514"/>
      <c r="KKO230" s="514"/>
      <c r="KKP230" s="514"/>
      <c r="KKQ230" s="514"/>
      <c r="KKR230" s="514"/>
      <c r="KKS230" s="514"/>
      <c r="KKT230" s="514"/>
      <c r="KKU230" s="514"/>
      <c r="KKV230" s="514"/>
      <c r="KKW230" s="514"/>
      <c r="KKX230" s="514"/>
      <c r="KKY230" s="514"/>
      <c r="KKZ230" s="514"/>
      <c r="KLA230" s="514"/>
      <c r="KLB230" s="514"/>
      <c r="KLC230" s="514"/>
      <c r="KLD230" s="514"/>
      <c r="KLE230" s="514"/>
      <c r="KLF230" s="514"/>
      <c r="KLG230" s="514"/>
      <c r="KLH230" s="514"/>
      <c r="KLI230" s="514"/>
      <c r="KLJ230" s="514"/>
      <c r="KLK230" s="514"/>
      <c r="KLL230" s="514"/>
      <c r="KLM230" s="514"/>
      <c r="KLN230" s="514"/>
      <c r="KLO230" s="514"/>
      <c r="KLP230" s="514"/>
      <c r="KLQ230" s="514"/>
      <c r="KLR230" s="514"/>
      <c r="KLS230" s="514"/>
      <c r="KLT230" s="514"/>
      <c r="KLU230" s="514"/>
      <c r="KLV230" s="514"/>
      <c r="KLW230" s="514"/>
      <c r="KLX230" s="514"/>
      <c r="KLY230" s="514"/>
      <c r="KLZ230" s="514"/>
      <c r="KMA230" s="514"/>
      <c r="KMB230" s="514"/>
      <c r="KMC230" s="514"/>
      <c r="KMD230" s="514"/>
      <c r="KME230" s="514"/>
      <c r="KMF230" s="514"/>
      <c r="KMG230" s="514"/>
      <c r="KMH230" s="514"/>
      <c r="KMI230" s="514"/>
      <c r="KMJ230" s="514"/>
      <c r="KMK230" s="514"/>
      <c r="KML230" s="514"/>
      <c r="KMM230" s="514"/>
      <c r="KMN230" s="514"/>
      <c r="KMO230" s="514"/>
      <c r="KMP230" s="514"/>
      <c r="KMQ230" s="514"/>
      <c r="KMR230" s="514"/>
      <c r="KMS230" s="514"/>
      <c r="KMT230" s="514"/>
      <c r="KMU230" s="514"/>
      <c r="KMV230" s="514"/>
      <c r="KMW230" s="514"/>
      <c r="KMX230" s="514"/>
      <c r="KMY230" s="514"/>
      <c r="KMZ230" s="514"/>
      <c r="KNA230" s="514"/>
      <c r="KNB230" s="514"/>
      <c r="KNC230" s="514"/>
      <c r="KND230" s="514"/>
      <c r="KNE230" s="514"/>
      <c r="KNF230" s="514"/>
      <c r="KNG230" s="514"/>
      <c r="KNH230" s="514"/>
      <c r="KNI230" s="514"/>
      <c r="KNJ230" s="514"/>
      <c r="KNK230" s="514"/>
      <c r="KNL230" s="514"/>
      <c r="KNM230" s="514"/>
      <c r="KNN230" s="514"/>
      <c r="KNO230" s="514"/>
      <c r="KNP230" s="514"/>
      <c r="KNQ230" s="514"/>
      <c r="KNR230" s="514"/>
      <c r="KNS230" s="514"/>
      <c r="KNT230" s="514"/>
      <c r="KNU230" s="514"/>
      <c r="KNV230" s="514"/>
      <c r="KNW230" s="514"/>
      <c r="KNX230" s="514"/>
      <c r="KNY230" s="514"/>
      <c r="KNZ230" s="514"/>
      <c r="KOA230" s="514"/>
      <c r="KOB230" s="514"/>
      <c r="KOC230" s="514"/>
      <c r="KOD230" s="514"/>
      <c r="KOE230" s="514"/>
      <c r="KOF230" s="514"/>
      <c r="KOG230" s="514"/>
      <c r="KOH230" s="514"/>
      <c r="KOI230" s="514"/>
      <c r="KOJ230" s="514"/>
      <c r="KOK230" s="514"/>
      <c r="KOL230" s="514"/>
      <c r="KOM230" s="514"/>
      <c r="KON230" s="514"/>
      <c r="KOO230" s="514"/>
      <c r="KOP230" s="514"/>
      <c r="KOQ230" s="514"/>
      <c r="KOR230" s="514"/>
      <c r="KOS230" s="514"/>
      <c r="KOT230" s="514"/>
      <c r="KOU230" s="514"/>
      <c r="KOV230" s="514"/>
      <c r="KOW230" s="514"/>
      <c r="KOX230" s="514"/>
      <c r="KOY230" s="514"/>
      <c r="KOZ230" s="514"/>
      <c r="KPA230" s="514"/>
      <c r="KPB230" s="514"/>
      <c r="KPC230" s="514"/>
      <c r="KPD230" s="514"/>
      <c r="KPE230" s="514"/>
      <c r="KPF230" s="514"/>
      <c r="KPG230" s="514"/>
      <c r="KPH230" s="514"/>
      <c r="KPI230" s="514"/>
      <c r="KPJ230" s="514"/>
      <c r="KPK230" s="514"/>
      <c r="KPL230" s="514"/>
      <c r="KPM230" s="514"/>
      <c r="KPN230" s="514"/>
      <c r="KPO230" s="514"/>
      <c r="KPP230" s="514"/>
      <c r="KPQ230" s="514"/>
      <c r="KPR230" s="514"/>
      <c r="KPS230" s="514"/>
      <c r="KPT230" s="514"/>
      <c r="KPU230" s="514"/>
      <c r="KPV230" s="514"/>
      <c r="KPW230" s="514"/>
      <c r="KPX230" s="514"/>
      <c r="KPY230" s="514"/>
      <c r="KPZ230" s="514"/>
      <c r="KQA230" s="514"/>
      <c r="KQB230" s="514"/>
      <c r="KQC230" s="514"/>
      <c r="KQD230" s="514"/>
      <c r="KQE230" s="514"/>
      <c r="KQF230" s="514"/>
      <c r="KQG230" s="514"/>
      <c r="KQH230" s="514"/>
      <c r="KQI230" s="514"/>
      <c r="KQJ230" s="514"/>
      <c r="KQK230" s="514"/>
      <c r="KQL230" s="514"/>
      <c r="KQM230" s="514"/>
      <c r="KQN230" s="514"/>
      <c r="KQO230" s="514"/>
      <c r="KQP230" s="514"/>
      <c r="KQQ230" s="514"/>
      <c r="KQR230" s="514"/>
      <c r="KQS230" s="514"/>
      <c r="KQT230" s="514"/>
      <c r="KQU230" s="514"/>
      <c r="KQV230" s="514"/>
      <c r="KQW230" s="514"/>
      <c r="KQX230" s="514"/>
      <c r="KQY230" s="514"/>
      <c r="KQZ230" s="514"/>
      <c r="KRA230" s="514"/>
      <c r="KRB230" s="514"/>
      <c r="KRC230" s="514"/>
      <c r="KRD230" s="514"/>
      <c r="KRE230" s="514"/>
      <c r="KRF230" s="514"/>
      <c r="KRG230" s="514"/>
      <c r="KRH230" s="514"/>
      <c r="KRI230" s="514"/>
      <c r="KRJ230" s="514"/>
      <c r="KRK230" s="514"/>
      <c r="KRL230" s="514"/>
      <c r="KRM230" s="514"/>
      <c r="KRN230" s="514"/>
      <c r="KRO230" s="514"/>
      <c r="KRP230" s="514"/>
      <c r="KRQ230" s="514"/>
      <c r="KRR230" s="514"/>
      <c r="KRS230" s="514"/>
      <c r="KRT230" s="514"/>
      <c r="KRU230" s="514"/>
      <c r="KRV230" s="514"/>
      <c r="KRW230" s="514"/>
      <c r="KRX230" s="514"/>
      <c r="KRY230" s="514"/>
      <c r="KRZ230" s="514"/>
      <c r="KSA230" s="514"/>
      <c r="KSB230" s="514"/>
      <c r="KSC230" s="514"/>
      <c r="KSD230" s="514"/>
      <c r="KSE230" s="514"/>
      <c r="KSF230" s="514"/>
      <c r="KSG230" s="514"/>
      <c r="KSH230" s="514"/>
      <c r="KSI230" s="514"/>
      <c r="KSJ230" s="514"/>
      <c r="KSK230" s="514"/>
      <c r="KSL230" s="514"/>
      <c r="KSM230" s="514"/>
      <c r="KSN230" s="514"/>
      <c r="KSO230" s="514"/>
      <c r="KSP230" s="514"/>
      <c r="KSQ230" s="514"/>
      <c r="KSR230" s="514"/>
      <c r="KSS230" s="514"/>
      <c r="KST230" s="514"/>
      <c r="KSU230" s="514"/>
      <c r="KSV230" s="514"/>
      <c r="KSW230" s="514"/>
      <c r="KSX230" s="514"/>
      <c r="KSY230" s="514"/>
      <c r="KSZ230" s="514"/>
      <c r="KTA230" s="514"/>
      <c r="KTB230" s="514"/>
      <c r="KTC230" s="514"/>
      <c r="KTD230" s="514"/>
      <c r="KTE230" s="514"/>
      <c r="KTF230" s="514"/>
      <c r="KTG230" s="514"/>
      <c r="KTH230" s="514"/>
      <c r="KTI230" s="514"/>
      <c r="KTJ230" s="514"/>
      <c r="KTK230" s="514"/>
      <c r="KTL230" s="514"/>
      <c r="KTM230" s="514"/>
      <c r="KTN230" s="514"/>
      <c r="KTO230" s="514"/>
      <c r="KTP230" s="514"/>
      <c r="KTQ230" s="514"/>
      <c r="KTR230" s="514"/>
      <c r="KTS230" s="514"/>
      <c r="KTT230" s="514"/>
      <c r="KTU230" s="514"/>
      <c r="KTV230" s="514"/>
      <c r="KTW230" s="514"/>
      <c r="KTX230" s="514"/>
      <c r="KTY230" s="514"/>
      <c r="KTZ230" s="514"/>
      <c r="KUA230" s="514"/>
      <c r="KUB230" s="514"/>
      <c r="KUC230" s="514"/>
      <c r="KUD230" s="514"/>
      <c r="KUE230" s="514"/>
      <c r="KUF230" s="514"/>
      <c r="KUG230" s="514"/>
      <c r="KUH230" s="514"/>
      <c r="KUI230" s="514"/>
      <c r="KUJ230" s="514"/>
      <c r="KUK230" s="514"/>
      <c r="KUL230" s="514"/>
      <c r="KUM230" s="514"/>
      <c r="KUN230" s="514"/>
      <c r="KUO230" s="514"/>
      <c r="KUP230" s="514"/>
      <c r="KUQ230" s="514"/>
      <c r="KUR230" s="514"/>
      <c r="KUS230" s="514"/>
      <c r="KUT230" s="514"/>
      <c r="KUU230" s="514"/>
      <c r="KUV230" s="514"/>
      <c r="KUW230" s="514"/>
      <c r="KUX230" s="514"/>
      <c r="KUY230" s="514"/>
      <c r="KUZ230" s="514"/>
      <c r="KVA230" s="514"/>
      <c r="KVB230" s="514"/>
      <c r="KVC230" s="514"/>
      <c r="KVD230" s="514"/>
      <c r="KVE230" s="514"/>
      <c r="KVF230" s="514"/>
      <c r="KVG230" s="514"/>
      <c r="KVH230" s="514"/>
      <c r="KVI230" s="514"/>
      <c r="KVJ230" s="514"/>
      <c r="KVK230" s="514"/>
      <c r="KVL230" s="514"/>
      <c r="KVM230" s="514"/>
      <c r="KVN230" s="514"/>
      <c r="KVO230" s="514"/>
      <c r="KVP230" s="514"/>
      <c r="KVQ230" s="514"/>
      <c r="KVR230" s="514"/>
      <c r="KVS230" s="514"/>
      <c r="KVT230" s="514"/>
      <c r="KVU230" s="514"/>
      <c r="KVV230" s="514"/>
      <c r="KVW230" s="514"/>
      <c r="KVX230" s="514"/>
      <c r="KVY230" s="514"/>
      <c r="KVZ230" s="514"/>
      <c r="KWA230" s="514"/>
      <c r="KWB230" s="514"/>
      <c r="KWC230" s="514"/>
      <c r="KWD230" s="514"/>
      <c r="KWE230" s="514"/>
      <c r="KWF230" s="514"/>
      <c r="KWG230" s="514"/>
      <c r="KWH230" s="514"/>
      <c r="KWI230" s="514"/>
      <c r="KWJ230" s="514"/>
      <c r="KWK230" s="514"/>
      <c r="KWL230" s="514"/>
      <c r="KWM230" s="514"/>
      <c r="KWN230" s="514"/>
      <c r="KWO230" s="514"/>
      <c r="KWP230" s="514"/>
      <c r="KWQ230" s="514"/>
      <c r="KWR230" s="514"/>
      <c r="KWS230" s="514"/>
      <c r="KWT230" s="514"/>
      <c r="KWU230" s="514"/>
      <c r="KWV230" s="514"/>
      <c r="KWW230" s="514"/>
      <c r="KWX230" s="514"/>
      <c r="KWY230" s="514"/>
      <c r="KWZ230" s="514"/>
      <c r="KXA230" s="514"/>
      <c r="KXB230" s="514"/>
      <c r="KXC230" s="514"/>
      <c r="KXD230" s="514"/>
      <c r="KXE230" s="514"/>
      <c r="KXF230" s="514"/>
      <c r="KXG230" s="514"/>
      <c r="KXH230" s="514"/>
      <c r="KXI230" s="514"/>
      <c r="KXJ230" s="514"/>
      <c r="KXK230" s="514"/>
      <c r="KXL230" s="514"/>
      <c r="KXM230" s="514"/>
      <c r="KXN230" s="514"/>
      <c r="KXO230" s="514"/>
      <c r="KXP230" s="514"/>
      <c r="KXQ230" s="514"/>
      <c r="KXR230" s="514"/>
      <c r="KXS230" s="514"/>
      <c r="KXT230" s="514"/>
      <c r="KXU230" s="514"/>
      <c r="KXV230" s="514"/>
      <c r="KXW230" s="514"/>
      <c r="KXX230" s="514"/>
      <c r="KXY230" s="514"/>
      <c r="KXZ230" s="514"/>
      <c r="KYA230" s="514"/>
      <c r="KYB230" s="514"/>
      <c r="KYC230" s="514"/>
      <c r="KYD230" s="514"/>
      <c r="KYE230" s="514"/>
      <c r="KYF230" s="514"/>
      <c r="KYG230" s="514"/>
      <c r="KYH230" s="514"/>
      <c r="KYI230" s="514"/>
      <c r="KYJ230" s="514"/>
      <c r="KYK230" s="514"/>
      <c r="KYL230" s="514"/>
      <c r="KYM230" s="514"/>
      <c r="KYN230" s="514"/>
      <c r="KYO230" s="514"/>
      <c r="KYP230" s="514"/>
      <c r="KYQ230" s="514"/>
      <c r="KYR230" s="514"/>
      <c r="KYS230" s="514"/>
      <c r="KYT230" s="514"/>
      <c r="KYU230" s="514"/>
      <c r="KYV230" s="514"/>
      <c r="KYW230" s="514"/>
      <c r="KYX230" s="514"/>
      <c r="KYY230" s="514"/>
      <c r="KYZ230" s="514"/>
      <c r="KZA230" s="514"/>
      <c r="KZB230" s="514"/>
      <c r="KZC230" s="514"/>
      <c r="KZD230" s="514"/>
      <c r="KZE230" s="514"/>
      <c r="KZF230" s="514"/>
      <c r="KZG230" s="514"/>
      <c r="KZH230" s="514"/>
      <c r="KZI230" s="514"/>
      <c r="KZJ230" s="514"/>
      <c r="KZK230" s="514"/>
      <c r="KZL230" s="514"/>
      <c r="KZM230" s="514"/>
      <c r="KZN230" s="514"/>
      <c r="KZO230" s="514"/>
      <c r="KZP230" s="514"/>
      <c r="KZQ230" s="514"/>
      <c r="KZR230" s="514"/>
      <c r="KZS230" s="514"/>
      <c r="KZT230" s="514"/>
      <c r="KZU230" s="514"/>
      <c r="KZV230" s="514"/>
      <c r="KZW230" s="514"/>
      <c r="KZX230" s="514"/>
      <c r="KZY230" s="514"/>
      <c r="KZZ230" s="514"/>
      <c r="LAA230" s="514"/>
      <c r="LAB230" s="514"/>
      <c r="LAC230" s="514"/>
      <c r="LAD230" s="514"/>
      <c r="LAE230" s="514"/>
      <c r="LAF230" s="514"/>
      <c r="LAG230" s="514"/>
      <c r="LAH230" s="514"/>
      <c r="LAI230" s="514"/>
      <c r="LAJ230" s="514"/>
      <c r="LAK230" s="514"/>
      <c r="LAL230" s="514"/>
      <c r="LAM230" s="514"/>
      <c r="LAN230" s="514"/>
      <c r="LAO230" s="514"/>
      <c r="LAP230" s="514"/>
      <c r="LAQ230" s="514"/>
      <c r="LAR230" s="514"/>
      <c r="LAS230" s="514"/>
      <c r="LAT230" s="514"/>
      <c r="LAU230" s="514"/>
      <c r="LAV230" s="514"/>
      <c r="LAW230" s="514"/>
      <c r="LAX230" s="514"/>
      <c r="LAY230" s="514"/>
      <c r="LAZ230" s="514"/>
      <c r="LBA230" s="514"/>
      <c r="LBB230" s="514"/>
      <c r="LBC230" s="514"/>
      <c r="LBD230" s="514"/>
      <c r="LBE230" s="514"/>
      <c r="LBF230" s="514"/>
      <c r="LBG230" s="514"/>
      <c r="LBH230" s="514"/>
      <c r="LBI230" s="514"/>
      <c r="LBJ230" s="514"/>
      <c r="LBK230" s="514"/>
      <c r="LBL230" s="514"/>
      <c r="LBM230" s="514"/>
      <c r="LBN230" s="514"/>
      <c r="LBO230" s="514"/>
      <c r="LBP230" s="514"/>
      <c r="LBQ230" s="514"/>
      <c r="LBR230" s="514"/>
      <c r="LBS230" s="514"/>
      <c r="LBT230" s="514"/>
      <c r="LBU230" s="514"/>
      <c r="LBV230" s="514"/>
      <c r="LBW230" s="514"/>
      <c r="LBX230" s="514"/>
      <c r="LBY230" s="514"/>
      <c r="LBZ230" s="514"/>
      <c r="LCA230" s="514"/>
      <c r="LCB230" s="514"/>
      <c r="LCC230" s="514"/>
      <c r="LCD230" s="514"/>
      <c r="LCE230" s="514"/>
      <c r="LCF230" s="514"/>
      <c r="LCG230" s="514"/>
      <c r="LCH230" s="514"/>
      <c r="LCI230" s="514"/>
      <c r="LCJ230" s="514"/>
      <c r="LCK230" s="514"/>
      <c r="LCL230" s="514"/>
      <c r="LCM230" s="514"/>
      <c r="LCN230" s="514"/>
      <c r="LCO230" s="514"/>
      <c r="LCP230" s="514"/>
      <c r="LCQ230" s="514"/>
      <c r="LCR230" s="514"/>
      <c r="LCS230" s="514"/>
      <c r="LCT230" s="514"/>
      <c r="LCU230" s="514"/>
      <c r="LCV230" s="514"/>
      <c r="LCW230" s="514"/>
      <c r="LCX230" s="514"/>
      <c r="LCY230" s="514"/>
      <c r="LCZ230" s="514"/>
      <c r="LDA230" s="514"/>
      <c r="LDB230" s="514"/>
      <c r="LDC230" s="514"/>
      <c r="LDD230" s="514"/>
      <c r="LDE230" s="514"/>
      <c r="LDF230" s="514"/>
      <c r="LDG230" s="514"/>
      <c r="LDH230" s="514"/>
      <c r="LDI230" s="514"/>
      <c r="LDJ230" s="514"/>
      <c r="LDK230" s="514"/>
      <c r="LDL230" s="514"/>
      <c r="LDM230" s="514"/>
      <c r="LDN230" s="514"/>
      <c r="LDO230" s="514"/>
      <c r="LDP230" s="514"/>
      <c r="LDQ230" s="514"/>
      <c r="LDR230" s="514"/>
      <c r="LDS230" s="514"/>
      <c r="LDT230" s="514"/>
      <c r="LDU230" s="514"/>
      <c r="LDV230" s="514"/>
      <c r="LDW230" s="514"/>
      <c r="LDX230" s="514"/>
      <c r="LDY230" s="514"/>
      <c r="LDZ230" s="514"/>
      <c r="LEA230" s="514"/>
      <c r="LEB230" s="514"/>
      <c r="LEC230" s="514"/>
      <c r="LED230" s="514"/>
      <c r="LEE230" s="514"/>
      <c r="LEF230" s="514"/>
      <c r="LEG230" s="514"/>
      <c r="LEH230" s="514"/>
      <c r="LEI230" s="514"/>
      <c r="LEJ230" s="514"/>
      <c r="LEK230" s="514"/>
      <c r="LEL230" s="514"/>
      <c r="LEM230" s="514"/>
      <c r="LEN230" s="514"/>
      <c r="LEO230" s="514"/>
      <c r="LEP230" s="514"/>
      <c r="LEQ230" s="514"/>
      <c r="LER230" s="514"/>
      <c r="LES230" s="514"/>
      <c r="LET230" s="514"/>
      <c r="LEU230" s="514"/>
      <c r="LEV230" s="514"/>
      <c r="LEW230" s="514"/>
      <c r="LEX230" s="514"/>
      <c r="LEY230" s="514"/>
      <c r="LEZ230" s="514"/>
      <c r="LFA230" s="514"/>
      <c r="LFB230" s="514"/>
      <c r="LFC230" s="514"/>
      <c r="LFD230" s="514"/>
      <c r="LFE230" s="514"/>
      <c r="LFF230" s="514"/>
      <c r="LFG230" s="514"/>
      <c r="LFH230" s="514"/>
      <c r="LFI230" s="514"/>
      <c r="LFJ230" s="514"/>
      <c r="LFK230" s="514"/>
      <c r="LFL230" s="514"/>
      <c r="LFM230" s="514"/>
      <c r="LFN230" s="514"/>
      <c r="LFO230" s="514"/>
      <c r="LFP230" s="514"/>
      <c r="LFQ230" s="514"/>
      <c r="LFR230" s="514"/>
      <c r="LFS230" s="514"/>
      <c r="LFT230" s="514"/>
      <c r="LFU230" s="514"/>
      <c r="LFV230" s="514"/>
      <c r="LFW230" s="514"/>
      <c r="LFX230" s="514"/>
      <c r="LFY230" s="514"/>
      <c r="LFZ230" s="514"/>
      <c r="LGA230" s="514"/>
      <c r="LGB230" s="514"/>
      <c r="LGC230" s="514"/>
      <c r="LGD230" s="514"/>
      <c r="LGE230" s="514"/>
      <c r="LGF230" s="514"/>
      <c r="LGG230" s="514"/>
      <c r="LGH230" s="514"/>
      <c r="LGI230" s="514"/>
      <c r="LGJ230" s="514"/>
      <c r="LGK230" s="514"/>
      <c r="LGL230" s="514"/>
      <c r="LGM230" s="514"/>
      <c r="LGN230" s="514"/>
      <c r="LGO230" s="514"/>
      <c r="LGP230" s="514"/>
      <c r="LGQ230" s="514"/>
      <c r="LGR230" s="514"/>
      <c r="LGS230" s="514"/>
      <c r="LGT230" s="514"/>
      <c r="LGU230" s="514"/>
      <c r="LGV230" s="514"/>
      <c r="LGW230" s="514"/>
      <c r="LGX230" s="514"/>
      <c r="LGY230" s="514"/>
      <c r="LGZ230" s="514"/>
      <c r="LHA230" s="514"/>
      <c r="LHB230" s="514"/>
      <c r="LHC230" s="514"/>
      <c r="LHD230" s="514"/>
      <c r="LHE230" s="514"/>
      <c r="LHF230" s="514"/>
      <c r="LHG230" s="514"/>
      <c r="LHH230" s="514"/>
      <c r="LHI230" s="514"/>
      <c r="LHJ230" s="514"/>
      <c r="LHK230" s="514"/>
      <c r="LHL230" s="514"/>
      <c r="LHM230" s="514"/>
      <c r="LHN230" s="514"/>
      <c r="LHO230" s="514"/>
      <c r="LHP230" s="514"/>
      <c r="LHQ230" s="514"/>
      <c r="LHR230" s="514"/>
      <c r="LHS230" s="514"/>
      <c r="LHT230" s="514"/>
      <c r="LHU230" s="514"/>
      <c r="LHV230" s="514"/>
      <c r="LHW230" s="514"/>
      <c r="LHX230" s="514"/>
      <c r="LHY230" s="514"/>
      <c r="LHZ230" s="514"/>
      <c r="LIA230" s="514"/>
      <c r="LIB230" s="514"/>
      <c r="LIC230" s="514"/>
      <c r="LID230" s="514"/>
      <c r="LIE230" s="514"/>
      <c r="LIF230" s="514"/>
      <c r="LIG230" s="514"/>
      <c r="LIH230" s="514"/>
      <c r="LII230" s="514"/>
      <c r="LIJ230" s="514"/>
      <c r="LIK230" s="514"/>
      <c r="LIL230" s="514"/>
      <c r="LIM230" s="514"/>
      <c r="LIN230" s="514"/>
      <c r="LIO230" s="514"/>
      <c r="LIP230" s="514"/>
      <c r="LIQ230" s="514"/>
      <c r="LIR230" s="514"/>
      <c r="LIS230" s="514"/>
      <c r="LIT230" s="514"/>
      <c r="LIU230" s="514"/>
      <c r="LIV230" s="514"/>
      <c r="LIW230" s="514"/>
      <c r="LIX230" s="514"/>
      <c r="LIY230" s="514"/>
      <c r="LIZ230" s="514"/>
      <c r="LJA230" s="514"/>
      <c r="LJB230" s="514"/>
      <c r="LJC230" s="514"/>
      <c r="LJD230" s="514"/>
      <c r="LJE230" s="514"/>
      <c r="LJF230" s="514"/>
      <c r="LJG230" s="514"/>
      <c r="LJH230" s="514"/>
      <c r="LJI230" s="514"/>
      <c r="LJJ230" s="514"/>
      <c r="LJK230" s="514"/>
      <c r="LJL230" s="514"/>
      <c r="LJM230" s="514"/>
      <c r="LJN230" s="514"/>
      <c r="LJO230" s="514"/>
      <c r="LJP230" s="514"/>
      <c r="LJQ230" s="514"/>
      <c r="LJR230" s="514"/>
      <c r="LJS230" s="514"/>
      <c r="LJT230" s="514"/>
      <c r="LJU230" s="514"/>
      <c r="LJV230" s="514"/>
      <c r="LJW230" s="514"/>
      <c r="LJX230" s="514"/>
      <c r="LJY230" s="514"/>
      <c r="LJZ230" s="514"/>
      <c r="LKA230" s="514"/>
      <c r="LKB230" s="514"/>
      <c r="LKC230" s="514"/>
      <c r="LKD230" s="514"/>
      <c r="LKE230" s="514"/>
      <c r="LKF230" s="514"/>
      <c r="LKG230" s="514"/>
      <c r="LKH230" s="514"/>
      <c r="LKI230" s="514"/>
      <c r="LKJ230" s="514"/>
      <c r="LKK230" s="514"/>
      <c r="LKL230" s="514"/>
      <c r="LKM230" s="514"/>
      <c r="LKN230" s="514"/>
      <c r="LKO230" s="514"/>
      <c r="LKP230" s="514"/>
      <c r="LKQ230" s="514"/>
      <c r="LKR230" s="514"/>
      <c r="LKS230" s="514"/>
      <c r="LKT230" s="514"/>
      <c r="LKU230" s="514"/>
      <c r="LKV230" s="514"/>
      <c r="LKW230" s="514"/>
      <c r="LKX230" s="514"/>
      <c r="LKY230" s="514"/>
      <c r="LKZ230" s="514"/>
      <c r="LLA230" s="514"/>
      <c r="LLB230" s="514"/>
      <c r="LLC230" s="514"/>
      <c r="LLD230" s="514"/>
      <c r="LLE230" s="514"/>
      <c r="LLF230" s="514"/>
      <c r="LLG230" s="514"/>
      <c r="LLH230" s="514"/>
      <c r="LLI230" s="514"/>
      <c r="LLJ230" s="514"/>
      <c r="LLK230" s="514"/>
      <c r="LLL230" s="514"/>
      <c r="LLM230" s="514"/>
      <c r="LLN230" s="514"/>
      <c r="LLO230" s="514"/>
      <c r="LLP230" s="514"/>
      <c r="LLQ230" s="514"/>
      <c r="LLR230" s="514"/>
      <c r="LLS230" s="514"/>
      <c r="LLT230" s="514"/>
      <c r="LLU230" s="514"/>
      <c r="LLV230" s="514"/>
      <c r="LLW230" s="514"/>
      <c r="LLX230" s="514"/>
      <c r="LLY230" s="514"/>
      <c r="LLZ230" s="514"/>
      <c r="LMA230" s="514"/>
      <c r="LMB230" s="514"/>
      <c r="LMC230" s="514"/>
      <c r="LMD230" s="514"/>
      <c r="LME230" s="514"/>
      <c r="LMF230" s="514"/>
      <c r="LMG230" s="514"/>
      <c r="LMH230" s="514"/>
      <c r="LMI230" s="514"/>
      <c r="LMJ230" s="514"/>
      <c r="LMK230" s="514"/>
      <c r="LML230" s="514"/>
      <c r="LMM230" s="514"/>
      <c r="LMN230" s="514"/>
      <c r="LMO230" s="514"/>
      <c r="LMP230" s="514"/>
      <c r="LMQ230" s="514"/>
      <c r="LMR230" s="514"/>
      <c r="LMS230" s="514"/>
      <c r="LMT230" s="514"/>
      <c r="LMU230" s="514"/>
      <c r="LMV230" s="514"/>
      <c r="LMW230" s="514"/>
      <c r="LMX230" s="514"/>
      <c r="LMY230" s="514"/>
      <c r="LMZ230" s="514"/>
      <c r="LNA230" s="514"/>
      <c r="LNB230" s="514"/>
      <c r="LNC230" s="514"/>
      <c r="LND230" s="514"/>
      <c r="LNE230" s="514"/>
      <c r="LNF230" s="514"/>
      <c r="LNG230" s="514"/>
      <c r="LNH230" s="514"/>
      <c r="LNI230" s="514"/>
      <c r="LNJ230" s="514"/>
      <c r="LNK230" s="514"/>
      <c r="LNL230" s="514"/>
      <c r="LNM230" s="514"/>
      <c r="LNN230" s="514"/>
      <c r="LNO230" s="514"/>
      <c r="LNP230" s="514"/>
      <c r="LNQ230" s="514"/>
      <c r="LNR230" s="514"/>
      <c r="LNS230" s="514"/>
      <c r="LNT230" s="514"/>
      <c r="LNU230" s="514"/>
      <c r="LNV230" s="514"/>
      <c r="LNW230" s="514"/>
      <c r="LNX230" s="514"/>
      <c r="LNY230" s="514"/>
      <c r="LNZ230" s="514"/>
      <c r="LOA230" s="514"/>
      <c r="LOB230" s="514"/>
      <c r="LOC230" s="514"/>
      <c r="LOD230" s="514"/>
      <c r="LOE230" s="514"/>
      <c r="LOF230" s="514"/>
      <c r="LOG230" s="514"/>
      <c r="LOH230" s="514"/>
      <c r="LOI230" s="514"/>
      <c r="LOJ230" s="514"/>
      <c r="LOK230" s="514"/>
      <c r="LOL230" s="514"/>
      <c r="LOM230" s="514"/>
      <c r="LON230" s="514"/>
      <c r="LOO230" s="514"/>
      <c r="LOP230" s="514"/>
      <c r="LOQ230" s="514"/>
      <c r="LOR230" s="514"/>
      <c r="LOS230" s="514"/>
      <c r="LOT230" s="514"/>
      <c r="LOU230" s="514"/>
      <c r="LOV230" s="514"/>
      <c r="LOW230" s="514"/>
      <c r="LOX230" s="514"/>
      <c r="LOY230" s="514"/>
      <c r="LOZ230" s="514"/>
      <c r="LPA230" s="514"/>
      <c r="LPB230" s="514"/>
      <c r="LPC230" s="514"/>
      <c r="LPD230" s="514"/>
      <c r="LPE230" s="514"/>
      <c r="LPF230" s="514"/>
      <c r="LPG230" s="514"/>
      <c r="LPH230" s="514"/>
      <c r="LPI230" s="514"/>
      <c r="LPJ230" s="514"/>
      <c r="LPK230" s="514"/>
      <c r="LPL230" s="514"/>
      <c r="LPM230" s="514"/>
      <c r="LPN230" s="514"/>
      <c r="LPO230" s="514"/>
      <c r="LPP230" s="514"/>
      <c r="LPQ230" s="514"/>
      <c r="LPR230" s="514"/>
      <c r="LPS230" s="514"/>
      <c r="LPT230" s="514"/>
      <c r="LPU230" s="514"/>
      <c r="LPV230" s="514"/>
      <c r="LPW230" s="514"/>
      <c r="LPX230" s="514"/>
      <c r="LPY230" s="514"/>
      <c r="LPZ230" s="514"/>
      <c r="LQA230" s="514"/>
      <c r="LQB230" s="514"/>
      <c r="LQC230" s="514"/>
      <c r="LQD230" s="514"/>
      <c r="LQE230" s="514"/>
      <c r="LQF230" s="514"/>
      <c r="LQG230" s="514"/>
      <c r="LQH230" s="514"/>
      <c r="LQI230" s="514"/>
      <c r="LQJ230" s="514"/>
      <c r="LQK230" s="514"/>
      <c r="LQL230" s="514"/>
      <c r="LQM230" s="514"/>
      <c r="LQN230" s="514"/>
      <c r="LQO230" s="514"/>
      <c r="LQP230" s="514"/>
      <c r="LQQ230" s="514"/>
      <c r="LQR230" s="514"/>
      <c r="LQS230" s="514"/>
      <c r="LQT230" s="514"/>
      <c r="LQU230" s="514"/>
      <c r="LQV230" s="514"/>
      <c r="LQW230" s="514"/>
      <c r="LQX230" s="514"/>
      <c r="LQY230" s="514"/>
      <c r="LQZ230" s="514"/>
      <c r="LRA230" s="514"/>
      <c r="LRB230" s="514"/>
      <c r="LRC230" s="514"/>
      <c r="LRD230" s="514"/>
      <c r="LRE230" s="514"/>
      <c r="LRF230" s="514"/>
      <c r="LRG230" s="514"/>
      <c r="LRH230" s="514"/>
      <c r="LRI230" s="514"/>
      <c r="LRJ230" s="514"/>
      <c r="LRK230" s="514"/>
      <c r="LRL230" s="514"/>
      <c r="LRM230" s="514"/>
      <c r="LRN230" s="514"/>
      <c r="LRO230" s="514"/>
      <c r="LRP230" s="514"/>
      <c r="LRQ230" s="514"/>
      <c r="LRR230" s="514"/>
      <c r="LRS230" s="514"/>
      <c r="LRT230" s="514"/>
      <c r="LRU230" s="514"/>
      <c r="LRV230" s="514"/>
      <c r="LRW230" s="514"/>
      <c r="LRX230" s="514"/>
      <c r="LRY230" s="514"/>
      <c r="LRZ230" s="514"/>
      <c r="LSA230" s="514"/>
      <c r="LSB230" s="514"/>
      <c r="LSC230" s="514"/>
      <c r="LSD230" s="514"/>
      <c r="LSE230" s="514"/>
      <c r="LSF230" s="514"/>
      <c r="LSG230" s="514"/>
      <c r="LSH230" s="514"/>
      <c r="LSI230" s="514"/>
      <c r="LSJ230" s="514"/>
      <c r="LSK230" s="514"/>
      <c r="LSL230" s="514"/>
      <c r="LSM230" s="514"/>
      <c r="LSN230" s="514"/>
      <c r="LSO230" s="514"/>
      <c r="LSP230" s="514"/>
      <c r="LSQ230" s="514"/>
      <c r="LSR230" s="514"/>
      <c r="LSS230" s="514"/>
      <c r="LST230" s="514"/>
      <c r="LSU230" s="514"/>
      <c r="LSV230" s="514"/>
      <c r="LSW230" s="514"/>
      <c r="LSX230" s="514"/>
      <c r="LSY230" s="514"/>
      <c r="LSZ230" s="514"/>
      <c r="LTA230" s="514"/>
      <c r="LTB230" s="514"/>
      <c r="LTC230" s="514"/>
      <c r="LTD230" s="514"/>
      <c r="LTE230" s="514"/>
      <c r="LTF230" s="514"/>
      <c r="LTG230" s="514"/>
      <c r="LTH230" s="514"/>
      <c r="LTI230" s="514"/>
      <c r="LTJ230" s="514"/>
      <c r="LTK230" s="514"/>
      <c r="LTL230" s="514"/>
      <c r="LTM230" s="514"/>
      <c r="LTN230" s="514"/>
      <c r="LTO230" s="514"/>
      <c r="LTP230" s="514"/>
      <c r="LTQ230" s="514"/>
      <c r="LTR230" s="514"/>
      <c r="LTS230" s="514"/>
      <c r="LTT230" s="514"/>
      <c r="LTU230" s="514"/>
      <c r="LTV230" s="514"/>
      <c r="LTW230" s="514"/>
      <c r="LTX230" s="514"/>
      <c r="LTY230" s="514"/>
      <c r="LTZ230" s="514"/>
      <c r="LUA230" s="514"/>
      <c r="LUB230" s="514"/>
      <c r="LUC230" s="514"/>
      <c r="LUD230" s="514"/>
      <c r="LUE230" s="514"/>
      <c r="LUF230" s="514"/>
      <c r="LUG230" s="514"/>
      <c r="LUH230" s="514"/>
      <c r="LUI230" s="514"/>
      <c r="LUJ230" s="514"/>
      <c r="LUK230" s="514"/>
      <c r="LUL230" s="514"/>
      <c r="LUM230" s="514"/>
      <c r="LUN230" s="514"/>
      <c r="LUO230" s="514"/>
      <c r="LUP230" s="514"/>
      <c r="LUQ230" s="514"/>
      <c r="LUR230" s="514"/>
      <c r="LUS230" s="514"/>
      <c r="LUT230" s="514"/>
      <c r="LUU230" s="514"/>
      <c r="LUV230" s="514"/>
      <c r="LUW230" s="514"/>
      <c r="LUX230" s="514"/>
      <c r="LUY230" s="514"/>
      <c r="LUZ230" s="514"/>
      <c r="LVA230" s="514"/>
      <c r="LVB230" s="514"/>
      <c r="LVC230" s="514"/>
      <c r="LVD230" s="514"/>
      <c r="LVE230" s="514"/>
      <c r="LVF230" s="514"/>
      <c r="LVG230" s="514"/>
      <c r="LVH230" s="514"/>
      <c r="LVI230" s="514"/>
      <c r="LVJ230" s="514"/>
      <c r="LVK230" s="514"/>
      <c r="LVL230" s="514"/>
      <c r="LVM230" s="514"/>
      <c r="LVN230" s="514"/>
      <c r="LVO230" s="514"/>
      <c r="LVP230" s="514"/>
      <c r="LVQ230" s="514"/>
      <c r="LVR230" s="514"/>
      <c r="LVS230" s="514"/>
      <c r="LVT230" s="514"/>
      <c r="LVU230" s="514"/>
      <c r="LVV230" s="514"/>
      <c r="LVW230" s="514"/>
      <c r="LVX230" s="514"/>
      <c r="LVY230" s="514"/>
      <c r="LVZ230" s="514"/>
      <c r="LWA230" s="514"/>
      <c r="LWB230" s="514"/>
      <c r="LWC230" s="514"/>
      <c r="LWD230" s="514"/>
      <c r="LWE230" s="514"/>
      <c r="LWF230" s="514"/>
      <c r="LWG230" s="514"/>
      <c r="LWH230" s="514"/>
      <c r="LWI230" s="514"/>
      <c r="LWJ230" s="514"/>
      <c r="LWK230" s="514"/>
      <c r="LWL230" s="514"/>
      <c r="LWM230" s="514"/>
      <c r="LWN230" s="514"/>
      <c r="LWO230" s="514"/>
      <c r="LWP230" s="514"/>
      <c r="LWQ230" s="514"/>
      <c r="LWR230" s="514"/>
      <c r="LWS230" s="514"/>
      <c r="LWT230" s="514"/>
      <c r="LWU230" s="514"/>
      <c r="LWV230" s="514"/>
      <c r="LWW230" s="514"/>
      <c r="LWX230" s="514"/>
      <c r="LWY230" s="514"/>
      <c r="LWZ230" s="514"/>
      <c r="LXA230" s="514"/>
      <c r="LXB230" s="514"/>
      <c r="LXC230" s="514"/>
      <c r="LXD230" s="514"/>
      <c r="LXE230" s="514"/>
      <c r="LXF230" s="514"/>
      <c r="LXG230" s="514"/>
      <c r="LXH230" s="514"/>
      <c r="LXI230" s="514"/>
      <c r="LXJ230" s="514"/>
      <c r="LXK230" s="514"/>
      <c r="LXL230" s="514"/>
      <c r="LXM230" s="514"/>
      <c r="LXN230" s="514"/>
      <c r="LXO230" s="514"/>
      <c r="LXP230" s="514"/>
      <c r="LXQ230" s="514"/>
      <c r="LXR230" s="514"/>
      <c r="LXS230" s="514"/>
      <c r="LXT230" s="514"/>
      <c r="LXU230" s="514"/>
      <c r="LXV230" s="514"/>
      <c r="LXW230" s="514"/>
      <c r="LXX230" s="514"/>
      <c r="LXY230" s="514"/>
      <c r="LXZ230" s="514"/>
      <c r="LYA230" s="514"/>
      <c r="LYB230" s="514"/>
      <c r="LYC230" s="514"/>
      <c r="LYD230" s="514"/>
      <c r="LYE230" s="514"/>
      <c r="LYF230" s="514"/>
      <c r="LYG230" s="514"/>
      <c r="LYH230" s="514"/>
      <c r="LYI230" s="514"/>
      <c r="LYJ230" s="514"/>
      <c r="LYK230" s="514"/>
      <c r="LYL230" s="514"/>
      <c r="LYM230" s="514"/>
      <c r="LYN230" s="514"/>
      <c r="LYO230" s="514"/>
      <c r="LYP230" s="514"/>
      <c r="LYQ230" s="514"/>
      <c r="LYR230" s="514"/>
      <c r="LYS230" s="514"/>
      <c r="LYT230" s="514"/>
      <c r="LYU230" s="514"/>
      <c r="LYV230" s="514"/>
      <c r="LYW230" s="514"/>
      <c r="LYX230" s="514"/>
      <c r="LYY230" s="514"/>
      <c r="LYZ230" s="514"/>
      <c r="LZA230" s="514"/>
      <c r="LZB230" s="514"/>
      <c r="LZC230" s="514"/>
      <c r="LZD230" s="514"/>
      <c r="LZE230" s="514"/>
      <c r="LZF230" s="514"/>
      <c r="LZG230" s="514"/>
      <c r="LZH230" s="514"/>
      <c r="LZI230" s="514"/>
      <c r="LZJ230" s="514"/>
      <c r="LZK230" s="514"/>
      <c r="LZL230" s="514"/>
      <c r="LZM230" s="514"/>
      <c r="LZN230" s="514"/>
      <c r="LZO230" s="514"/>
      <c r="LZP230" s="514"/>
      <c r="LZQ230" s="514"/>
      <c r="LZR230" s="514"/>
      <c r="LZS230" s="514"/>
      <c r="LZT230" s="514"/>
      <c r="LZU230" s="514"/>
      <c r="LZV230" s="514"/>
      <c r="LZW230" s="514"/>
      <c r="LZX230" s="514"/>
      <c r="LZY230" s="514"/>
      <c r="LZZ230" s="514"/>
      <c r="MAA230" s="514"/>
      <c r="MAB230" s="514"/>
      <c r="MAC230" s="514"/>
      <c r="MAD230" s="514"/>
      <c r="MAE230" s="514"/>
      <c r="MAF230" s="514"/>
      <c r="MAG230" s="514"/>
      <c r="MAH230" s="514"/>
      <c r="MAI230" s="514"/>
      <c r="MAJ230" s="514"/>
      <c r="MAK230" s="514"/>
      <c r="MAL230" s="514"/>
      <c r="MAM230" s="514"/>
      <c r="MAN230" s="514"/>
      <c r="MAO230" s="514"/>
      <c r="MAP230" s="514"/>
      <c r="MAQ230" s="514"/>
      <c r="MAR230" s="514"/>
      <c r="MAS230" s="514"/>
      <c r="MAT230" s="514"/>
      <c r="MAU230" s="514"/>
      <c r="MAV230" s="514"/>
      <c r="MAW230" s="514"/>
      <c r="MAX230" s="514"/>
      <c r="MAY230" s="514"/>
      <c r="MAZ230" s="514"/>
      <c r="MBA230" s="514"/>
      <c r="MBB230" s="514"/>
      <c r="MBC230" s="514"/>
      <c r="MBD230" s="514"/>
      <c r="MBE230" s="514"/>
      <c r="MBF230" s="514"/>
      <c r="MBG230" s="514"/>
      <c r="MBH230" s="514"/>
      <c r="MBI230" s="514"/>
      <c r="MBJ230" s="514"/>
      <c r="MBK230" s="514"/>
      <c r="MBL230" s="514"/>
      <c r="MBM230" s="514"/>
      <c r="MBN230" s="514"/>
      <c r="MBO230" s="514"/>
      <c r="MBP230" s="514"/>
      <c r="MBQ230" s="514"/>
      <c r="MBR230" s="514"/>
      <c r="MBS230" s="514"/>
      <c r="MBT230" s="514"/>
      <c r="MBU230" s="514"/>
      <c r="MBV230" s="514"/>
      <c r="MBW230" s="514"/>
      <c r="MBX230" s="514"/>
      <c r="MBY230" s="514"/>
      <c r="MBZ230" s="514"/>
      <c r="MCA230" s="514"/>
      <c r="MCB230" s="514"/>
      <c r="MCC230" s="514"/>
      <c r="MCD230" s="514"/>
      <c r="MCE230" s="514"/>
      <c r="MCF230" s="514"/>
      <c r="MCG230" s="514"/>
      <c r="MCH230" s="514"/>
      <c r="MCI230" s="514"/>
      <c r="MCJ230" s="514"/>
      <c r="MCK230" s="514"/>
      <c r="MCL230" s="514"/>
      <c r="MCM230" s="514"/>
      <c r="MCN230" s="514"/>
      <c r="MCO230" s="514"/>
      <c r="MCP230" s="514"/>
      <c r="MCQ230" s="514"/>
      <c r="MCR230" s="514"/>
      <c r="MCS230" s="514"/>
      <c r="MCT230" s="514"/>
      <c r="MCU230" s="514"/>
      <c r="MCV230" s="514"/>
      <c r="MCW230" s="514"/>
      <c r="MCX230" s="514"/>
      <c r="MCY230" s="514"/>
      <c r="MCZ230" s="514"/>
      <c r="MDA230" s="514"/>
      <c r="MDB230" s="514"/>
      <c r="MDC230" s="514"/>
      <c r="MDD230" s="514"/>
      <c r="MDE230" s="514"/>
      <c r="MDF230" s="514"/>
      <c r="MDG230" s="514"/>
      <c r="MDH230" s="514"/>
      <c r="MDI230" s="514"/>
      <c r="MDJ230" s="514"/>
      <c r="MDK230" s="514"/>
      <c r="MDL230" s="514"/>
      <c r="MDM230" s="514"/>
      <c r="MDN230" s="514"/>
      <c r="MDO230" s="514"/>
      <c r="MDP230" s="514"/>
      <c r="MDQ230" s="514"/>
      <c r="MDR230" s="514"/>
      <c r="MDS230" s="514"/>
      <c r="MDT230" s="514"/>
      <c r="MDU230" s="514"/>
      <c r="MDV230" s="514"/>
      <c r="MDW230" s="514"/>
      <c r="MDX230" s="514"/>
      <c r="MDY230" s="514"/>
      <c r="MDZ230" s="514"/>
      <c r="MEA230" s="514"/>
      <c r="MEB230" s="514"/>
      <c r="MEC230" s="514"/>
      <c r="MED230" s="514"/>
      <c r="MEE230" s="514"/>
      <c r="MEF230" s="514"/>
      <c r="MEG230" s="514"/>
      <c r="MEH230" s="514"/>
      <c r="MEI230" s="514"/>
      <c r="MEJ230" s="514"/>
      <c r="MEK230" s="514"/>
      <c r="MEL230" s="514"/>
      <c r="MEM230" s="514"/>
      <c r="MEN230" s="514"/>
      <c r="MEO230" s="514"/>
      <c r="MEP230" s="514"/>
      <c r="MEQ230" s="514"/>
      <c r="MER230" s="514"/>
      <c r="MES230" s="514"/>
      <c r="MET230" s="514"/>
      <c r="MEU230" s="514"/>
      <c r="MEV230" s="514"/>
      <c r="MEW230" s="514"/>
      <c r="MEX230" s="514"/>
      <c r="MEY230" s="514"/>
      <c r="MEZ230" s="514"/>
      <c r="MFA230" s="514"/>
      <c r="MFB230" s="514"/>
      <c r="MFC230" s="514"/>
      <c r="MFD230" s="514"/>
      <c r="MFE230" s="514"/>
      <c r="MFF230" s="514"/>
      <c r="MFG230" s="514"/>
      <c r="MFH230" s="514"/>
      <c r="MFI230" s="514"/>
      <c r="MFJ230" s="514"/>
      <c r="MFK230" s="514"/>
      <c r="MFL230" s="514"/>
      <c r="MFM230" s="514"/>
      <c r="MFN230" s="514"/>
      <c r="MFO230" s="514"/>
      <c r="MFP230" s="514"/>
      <c r="MFQ230" s="514"/>
      <c r="MFR230" s="514"/>
      <c r="MFS230" s="514"/>
      <c r="MFT230" s="514"/>
      <c r="MFU230" s="514"/>
      <c r="MFV230" s="514"/>
      <c r="MFW230" s="514"/>
      <c r="MFX230" s="514"/>
      <c r="MFY230" s="514"/>
      <c r="MFZ230" s="514"/>
      <c r="MGA230" s="514"/>
      <c r="MGB230" s="514"/>
      <c r="MGC230" s="514"/>
      <c r="MGD230" s="514"/>
      <c r="MGE230" s="514"/>
      <c r="MGF230" s="514"/>
      <c r="MGG230" s="514"/>
      <c r="MGH230" s="514"/>
      <c r="MGI230" s="514"/>
      <c r="MGJ230" s="514"/>
      <c r="MGK230" s="514"/>
      <c r="MGL230" s="514"/>
      <c r="MGM230" s="514"/>
      <c r="MGN230" s="514"/>
      <c r="MGO230" s="514"/>
      <c r="MGP230" s="514"/>
      <c r="MGQ230" s="514"/>
      <c r="MGR230" s="514"/>
      <c r="MGS230" s="514"/>
      <c r="MGT230" s="514"/>
      <c r="MGU230" s="514"/>
      <c r="MGV230" s="514"/>
      <c r="MGW230" s="514"/>
      <c r="MGX230" s="514"/>
      <c r="MGY230" s="514"/>
      <c r="MGZ230" s="514"/>
      <c r="MHA230" s="514"/>
      <c r="MHB230" s="514"/>
      <c r="MHC230" s="514"/>
      <c r="MHD230" s="514"/>
      <c r="MHE230" s="514"/>
      <c r="MHF230" s="514"/>
      <c r="MHG230" s="514"/>
      <c r="MHH230" s="514"/>
      <c r="MHI230" s="514"/>
      <c r="MHJ230" s="514"/>
      <c r="MHK230" s="514"/>
      <c r="MHL230" s="514"/>
      <c r="MHM230" s="514"/>
      <c r="MHN230" s="514"/>
      <c r="MHO230" s="514"/>
      <c r="MHP230" s="514"/>
      <c r="MHQ230" s="514"/>
      <c r="MHR230" s="514"/>
      <c r="MHS230" s="514"/>
      <c r="MHT230" s="514"/>
      <c r="MHU230" s="514"/>
      <c r="MHV230" s="514"/>
      <c r="MHW230" s="514"/>
      <c r="MHX230" s="514"/>
      <c r="MHY230" s="514"/>
      <c r="MHZ230" s="514"/>
      <c r="MIA230" s="514"/>
      <c r="MIB230" s="514"/>
      <c r="MIC230" s="514"/>
      <c r="MID230" s="514"/>
      <c r="MIE230" s="514"/>
      <c r="MIF230" s="514"/>
      <c r="MIG230" s="514"/>
      <c r="MIH230" s="514"/>
      <c r="MII230" s="514"/>
      <c r="MIJ230" s="514"/>
      <c r="MIK230" s="514"/>
      <c r="MIL230" s="514"/>
      <c r="MIM230" s="514"/>
      <c r="MIN230" s="514"/>
      <c r="MIO230" s="514"/>
      <c r="MIP230" s="514"/>
      <c r="MIQ230" s="514"/>
      <c r="MIR230" s="514"/>
      <c r="MIS230" s="514"/>
      <c r="MIT230" s="514"/>
      <c r="MIU230" s="514"/>
      <c r="MIV230" s="514"/>
      <c r="MIW230" s="514"/>
      <c r="MIX230" s="514"/>
      <c r="MIY230" s="514"/>
      <c r="MIZ230" s="514"/>
      <c r="MJA230" s="514"/>
      <c r="MJB230" s="514"/>
      <c r="MJC230" s="514"/>
      <c r="MJD230" s="514"/>
      <c r="MJE230" s="514"/>
      <c r="MJF230" s="514"/>
      <c r="MJG230" s="514"/>
      <c r="MJH230" s="514"/>
      <c r="MJI230" s="514"/>
      <c r="MJJ230" s="514"/>
      <c r="MJK230" s="514"/>
      <c r="MJL230" s="514"/>
      <c r="MJM230" s="514"/>
      <c r="MJN230" s="514"/>
      <c r="MJO230" s="514"/>
      <c r="MJP230" s="514"/>
      <c r="MJQ230" s="514"/>
      <c r="MJR230" s="514"/>
      <c r="MJS230" s="514"/>
      <c r="MJT230" s="514"/>
      <c r="MJU230" s="514"/>
      <c r="MJV230" s="514"/>
      <c r="MJW230" s="514"/>
      <c r="MJX230" s="514"/>
      <c r="MJY230" s="514"/>
      <c r="MJZ230" s="514"/>
      <c r="MKA230" s="514"/>
      <c r="MKB230" s="514"/>
      <c r="MKC230" s="514"/>
      <c r="MKD230" s="514"/>
      <c r="MKE230" s="514"/>
      <c r="MKF230" s="514"/>
      <c r="MKG230" s="514"/>
      <c r="MKH230" s="514"/>
      <c r="MKI230" s="514"/>
      <c r="MKJ230" s="514"/>
      <c r="MKK230" s="514"/>
      <c r="MKL230" s="514"/>
      <c r="MKM230" s="514"/>
      <c r="MKN230" s="514"/>
      <c r="MKO230" s="514"/>
      <c r="MKP230" s="514"/>
      <c r="MKQ230" s="514"/>
      <c r="MKR230" s="514"/>
      <c r="MKS230" s="514"/>
      <c r="MKT230" s="514"/>
      <c r="MKU230" s="514"/>
      <c r="MKV230" s="514"/>
      <c r="MKW230" s="514"/>
      <c r="MKX230" s="514"/>
      <c r="MKY230" s="514"/>
      <c r="MKZ230" s="514"/>
      <c r="MLA230" s="514"/>
      <c r="MLB230" s="514"/>
      <c r="MLC230" s="514"/>
      <c r="MLD230" s="514"/>
      <c r="MLE230" s="514"/>
      <c r="MLF230" s="514"/>
      <c r="MLG230" s="514"/>
      <c r="MLH230" s="514"/>
      <c r="MLI230" s="514"/>
      <c r="MLJ230" s="514"/>
      <c r="MLK230" s="514"/>
      <c r="MLL230" s="514"/>
      <c r="MLM230" s="514"/>
      <c r="MLN230" s="514"/>
      <c r="MLO230" s="514"/>
      <c r="MLP230" s="514"/>
      <c r="MLQ230" s="514"/>
      <c r="MLR230" s="514"/>
      <c r="MLS230" s="514"/>
      <c r="MLT230" s="514"/>
      <c r="MLU230" s="514"/>
      <c r="MLV230" s="514"/>
      <c r="MLW230" s="514"/>
      <c r="MLX230" s="514"/>
      <c r="MLY230" s="514"/>
      <c r="MLZ230" s="514"/>
      <c r="MMA230" s="514"/>
      <c r="MMB230" s="514"/>
      <c r="MMC230" s="514"/>
      <c r="MMD230" s="514"/>
      <c r="MME230" s="514"/>
      <c r="MMF230" s="514"/>
      <c r="MMG230" s="514"/>
      <c r="MMH230" s="514"/>
      <c r="MMI230" s="514"/>
      <c r="MMJ230" s="514"/>
      <c r="MMK230" s="514"/>
      <c r="MML230" s="514"/>
      <c r="MMM230" s="514"/>
      <c r="MMN230" s="514"/>
      <c r="MMO230" s="514"/>
      <c r="MMP230" s="514"/>
      <c r="MMQ230" s="514"/>
      <c r="MMR230" s="514"/>
      <c r="MMS230" s="514"/>
      <c r="MMT230" s="514"/>
      <c r="MMU230" s="514"/>
      <c r="MMV230" s="514"/>
      <c r="MMW230" s="514"/>
      <c r="MMX230" s="514"/>
      <c r="MMY230" s="514"/>
      <c r="MMZ230" s="514"/>
      <c r="MNA230" s="514"/>
      <c r="MNB230" s="514"/>
      <c r="MNC230" s="514"/>
      <c r="MND230" s="514"/>
      <c r="MNE230" s="514"/>
      <c r="MNF230" s="514"/>
      <c r="MNG230" s="514"/>
      <c r="MNH230" s="514"/>
      <c r="MNI230" s="514"/>
      <c r="MNJ230" s="514"/>
      <c r="MNK230" s="514"/>
      <c r="MNL230" s="514"/>
      <c r="MNM230" s="514"/>
      <c r="MNN230" s="514"/>
      <c r="MNO230" s="514"/>
      <c r="MNP230" s="514"/>
      <c r="MNQ230" s="514"/>
      <c r="MNR230" s="514"/>
      <c r="MNS230" s="514"/>
      <c r="MNT230" s="514"/>
      <c r="MNU230" s="514"/>
      <c r="MNV230" s="514"/>
      <c r="MNW230" s="514"/>
      <c r="MNX230" s="514"/>
      <c r="MNY230" s="514"/>
      <c r="MNZ230" s="514"/>
      <c r="MOA230" s="514"/>
      <c r="MOB230" s="514"/>
      <c r="MOC230" s="514"/>
      <c r="MOD230" s="514"/>
      <c r="MOE230" s="514"/>
      <c r="MOF230" s="514"/>
      <c r="MOG230" s="514"/>
      <c r="MOH230" s="514"/>
      <c r="MOI230" s="514"/>
      <c r="MOJ230" s="514"/>
      <c r="MOK230" s="514"/>
      <c r="MOL230" s="514"/>
      <c r="MOM230" s="514"/>
      <c r="MON230" s="514"/>
      <c r="MOO230" s="514"/>
      <c r="MOP230" s="514"/>
      <c r="MOQ230" s="514"/>
      <c r="MOR230" s="514"/>
      <c r="MOS230" s="514"/>
      <c r="MOT230" s="514"/>
      <c r="MOU230" s="514"/>
      <c r="MOV230" s="514"/>
      <c r="MOW230" s="514"/>
      <c r="MOX230" s="514"/>
      <c r="MOY230" s="514"/>
      <c r="MOZ230" s="514"/>
      <c r="MPA230" s="514"/>
      <c r="MPB230" s="514"/>
      <c r="MPC230" s="514"/>
      <c r="MPD230" s="514"/>
      <c r="MPE230" s="514"/>
      <c r="MPF230" s="514"/>
      <c r="MPG230" s="514"/>
      <c r="MPH230" s="514"/>
      <c r="MPI230" s="514"/>
      <c r="MPJ230" s="514"/>
      <c r="MPK230" s="514"/>
      <c r="MPL230" s="514"/>
      <c r="MPM230" s="514"/>
      <c r="MPN230" s="514"/>
      <c r="MPO230" s="514"/>
      <c r="MPP230" s="514"/>
      <c r="MPQ230" s="514"/>
      <c r="MPR230" s="514"/>
      <c r="MPS230" s="514"/>
      <c r="MPT230" s="514"/>
      <c r="MPU230" s="514"/>
      <c r="MPV230" s="514"/>
      <c r="MPW230" s="514"/>
      <c r="MPX230" s="514"/>
      <c r="MPY230" s="514"/>
      <c r="MPZ230" s="514"/>
      <c r="MQA230" s="514"/>
      <c r="MQB230" s="514"/>
      <c r="MQC230" s="514"/>
      <c r="MQD230" s="514"/>
      <c r="MQE230" s="514"/>
      <c r="MQF230" s="514"/>
      <c r="MQG230" s="514"/>
      <c r="MQH230" s="514"/>
      <c r="MQI230" s="514"/>
      <c r="MQJ230" s="514"/>
      <c r="MQK230" s="514"/>
      <c r="MQL230" s="514"/>
      <c r="MQM230" s="514"/>
      <c r="MQN230" s="514"/>
      <c r="MQO230" s="514"/>
      <c r="MQP230" s="514"/>
      <c r="MQQ230" s="514"/>
      <c r="MQR230" s="514"/>
      <c r="MQS230" s="514"/>
      <c r="MQT230" s="514"/>
      <c r="MQU230" s="514"/>
      <c r="MQV230" s="514"/>
      <c r="MQW230" s="514"/>
      <c r="MQX230" s="514"/>
      <c r="MQY230" s="514"/>
      <c r="MQZ230" s="514"/>
      <c r="MRA230" s="514"/>
      <c r="MRB230" s="514"/>
      <c r="MRC230" s="514"/>
      <c r="MRD230" s="514"/>
      <c r="MRE230" s="514"/>
      <c r="MRF230" s="514"/>
      <c r="MRG230" s="514"/>
      <c r="MRH230" s="514"/>
      <c r="MRI230" s="514"/>
      <c r="MRJ230" s="514"/>
      <c r="MRK230" s="514"/>
      <c r="MRL230" s="514"/>
      <c r="MRM230" s="514"/>
      <c r="MRN230" s="514"/>
      <c r="MRO230" s="514"/>
      <c r="MRP230" s="514"/>
      <c r="MRQ230" s="514"/>
      <c r="MRR230" s="514"/>
      <c r="MRS230" s="514"/>
      <c r="MRT230" s="514"/>
      <c r="MRU230" s="514"/>
      <c r="MRV230" s="514"/>
      <c r="MRW230" s="514"/>
      <c r="MRX230" s="514"/>
      <c r="MRY230" s="514"/>
      <c r="MRZ230" s="514"/>
      <c r="MSA230" s="514"/>
      <c r="MSB230" s="514"/>
      <c r="MSC230" s="514"/>
      <c r="MSD230" s="514"/>
      <c r="MSE230" s="514"/>
      <c r="MSF230" s="514"/>
      <c r="MSG230" s="514"/>
      <c r="MSH230" s="514"/>
      <c r="MSI230" s="514"/>
      <c r="MSJ230" s="514"/>
      <c r="MSK230" s="514"/>
      <c r="MSL230" s="514"/>
      <c r="MSM230" s="514"/>
      <c r="MSN230" s="514"/>
      <c r="MSO230" s="514"/>
      <c r="MSP230" s="514"/>
      <c r="MSQ230" s="514"/>
      <c r="MSR230" s="514"/>
      <c r="MSS230" s="514"/>
      <c r="MST230" s="514"/>
      <c r="MSU230" s="514"/>
      <c r="MSV230" s="514"/>
      <c r="MSW230" s="514"/>
      <c r="MSX230" s="514"/>
      <c r="MSY230" s="514"/>
      <c r="MSZ230" s="514"/>
      <c r="MTA230" s="514"/>
      <c r="MTB230" s="514"/>
      <c r="MTC230" s="514"/>
      <c r="MTD230" s="514"/>
      <c r="MTE230" s="514"/>
      <c r="MTF230" s="514"/>
      <c r="MTG230" s="514"/>
      <c r="MTH230" s="514"/>
      <c r="MTI230" s="514"/>
      <c r="MTJ230" s="514"/>
      <c r="MTK230" s="514"/>
      <c r="MTL230" s="514"/>
      <c r="MTM230" s="514"/>
      <c r="MTN230" s="514"/>
      <c r="MTO230" s="514"/>
      <c r="MTP230" s="514"/>
      <c r="MTQ230" s="514"/>
      <c r="MTR230" s="514"/>
      <c r="MTS230" s="514"/>
      <c r="MTT230" s="514"/>
      <c r="MTU230" s="514"/>
      <c r="MTV230" s="514"/>
      <c r="MTW230" s="514"/>
      <c r="MTX230" s="514"/>
      <c r="MTY230" s="514"/>
      <c r="MTZ230" s="514"/>
      <c r="MUA230" s="514"/>
      <c r="MUB230" s="514"/>
      <c r="MUC230" s="514"/>
      <c r="MUD230" s="514"/>
      <c r="MUE230" s="514"/>
      <c r="MUF230" s="514"/>
      <c r="MUG230" s="514"/>
      <c r="MUH230" s="514"/>
      <c r="MUI230" s="514"/>
      <c r="MUJ230" s="514"/>
      <c r="MUK230" s="514"/>
      <c r="MUL230" s="514"/>
      <c r="MUM230" s="514"/>
      <c r="MUN230" s="514"/>
      <c r="MUO230" s="514"/>
      <c r="MUP230" s="514"/>
      <c r="MUQ230" s="514"/>
      <c r="MUR230" s="514"/>
      <c r="MUS230" s="514"/>
      <c r="MUT230" s="514"/>
      <c r="MUU230" s="514"/>
      <c r="MUV230" s="514"/>
      <c r="MUW230" s="514"/>
      <c r="MUX230" s="514"/>
      <c r="MUY230" s="514"/>
      <c r="MUZ230" s="514"/>
      <c r="MVA230" s="514"/>
      <c r="MVB230" s="514"/>
      <c r="MVC230" s="514"/>
      <c r="MVD230" s="514"/>
      <c r="MVE230" s="514"/>
      <c r="MVF230" s="514"/>
      <c r="MVG230" s="514"/>
      <c r="MVH230" s="514"/>
      <c r="MVI230" s="514"/>
      <c r="MVJ230" s="514"/>
      <c r="MVK230" s="514"/>
      <c r="MVL230" s="514"/>
      <c r="MVM230" s="514"/>
      <c r="MVN230" s="514"/>
      <c r="MVO230" s="514"/>
      <c r="MVP230" s="514"/>
      <c r="MVQ230" s="514"/>
      <c r="MVR230" s="514"/>
      <c r="MVS230" s="514"/>
      <c r="MVT230" s="514"/>
      <c r="MVU230" s="514"/>
      <c r="MVV230" s="514"/>
      <c r="MVW230" s="514"/>
      <c r="MVX230" s="514"/>
      <c r="MVY230" s="514"/>
      <c r="MVZ230" s="514"/>
      <c r="MWA230" s="514"/>
      <c r="MWB230" s="514"/>
      <c r="MWC230" s="514"/>
      <c r="MWD230" s="514"/>
      <c r="MWE230" s="514"/>
      <c r="MWF230" s="514"/>
      <c r="MWG230" s="514"/>
      <c r="MWH230" s="514"/>
      <c r="MWI230" s="514"/>
      <c r="MWJ230" s="514"/>
      <c r="MWK230" s="514"/>
      <c r="MWL230" s="514"/>
      <c r="MWM230" s="514"/>
      <c r="MWN230" s="514"/>
      <c r="MWO230" s="514"/>
      <c r="MWP230" s="514"/>
      <c r="MWQ230" s="514"/>
      <c r="MWR230" s="514"/>
      <c r="MWS230" s="514"/>
      <c r="MWT230" s="514"/>
      <c r="MWU230" s="514"/>
      <c r="MWV230" s="514"/>
      <c r="MWW230" s="514"/>
      <c r="MWX230" s="514"/>
      <c r="MWY230" s="514"/>
      <c r="MWZ230" s="514"/>
      <c r="MXA230" s="514"/>
      <c r="MXB230" s="514"/>
      <c r="MXC230" s="514"/>
      <c r="MXD230" s="514"/>
      <c r="MXE230" s="514"/>
      <c r="MXF230" s="514"/>
      <c r="MXG230" s="514"/>
      <c r="MXH230" s="514"/>
      <c r="MXI230" s="514"/>
      <c r="MXJ230" s="514"/>
      <c r="MXK230" s="514"/>
      <c r="MXL230" s="514"/>
      <c r="MXM230" s="514"/>
      <c r="MXN230" s="514"/>
      <c r="MXO230" s="514"/>
      <c r="MXP230" s="514"/>
      <c r="MXQ230" s="514"/>
      <c r="MXR230" s="514"/>
      <c r="MXS230" s="514"/>
      <c r="MXT230" s="514"/>
      <c r="MXU230" s="514"/>
      <c r="MXV230" s="514"/>
      <c r="MXW230" s="514"/>
      <c r="MXX230" s="514"/>
      <c r="MXY230" s="514"/>
      <c r="MXZ230" s="514"/>
      <c r="MYA230" s="514"/>
      <c r="MYB230" s="514"/>
      <c r="MYC230" s="514"/>
      <c r="MYD230" s="514"/>
      <c r="MYE230" s="514"/>
      <c r="MYF230" s="514"/>
      <c r="MYG230" s="514"/>
      <c r="MYH230" s="514"/>
      <c r="MYI230" s="514"/>
      <c r="MYJ230" s="514"/>
      <c r="MYK230" s="514"/>
      <c r="MYL230" s="514"/>
      <c r="MYM230" s="514"/>
      <c r="MYN230" s="514"/>
      <c r="MYO230" s="514"/>
      <c r="MYP230" s="514"/>
      <c r="MYQ230" s="514"/>
      <c r="MYR230" s="514"/>
      <c r="MYS230" s="514"/>
      <c r="MYT230" s="514"/>
      <c r="MYU230" s="514"/>
      <c r="MYV230" s="514"/>
      <c r="MYW230" s="514"/>
      <c r="MYX230" s="514"/>
      <c r="MYY230" s="514"/>
      <c r="MYZ230" s="514"/>
      <c r="MZA230" s="514"/>
      <c r="MZB230" s="514"/>
      <c r="MZC230" s="514"/>
      <c r="MZD230" s="514"/>
      <c r="MZE230" s="514"/>
      <c r="MZF230" s="514"/>
      <c r="MZG230" s="514"/>
      <c r="MZH230" s="514"/>
      <c r="MZI230" s="514"/>
      <c r="MZJ230" s="514"/>
      <c r="MZK230" s="514"/>
      <c r="MZL230" s="514"/>
      <c r="MZM230" s="514"/>
      <c r="MZN230" s="514"/>
      <c r="MZO230" s="514"/>
      <c r="MZP230" s="514"/>
      <c r="MZQ230" s="514"/>
      <c r="MZR230" s="514"/>
      <c r="MZS230" s="514"/>
      <c r="MZT230" s="514"/>
      <c r="MZU230" s="514"/>
      <c r="MZV230" s="514"/>
      <c r="MZW230" s="514"/>
      <c r="MZX230" s="514"/>
      <c r="MZY230" s="514"/>
      <c r="MZZ230" s="514"/>
      <c r="NAA230" s="514"/>
      <c r="NAB230" s="514"/>
      <c r="NAC230" s="514"/>
      <c r="NAD230" s="514"/>
      <c r="NAE230" s="514"/>
      <c r="NAF230" s="514"/>
      <c r="NAG230" s="514"/>
      <c r="NAH230" s="514"/>
      <c r="NAI230" s="514"/>
      <c r="NAJ230" s="514"/>
      <c r="NAK230" s="514"/>
      <c r="NAL230" s="514"/>
      <c r="NAM230" s="514"/>
      <c r="NAN230" s="514"/>
      <c r="NAO230" s="514"/>
      <c r="NAP230" s="514"/>
      <c r="NAQ230" s="514"/>
      <c r="NAR230" s="514"/>
      <c r="NAS230" s="514"/>
      <c r="NAT230" s="514"/>
      <c r="NAU230" s="514"/>
      <c r="NAV230" s="514"/>
      <c r="NAW230" s="514"/>
      <c r="NAX230" s="514"/>
      <c r="NAY230" s="514"/>
      <c r="NAZ230" s="514"/>
      <c r="NBA230" s="514"/>
      <c r="NBB230" s="514"/>
      <c r="NBC230" s="514"/>
      <c r="NBD230" s="514"/>
      <c r="NBE230" s="514"/>
      <c r="NBF230" s="514"/>
      <c r="NBG230" s="514"/>
      <c r="NBH230" s="514"/>
      <c r="NBI230" s="514"/>
      <c r="NBJ230" s="514"/>
      <c r="NBK230" s="514"/>
      <c r="NBL230" s="514"/>
      <c r="NBM230" s="514"/>
      <c r="NBN230" s="514"/>
      <c r="NBO230" s="514"/>
      <c r="NBP230" s="514"/>
      <c r="NBQ230" s="514"/>
      <c r="NBR230" s="514"/>
      <c r="NBS230" s="514"/>
      <c r="NBT230" s="514"/>
      <c r="NBU230" s="514"/>
      <c r="NBV230" s="514"/>
      <c r="NBW230" s="514"/>
      <c r="NBX230" s="514"/>
      <c r="NBY230" s="514"/>
      <c r="NBZ230" s="514"/>
      <c r="NCA230" s="514"/>
      <c r="NCB230" s="514"/>
      <c r="NCC230" s="514"/>
      <c r="NCD230" s="514"/>
      <c r="NCE230" s="514"/>
      <c r="NCF230" s="514"/>
      <c r="NCG230" s="514"/>
      <c r="NCH230" s="514"/>
      <c r="NCI230" s="514"/>
      <c r="NCJ230" s="514"/>
      <c r="NCK230" s="514"/>
      <c r="NCL230" s="514"/>
      <c r="NCM230" s="514"/>
      <c r="NCN230" s="514"/>
      <c r="NCO230" s="514"/>
      <c r="NCP230" s="514"/>
      <c r="NCQ230" s="514"/>
      <c r="NCR230" s="514"/>
      <c r="NCS230" s="514"/>
      <c r="NCT230" s="514"/>
      <c r="NCU230" s="514"/>
      <c r="NCV230" s="514"/>
      <c r="NCW230" s="514"/>
      <c r="NCX230" s="514"/>
      <c r="NCY230" s="514"/>
      <c r="NCZ230" s="514"/>
      <c r="NDA230" s="514"/>
      <c r="NDB230" s="514"/>
      <c r="NDC230" s="514"/>
      <c r="NDD230" s="514"/>
      <c r="NDE230" s="514"/>
      <c r="NDF230" s="514"/>
      <c r="NDG230" s="514"/>
      <c r="NDH230" s="514"/>
      <c r="NDI230" s="514"/>
      <c r="NDJ230" s="514"/>
      <c r="NDK230" s="514"/>
      <c r="NDL230" s="514"/>
      <c r="NDM230" s="514"/>
      <c r="NDN230" s="514"/>
      <c r="NDO230" s="514"/>
      <c r="NDP230" s="514"/>
      <c r="NDQ230" s="514"/>
      <c r="NDR230" s="514"/>
      <c r="NDS230" s="514"/>
      <c r="NDT230" s="514"/>
      <c r="NDU230" s="514"/>
      <c r="NDV230" s="514"/>
      <c r="NDW230" s="514"/>
      <c r="NDX230" s="514"/>
      <c r="NDY230" s="514"/>
      <c r="NDZ230" s="514"/>
      <c r="NEA230" s="514"/>
      <c r="NEB230" s="514"/>
      <c r="NEC230" s="514"/>
      <c r="NED230" s="514"/>
      <c r="NEE230" s="514"/>
      <c r="NEF230" s="514"/>
      <c r="NEG230" s="514"/>
      <c r="NEH230" s="514"/>
      <c r="NEI230" s="514"/>
      <c r="NEJ230" s="514"/>
      <c r="NEK230" s="514"/>
      <c r="NEL230" s="514"/>
      <c r="NEM230" s="514"/>
      <c r="NEN230" s="514"/>
      <c r="NEO230" s="514"/>
      <c r="NEP230" s="514"/>
      <c r="NEQ230" s="514"/>
      <c r="NER230" s="514"/>
      <c r="NES230" s="514"/>
      <c r="NET230" s="514"/>
      <c r="NEU230" s="514"/>
      <c r="NEV230" s="514"/>
      <c r="NEW230" s="514"/>
      <c r="NEX230" s="514"/>
      <c r="NEY230" s="514"/>
      <c r="NEZ230" s="514"/>
      <c r="NFA230" s="514"/>
      <c r="NFB230" s="514"/>
      <c r="NFC230" s="514"/>
      <c r="NFD230" s="514"/>
      <c r="NFE230" s="514"/>
      <c r="NFF230" s="514"/>
      <c r="NFG230" s="514"/>
      <c r="NFH230" s="514"/>
      <c r="NFI230" s="514"/>
      <c r="NFJ230" s="514"/>
      <c r="NFK230" s="514"/>
      <c r="NFL230" s="514"/>
      <c r="NFM230" s="514"/>
      <c r="NFN230" s="514"/>
      <c r="NFO230" s="514"/>
      <c r="NFP230" s="514"/>
      <c r="NFQ230" s="514"/>
      <c r="NFR230" s="514"/>
      <c r="NFS230" s="514"/>
      <c r="NFT230" s="514"/>
      <c r="NFU230" s="514"/>
      <c r="NFV230" s="514"/>
      <c r="NFW230" s="514"/>
      <c r="NFX230" s="514"/>
      <c r="NFY230" s="514"/>
      <c r="NFZ230" s="514"/>
      <c r="NGA230" s="514"/>
      <c r="NGB230" s="514"/>
      <c r="NGC230" s="514"/>
      <c r="NGD230" s="514"/>
      <c r="NGE230" s="514"/>
      <c r="NGF230" s="514"/>
      <c r="NGG230" s="514"/>
      <c r="NGH230" s="514"/>
      <c r="NGI230" s="514"/>
      <c r="NGJ230" s="514"/>
      <c r="NGK230" s="514"/>
      <c r="NGL230" s="514"/>
      <c r="NGM230" s="514"/>
      <c r="NGN230" s="514"/>
      <c r="NGO230" s="514"/>
      <c r="NGP230" s="514"/>
      <c r="NGQ230" s="514"/>
      <c r="NGR230" s="514"/>
      <c r="NGS230" s="514"/>
      <c r="NGT230" s="514"/>
      <c r="NGU230" s="514"/>
      <c r="NGV230" s="514"/>
      <c r="NGW230" s="514"/>
      <c r="NGX230" s="514"/>
      <c r="NGY230" s="514"/>
      <c r="NGZ230" s="514"/>
      <c r="NHA230" s="514"/>
      <c r="NHB230" s="514"/>
      <c r="NHC230" s="514"/>
      <c r="NHD230" s="514"/>
      <c r="NHE230" s="514"/>
      <c r="NHF230" s="514"/>
      <c r="NHG230" s="514"/>
      <c r="NHH230" s="514"/>
      <c r="NHI230" s="514"/>
      <c r="NHJ230" s="514"/>
      <c r="NHK230" s="514"/>
      <c r="NHL230" s="514"/>
      <c r="NHM230" s="514"/>
      <c r="NHN230" s="514"/>
      <c r="NHO230" s="514"/>
      <c r="NHP230" s="514"/>
      <c r="NHQ230" s="514"/>
      <c r="NHR230" s="514"/>
      <c r="NHS230" s="514"/>
      <c r="NHT230" s="514"/>
      <c r="NHU230" s="514"/>
      <c r="NHV230" s="514"/>
      <c r="NHW230" s="514"/>
      <c r="NHX230" s="514"/>
      <c r="NHY230" s="514"/>
      <c r="NHZ230" s="514"/>
      <c r="NIA230" s="514"/>
      <c r="NIB230" s="514"/>
      <c r="NIC230" s="514"/>
      <c r="NID230" s="514"/>
      <c r="NIE230" s="514"/>
      <c r="NIF230" s="514"/>
      <c r="NIG230" s="514"/>
      <c r="NIH230" s="514"/>
      <c r="NII230" s="514"/>
      <c r="NIJ230" s="514"/>
      <c r="NIK230" s="514"/>
      <c r="NIL230" s="514"/>
      <c r="NIM230" s="514"/>
      <c r="NIN230" s="514"/>
      <c r="NIO230" s="514"/>
      <c r="NIP230" s="514"/>
      <c r="NIQ230" s="514"/>
      <c r="NIR230" s="514"/>
      <c r="NIS230" s="514"/>
      <c r="NIT230" s="514"/>
      <c r="NIU230" s="514"/>
      <c r="NIV230" s="514"/>
      <c r="NIW230" s="514"/>
      <c r="NIX230" s="514"/>
      <c r="NIY230" s="514"/>
      <c r="NIZ230" s="514"/>
      <c r="NJA230" s="514"/>
      <c r="NJB230" s="514"/>
      <c r="NJC230" s="514"/>
      <c r="NJD230" s="514"/>
      <c r="NJE230" s="514"/>
      <c r="NJF230" s="514"/>
      <c r="NJG230" s="514"/>
      <c r="NJH230" s="514"/>
      <c r="NJI230" s="514"/>
      <c r="NJJ230" s="514"/>
      <c r="NJK230" s="514"/>
      <c r="NJL230" s="514"/>
      <c r="NJM230" s="514"/>
      <c r="NJN230" s="514"/>
      <c r="NJO230" s="514"/>
      <c r="NJP230" s="514"/>
      <c r="NJQ230" s="514"/>
      <c r="NJR230" s="514"/>
      <c r="NJS230" s="514"/>
      <c r="NJT230" s="514"/>
      <c r="NJU230" s="514"/>
      <c r="NJV230" s="514"/>
      <c r="NJW230" s="514"/>
      <c r="NJX230" s="514"/>
      <c r="NJY230" s="514"/>
      <c r="NJZ230" s="514"/>
      <c r="NKA230" s="514"/>
      <c r="NKB230" s="514"/>
      <c r="NKC230" s="514"/>
      <c r="NKD230" s="514"/>
      <c r="NKE230" s="514"/>
      <c r="NKF230" s="514"/>
      <c r="NKG230" s="514"/>
      <c r="NKH230" s="514"/>
      <c r="NKI230" s="514"/>
      <c r="NKJ230" s="514"/>
      <c r="NKK230" s="514"/>
      <c r="NKL230" s="514"/>
      <c r="NKM230" s="514"/>
      <c r="NKN230" s="514"/>
      <c r="NKO230" s="514"/>
      <c r="NKP230" s="514"/>
      <c r="NKQ230" s="514"/>
      <c r="NKR230" s="514"/>
      <c r="NKS230" s="514"/>
      <c r="NKT230" s="514"/>
      <c r="NKU230" s="514"/>
      <c r="NKV230" s="514"/>
      <c r="NKW230" s="514"/>
      <c r="NKX230" s="514"/>
      <c r="NKY230" s="514"/>
      <c r="NKZ230" s="514"/>
      <c r="NLA230" s="514"/>
      <c r="NLB230" s="514"/>
      <c r="NLC230" s="514"/>
      <c r="NLD230" s="514"/>
      <c r="NLE230" s="514"/>
      <c r="NLF230" s="514"/>
      <c r="NLG230" s="514"/>
      <c r="NLH230" s="514"/>
      <c r="NLI230" s="514"/>
      <c r="NLJ230" s="514"/>
      <c r="NLK230" s="514"/>
      <c r="NLL230" s="514"/>
      <c r="NLM230" s="514"/>
      <c r="NLN230" s="514"/>
      <c r="NLO230" s="514"/>
      <c r="NLP230" s="514"/>
      <c r="NLQ230" s="514"/>
      <c r="NLR230" s="514"/>
      <c r="NLS230" s="514"/>
      <c r="NLT230" s="514"/>
      <c r="NLU230" s="514"/>
      <c r="NLV230" s="514"/>
      <c r="NLW230" s="514"/>
      <c r="NLX230" s="514"/>
      <c r="NLY230" s="514"/>
      <c r="NLZ230" s="514"/>
      <c r="NMA230" s="514"/>
      <c r="NMB230" s="514"/>
      <c r="NMC230" s="514"/>
      <c r="NMD230" s="514"/>
      <c r="NME230" s="514"/>
      <c r="NMF230" s="514"/>
      <c r="NMG230" s="514"/>
      <c r="NMH230" s="514"/>
      <c r="NMI230" s="514"/>
      <c r="NMJ230" s="514"/>
      <c r="NMK230" s="514"/>
      <c r="NML230" s="514"/>
      <c r="NMM230" s="514"/>
      <c r="NMN230" s="514"/>
      <c r="NMO230" s="514"/>
      <c r="NMP230" s="514"/>
      <c r="NMQ230" s="514"/>
      <c r="NMR230" s="514"/>
      <c r="NMS230" s="514"/>
      <c r="NMT230" s="514"/>
      <c r="NMU230" s="514"/>
      <c r="NMV230" s="514"/>
      <c r="NMW230" s="514"/>
      <c r="NMX230" s="514"/>
      <c r="NMY230" s="514"/>
      <c r="NMZ230" s="514"/>
      <c r="NNA230" s="514"/>
      <c r="NNB230" s="514"/>
      <c r="NNC230" s="514"/>
      <c r="NND230" s="514"/>
      <c r="NNE230" s="514"/>
      <c r="NNF230" s="514"/>
      <c r="NNG230" s="514"/>
      <c r="NNH230" s="514"/>
      <c r="NNI230" s="514"/>
      <c r="NNJ230" s="514"/>
      <c r="NNK230" s="514"/>
      <c r="NNL230" s="514"/>
      <c r="NNM230" s="514"/>
      <c r="NNN230" s="514"/>
      <c r="NNO230" s="514"/>
      <c r="NNP230" s="514"/>
      <c r="NNQ230" s="514"/>
      <c r="NNR230" s="514"/>
      <c r="NNS230" s="514"/>
      <c r="NNT230" s="514"/>
      <c r="NNU230" s="514"/>
      <c r="NNV230" s="514"/>
      <c r="NNW230" s="514"/>
      <c r="NNX230" s="514"/>
      <c r="NNY230" s="514"/>
      <c r="NNZ230" s="514"/>
      <c r="NOA230" s="514"/>
      <c r="NOB230" s="514"/>
      <c r="NOC230" s="514"/>
      <c r="NOD230" s="514"/>
      <c r="NOE230" s="514"/>
      <c r="NOF230" s="514"/>
      <c r="NOG230" s="514"/>
      <c r="NOH230" s="514"/>
      <c r="NOI230" s="514"/>
      <c r="NOJ230" s="514"/>
      <c r="NOK230" s="514"/>
      <c r="NOL230" s="514"/>
      <c r="NOM230" s="514"/>
      <c r="NON230" s="514"/>
      <c r="NOO230" s="514"/>
      <c r="NOP230" s="514"/>
      <c r="NOQ230" s="514"/>
      <c r="NOR230" s="514"/>
      <c r="NOS230" s="514"/>
      <c r="NOT230" s="514"/>
      <c r="NOU230" s="514"/>
      <c r="NOV230" s="514"/>
      <c r="NOW230" s="514"/>
      <c r="NOX230" s="514"/>
      <c r="NOY230" s="514"/>
      <c r="NOZ230" s="514"/>
      <c r="NPA230" s="514"/>
      <c r="NPB230" s="514"/>
      <c r="NPC230" s="514"/>
      <c r="NPD230" s="514"/>
      <c r="NPE230" s="514"/>
      <c r="NPF230" s="514"/>
      <c r="NPG230" s="514"/>
      <c r="NPH230" s="514"/>
      <c r="NPI230" s="514"/>
      <c r="NPJ230" s="514"/>
      <c r="NPK230" s="514"/>
      <c r="NPL230" s="514"/>
      <c r="NPM230" s="514"/>
      <c r="NPN230" s="514"/>
      <c r="NPO230" s="514"/>
      <c r="NPP230" s="514"/>
      <c r="NPQ230" s="514"/>
      <c r="NPR230" s="514"/>
      <c r="NPS230" s="514"/>
      <c r="NPT230" s="514"/>
      <c r="NPU230" s="514"/>
      <c r="NPV230" s="514"/>
      <c r="NPW230" s="514"/>
      <c r="NPX230" s="514"/>
      <c r="NPY230" s="514"/>
      <c r="NPZ230" s="514"/>
      <c r="NQA230" s="514"/>
      <c r="NQB230" s="514"/>
      <c r="NQC230" s="514"/>
      <c r="NQD230" s="514"/>
      <c r="NQE230" s="514"/>
      <c r="NQF230" s="514"/>
      <c r="NQG230" s="514"/>
      <c r="NQH230" s="514"/>
      <c r="NQI230" s="514"/>
      <c r="NQJ230" s="514"/>
      <c r="NQK230" s="514"/>
      <c r="NQL230" s="514"/>
      <c r="NQM230" s="514"/>
      <c r="NQN230" s="514"/>
      <c r="NQO230" s="514"/>
      <c r="NQP230" s="514"/>
      <c r="NQQ230" s="514"/>
      <c r="NQR230" s="514"/>
      <c r="NQS230" s="514"/>
      <c r="NQT230" s="514"/>
      <c r="NQU230" s="514"/>
      <c r="NQV230" s="514"/>
      <c r="NQW230" s="514"/>
      <c r="NQX230" s="514"/>
      <c r="NQY230" s="514"/>
      <c r="NQZ230" s="514"/>
      <c r="NRA230" s="514"/>
      <c r="NRB230" s="514"/>
      <c r="NRC230" s="514"/>
      <c r="NRD230" s="514"/>
      <c r="NRE230" s="514"/>
      <c r="NRF230" s="514"/>
      <c r="NRG230" s="514"/>
      <c r="NRH230" s="514"/>
      <c r="NRI230" s="514"/>
      <c r="NRJ230" s="514"/>
      <c r="NRK230" s="514"/>
      <c r="NRL230" s="514"/>
      <c r="NRM230" s="514"/>
      <c r="NRN230" s="514"/>
      <c r="NRO230" s="514"/>
      <c r="NRP230" s="514"/>
      <c r="NRQ230" s="514"/>
      <c r="NRR230" s="514"/>
      <c r="NRS230" s="514"/>
      <c r="NRT230" s="514"/>
      <c r="NRU230" s="514"/>
      <c r="NRV230" s="514"/>
      <c r="NRW230" s="514"/>
      <c r="NRX230" s="514"/>
      <c r="NRY230" s="514"/>
      <c r="NRZ230" s="514"/>
      <c r="NSA230" s="514"/>
      <c r="NSB230" s="514"/>
      <c r="NSC230" s="514"/>
      <c r="NSD230" s="514"/>
      <c r="NSE230" s="514"/>
      <c r="NSF230" s="514"/>
      <c r="NSG230" s="514"/>
      <c r="NSH230" s="514"/>
      <c r="NSI230" s="514"/>
      <c r="NSJ230" s="514"/>
      <c r="NSK230" s="514"/>
      <c r="NSL230" s="514"/>
      <c r="NSM230" s="514"/>
      <c r="NSN230" s="514"/>
      <c r="NSO230" s="514"/>
      <c r="NSP230" s="514"/>
      <c r="NSQ230" s="514"/>
      <c r="NSR230" s="514"/>
      <c r="NSS230" s="514"/>
      <c r="NST230" s="514"/>
      <c r="NSU230" s="514"/>
      <c r="NSV230" s="514"/>
      <c r="NSW230" s="514"/>
      <c r="NSX230" s="514"/>
      <c r="NSY230" s="514"/>
      <c r="NSZ230" s="514"/>
      <c r="NTA230" s="514"/>
      <c r="NTB230" s="514"/>
      <c r="NTC230" s="514"/>
      <c r="NTD230" s="514"/>
      <c r="NTE230" s="514"/>
      <c r="NTF230" s="514"/>
      <c r="NTG230" s="514"/>
      <c r="NTH230" s="514"/>
      <c r="NTI230" s="514"/>
      <c r="NTJ230" s="514"/>
      <c r="NTK230" s="514"/>
      <c r="NTL230" s="514"/>
      <c r="NTM230" s="514"/>
      <c r="NTN230" s="514"/>
      <c r="NTO230" s="514"/>
      <c r="NTP230" s="514"/>
      <c r="NTQ230" s="514"/>
      <c r="NTR230" s="514"/>
      <c r="NTS230" s="514"/>
      <c r="NTT230" s="514"/>
      <c r="NTU230" s="514"/>
      <c r="NTV230" s="514"/>
      <c r="NTW230" s="514"/>
      <c r="NTX230" s="514"/>
      <c r="NTY230" s="514"/>
      <c r="NTZ230" s="514"/>
      <c r="NUA230" s="514"/>
      <c r="NUB230" s="514"/>
      <c r="NUC230" s="514"/>
      <c r="NUD230" s="514"/>
      <c r="NUE230" s="514"/>
      <c r="NUF230" s="514"/>
      <c r="NUG230" s="514"/>
      <c r="NUH230" s="514"/>
      <c r="NUI230" s="514"/>
      <c r="NUJ230" s="514"/>
      <c r="NUK230" s="514"/>
      <c r="NUL230" s="514"/>
      <c r="NUM230" s="514"/>
      <c r="NUN230" s="514"/>
      <c r="NUO230" s="514"/>
      <c r="NUP230" s="514"/>
      <c r="NUQ230" s="514"/>
      <c r="NUR230" s="514"/>
      <c r="NUS230" s="514"/>
      <c r="NUT230" s="514"/>
      <c r="NUU230" s="514"/>
      <c r="NUV230" s="514"/>
      <c r="NUW230" s="514"/>
      <c r="NUX230" s="514"/>
      <c r="NUY230" s="514"/>
      <c r="NUZ230" s="514"/>
      <c r="NVA230" s="514"/>
      <c r="NVB230" s="514"/>
      <c r="NVC230" s="514"/>
      <c r="NVD230" s="514"/>
      <c r="NVE230" s="514"/>
      <c r="NVF230" s="514"/>
      <c r="NVG230" s="514"/>
      <c r="NVH230" s="514"/>
      <c r="NVI230" s="514"/>
      <c r="NVJ230" s="514"/>
      <c r="NVK230" s="514"/>
      <c r="NVL230" s="514"/>
      <c r="NVM230" s="514"/>
      <c r="NVN230" s="514"/>
      <c r="NVO230" s="514"/>
      <c r="NVP230" s="514"/>
      <c r="NVQ230" s="514"/>
      <c r="NVR230" s="514"/>
      <c r="NVS230" s="514"/>
      <c r="NVT230" s="514"/>
      <c r="NVU230" s="514"/>
      <c r="NVV230" s="514"/>
      <c r="NVW230" s="514"/>
      <c r="NVX230" s="514"/>
      <c r="NVY230" s="514"/>
      <c r="NVZ230" s="514"/>
      <c r="NWA230" s="514"/>
      <c r="NWB230" s="514"/>
      <c r="NWC230" s="514"/>
      <c r="NWD230" s="514"/>
      <c r="NWE230" s="514"/>
      <c r="NWF230" s="514"/>
      <c r="NWG230" s="514"/>
      <c r="NWH230" s="514"/>
      <c r="NWI230" s="514"/>
      <c r="NWJ230" s="514"/>
      <c r="NWK230" s="514"/>
      <c r="NWL230" s="514"/>
      <c r="NWM230" s="514"/>
      <c r="NWN230" s="514"/>
      <c r="NWO230" s="514"/>
      <c r="NWP230" s="514"/>
      <c r="NWQ230" s="514"/>
      <c r="NWR230" s="514"/>
      <c r="NWS230" s="514"/>
      <c r="NWT230" s="514"/>
      <c r="NWU230" s="514"/>
      <c r="NWV230" s="514"/>
      <c r="NWW230" s="514"/>
      <c r="NWX230" s="514"/>
      <c r="NWY230" s="514"/>
      <c r="NWZ230" s="514"/>
      <c r="NXA230" s="514"/>
      <c r="NXB230" s="514"/>
      <c r="NXC230" s="514"/>
      <c r="NXD230" s="514"/>
      <c r="NXE230" s="514"/>
      <c r="NXF230" s="514"/>
      <c r="NXG230" s="514"/>
      <c r="NXH230" s="514"/>
      <c r="NXI230" s="514"/>
      <c r="NXJ230" s="514"/>
      <c r="NXK230" s="514"/>
      <c r="NXL230" s="514"/>
      <c r="NXM230" s="514"/>
      <c r="NXN230" s="514"/>
      <c r="NXO230" s="514"/>
      <c r="NXP230" s="514"/>
      <c r="NXQ230" s="514"/>
      <c r="NXR230" s="514"/>
      <c r="NXS230" s="514"/>
      <c r="NXT230" s="514"/>
      <c r="NXU230" s="514"/>
      <c r="NXV230" s="514"/>
      <c r="NXW230" s="514"/>
      <c r="NXX230" s="514"/>
      <c r="NXY230" s="514"/>
      <c r="NXZ230" s="514"/>
      <c r="NYA230" s="514"/>
      <c r="NYB230" s="514"/>
      <c r="NYC230" s="514"/>
      <c r="NYD230" s="514"/>
      <c r="NYE230" s="514"/>
      <c r="NYF230" s="514"/>
      <c r="NYG230" s="514"/>
      <c r="NYH230" s="514"/>
      <c r="NYI230" s="514"/>
      <c r="NYJ230" s="514"/>
      <c r="NYK230" s="514"/>
      <c r="NYL230" s="514"/>
      <c r="NYM230" s="514"/>
      <c r="NYN230" s="514"/>
      <c r="NYO230" s="514"/>
      <c r="NYP230" s="514"/>
      <c r="NYQ230" s="514"/>
      <c r="NYR230" s="514"/>
      <c r="NYS230" s="514"/>
      <c r="NYT230" s="514"/>
      <c r="NYU230" s="514"/>
      <c r="NYV230" s="514"/>
      <c r="NYW230" s="514"/>
      <c r="NYX230" s="514"/>
      <c r="NYY230" s="514"/>
      <c r="NYZ230" s="514"/>
      <c r="NZA230" s="514"/>
      <c r="NZB230" s="514"/>
      <c r="NZC230" s="514"/>
      <c r="NZD230" s="514"/>
      <c r="NZE230" s="514"/>
      <c r="NZF230" s="514"/>
      <c r="NZG230" s="514"/>
      <c r="NZH230" s="514"/>
      <c r="NZI230" s="514"/>
      <c r="NZJ230" s="514"/>
      <c r="NZK230" s="514"/>
      <c r="NZL230" s="514"/>
      <c r="NZM230" s="514"/>
      <c r="NZN230" s="514"/>
      <c r="NZO230" s="514"/>
      <c r="NZP230" s="514"/>
      <c r="NZQ230" s="514"/>
      <c r="NZR230" s="514"/>
      <c r="NZS230" s="514"/>
      <c r="NZT230" s="514"/>
      <c r="NZU230" s="514"/>
      <c r="NZV230" s="514"/>
      <c r="NZW230" s="514"/>
      <c r="NZX230" s="514"/>
      <c r="NZY230" s="514"/>
      <c r="NZZ230" s="514"/>
      <c r="OAA230" s="514"/>
      <c r="OAB230" s="514"/>
      <c r="OAC230" s="514"/>
      <c r="OAD230" s="514"/>
      <c r="OAE230" s="514"/>
      <c r="OAF230" s="514"/>
      <c r="OAG230" s="514"/>
      <c r="OAH230" s="514"/>
      <c r="OAI230" s="514"/>
      <c r="OAJ230" s="514"/>
      <c r="OAK230" s="514"/>
      <c r="OAL230" s="514"/>
      <c r="OAM230" s="514"/>
      <c r="OAN230" s="514"/>
      <c r="OAO230" s="514"/>
      <c r="OAP230" s="514"/>
      <c r="OAQ230" s="514"/>
      <c r="OAR230" s="514"/>
      <c r="OAS230" s="514"/>
      <c r="OAT230" s="514"/>
      <c r="OAU230" s="514"/>
      <c r="OAV230" s="514"/>
      <c r="OAW230" s="514"/>
      <c r="OAX230" s="514"/>
      <c r="OAY230" s="514"/>
      <c r="OAZ230" s="514"/>
      <c r="OBA230" s="514"/>
      <c r="OBB230" s="514"/>
      <c r="OBC230" s="514"/>
      <c r="OBD230" s="514"/>
      <c r="OBE230" s="514"/>
      <c r="OBF230" s="514"/>
      <c r="OBG230" s="514"/>
      <c r="OBH230" s="514"/>
      <c r="OBI230" s="514"/>
      <c r="OBJ230" s="514"/>
      <c r="OBK230" s="514"/>
      <c r="OBL230" s="514"/>
      <c r="OBM230" s="514"/>
      <c r="OBN230" s="514"/>
      <c r="OBO230" s="514"/>
      <c r="OBP230" s="514"/>
      <c r="OBQ230" s="514"/>
      <c r="OBR230" s="514"/>
      <c r="OBS230" s="514"/>
      <c r="OBT230" s="514"/>
      <c r="OBU230" s="514"/>
      <c r="OBV230" s="514"/>
      <c r="OBW230" s="514"/>
      <c r="OBX230" s="514"/>
      <c r="OBY230" s="514"/>
      <c r="OBZ230" s="514"/>
      <c r="OCA230" s="514"/>
      <c r="OCB230" s="514"/>
      <c r="OCC230" s="514"/>
      <c r="OCD230" s="514"/>
      <c r="OCE230" s="514"/>
      <c r="OCF230" s="514"/>
      <c r="OCG230" s="514"/>
      <c r="OCH230" s="514"/>
      <c r="OCI230" s="514"/>
      <c r="OCJ230" s="514"/>
      <c r="OCK230" s="514"/>
      <c r="OCL230" s="514"/>
      <c r="OCM230" s="514"/>
      <c r="OCN230" s="514"/>
      <c r="OCO230" s="514"/>
      <c r="OCP230" s="514"/>
      <c r="OCQ230" s="514"/>
      <c r="OCR230" s="514"/>
      <c r="OCS230" s="514"/>
      <c r="OCT230" s="514"/>
      <c r="OCU230" s="514"/>
      <c r="OCV230" s="514"/>
      <c r="OCW230" s="514"/>
      <c r="OCX230" s="514"/>
      <c r="OCY230" s="514"/>
      <c r="OCZ230" s="514"/>
      <c r="ODA230" s="514"/>
      <c r="ODB230" s="514"/>
      <c r="ODC230" s="514"/>
      <c r="ODD230" s="514"/>
      <c r="ODE230" s="514"/>
      <c r="ODF230" s="514"/>
      <c r="ODG230" s="514"/>
      <c r="ODH230" s="514"/>
      <c r="ODI230" s="514"/>
      <c r="ODJ230" s="514"/>
      <c r="ODK230" s="514"/>
      <c r="ODL230" s="514"/>
      <c r="ODM230" s="514"/>
      <c r="ODN230" s="514"/>
      <c r="ODO230" s="514"/>
      <c r="ODP230" s="514"/>
      <c r="ODQ230" s="514"/>
      <c r="ODR230" s="514"/>
      <c r="ODS230" s="514"/>
      <c r="ODT230" s="514"/>
      <c r="ODU230" s="514"/>
      <c r="ODV230" s="514"/>
      <c r="ODW230" s="514"/>
      <c r="ODX230" s="514"/>
      <c r="ODY230" s="514"/>
      <c r="ODZ230" s="514"/>
      <c r="OEA230" s="514"/>
      <c r="OEB230" s="514"/>
      <c r="OEC230" s="514"/>
      <c r="OED230" s="514"/>
      <c r="OEE230" s="514"/>
      <c r="OEF230" s="514"/>
      <c r="OEG230" s="514"/>
      <c r="OEH230" s="514"/>
      <c r="OEI230" s="514"/>
      <c r="OEJ230" s="514"/>
      <c r="OEK230" s="514"/>
      <c r="OEL230" s="514"/>
      <c r="OEM230" s="514"/>
      <c r="OEN230" s="514"/>
      <c r="OEO230" s="514"/>
      <c r="OEP230" s="514"/>
      <c r="OEQ230" s="514"/>
      <c r="OER230" s="514"/>
      <c r="OES230" s="514"/>
      <c r="OET230" s="514"/>
      <c r="OEU230" s="514"/>
      <c r="OEV230" s="514"/>
      <c r="OEW230" s="514"/>
      <c r="OEX230" s="514"/>
      <c r="OEY230" s="514"/>
      <c r="OEZ230" s="514"/>
      <c r="OFA230" s="514"/>
      <c r="OFB230" s="514"/>
      <c r="OFC230" s="514"/>
      <c r="OFD230" s="514"/>
      <c r="OFE230" s="514"/>
      <c r="OFF230" s="514"/>
      <c r="OFG230" s="514"/>
      <c r="OFH230" s="514"/>
      <c r="OFI230" s="514"/>
      <c r="OFJ230" s="514"/>
      <c r="OFK230" s="514"/>
      <c r="OFL230" s="514"/>
      <c r="OFM230" s="514"/>
      <c r="OFN230" s="514"/>
      <c r="OFO230" s="514"/>
      <c r="OFP230" s="514"/>
      <c r="OFQ230" s="514"/>
      <c r="OFR230" s="514"/>
      <c r="OFS230" s="514"/>
      <c r="OFT230" s="514"/>
      <c r="OFU230" s="514"/>
      <c r="OFV230" s="514"/>
      <c r="OFW230" s="514"/>
      <c r="OFX230" s="514"/>
      <c r="OFY230" s="514"/>
      <c r="OFZ230" s="514"/>
      <c r="OGA230" s="514"/>
      <c r="OGB230" s="514"/>
      <c r="OGC230" s="514"/>
      <c r="OGD230" s="514"/>
      <c r="OGE230" s="514"/>
      <c r="OGF230" s="514"/>
      <c r="OGG230" s="514"/>
      <c r="OGH230" s="514"/>
      <c r="OGI230" s="514"/>
      <c r="OGJ230" s="514"/>
      <c r="OGK230" s="514"/>
      <c r="OGL230" s="514"/>
      <c r="OGM230" s="514"/>
      <c r="OGN230" s="514"/>
      <c r="OGO230" s="514"/>
      <c r="OGP230" s="514"/>
      <c r="OGQ230" s="514"/>
      <c r="OGR230" s="514"/>
      <c r="OGS230" s="514"/>
      <c r="OGT230" s="514"/>
      <c r="OGU230" s="514"/>
      <c r="OGV230" s="514"/>
      <c r="OGW230" s="514"/>
      <c r="OGX230" s="514"/>
      <c r="OGY230" s="514"/>
      <c r="OGZ230" s="514"/>
      <c r="OHA230" s="514"/>
      <c r="OHB230" s="514"/>
      <c r="OHC230" s="514"/>
      <c r="OHD230" s="514"/>
      <c r="OHE230" s="514"/>
      <c r="OHF230" s="514"/>
      <c r="OHG230" s="514"/>
      <c r="OHH230" s="514"/>
      <c r="OHI230" s="514"/>
      <c r="OHJ230" s="514"/>
      <c r="OHK230" s="514"/>
      <c r="OHL230" s="514"/>
      <c r="OHM230" s="514"/>
      <c r="OHN230" s="514"/>
      <c r="OHO230" s="514"/>
      <c r="OHP230" s="514"/>
      <c r="OHQ230" s="514"/>
      <c r="OHR230" s="514"/>
      <c r="OHS230" s="514"/>
      <c r="OHT230" s="514"/>
      <c r="OHU230" s="514"/>
      <c r="OHV230" s="514"/>
      <c r="OHW230" s="514"/>
      <c r="OHX230" s="514"/>
      <c r="OHY230" s="514"/>
      <c r="OHZ230" s="514"/>
      <c r="OIA230" s="514"/>
      <c r="OIB230" s="514"/>
      <c r="OIC230" s="514"/>
      <c r="OID230" s="514"/>
      <c r="OIE230" s="514"/>
      <c r="OIF230" s="514"/>
      <c r="OIG230" s="514"/>
      <c r="OIH230" s="514"/>
      <c r="OII230" s="514"/>
      <c r="OIJ230" s="514"/>
      <c r="OIK230" s="514"/>
      <c r="OIL230" s="514"/>
      <c r="OIM230" s="514"/>
      <c r="OIN230" s="514"/>
      <c r="OIO230" s="514"/>
      <c r="OIP230" s="514"/>
      <c r="OIQ230" s="514"/>
      <c r="OIR230" s="514"/>
      <c r="OIS230" s="514"/>
      <c r="OIT230" s="514"/>
      <c r="OIU230" s="514"/>
      <c r="OIV230" s="514"/>
      <c r="OIW230" s="514"/>
      <c r="OIX230" s="514"/>
      <c r="OIY230" s="514"/>
      <c r="OIZ230" s="514"/>
      <c r="OJA230" s="514"/>
      <c r="OJB230" s="514"/>
      <c r="OJC230" s="514"/>
      <c r="OJD230" s="514"/>
      <c r="OJE230" s="514"/>
      <c r="OJF230" s="514"/>
      <c r="OJG230" s="514"/>
      <c r="OJH230" s="514"/>
      <c r="OJI230" s="514"/>
      <c r="OJJ230" s="514"/>
      <c r="OJK230" s="514"/>
      <c r="OJL230" s="514"/>
      <c r="OJM230" s="514"/>
      <c r="OJN230" s="514"/>
      <c r="OJO230" s="514"/>
      <c r="OJP230" s="514"/>
      <c r="OJQ230" s="514"/>
      <c r="OJR230" s="514"/>
      <c r="OJS230" s="514"/>
      <c r="OJT230" s="514"/>
      <c r="OJU230" s="514"/>
      <c r="OJV230" s="514"/>
      <c r="OJW230" s="514"/>
      <c r="OJX230" s="514"/>
      <c r="OJY230" s="514"/>
      <c r="OJZ230" s="514"/>
      <c r="OKA230" s="514"/>
      <c r="OKB230" s="514"/>
      <c r="OKC230" s="514"/>
      <c r="OKD230" s="514"/>
      <c r="OKE230" s="514"/>
      <c r="OKF230" s="514"/>
      <c r="OKG230" s="514"/>
      <c r="OKH230" s="514"/>
      <c r="OKI230" s="514"/>
      <c r="OKJ230" s="514"/>
      <c r="OKK230" s="514"/>
      <c r="OKL230" s="514"/>
      <c r="OKM230" s="514"/>
      <c r="OKN230" s="514"/>
      <c r="OKO230" s="514"/>
      <c r="OKP230" s="514"/>
      <c r="OKQ230" s="514"/>
      <c r="OKR230" s="514"/>
      <c r="OKS230" s="514"/>
      <c r="OKT230" s="514"/>
      <c r="OKU230" s="514"/>
      <c r="OKV230" s="514"/>
      <c r="OKW230" s="514"/>
      <c r="OKX230" s="514"/>
      <c r="OKY230" s="514"/>
      <c r="OKZ230" s="514"/>
      <c r="OLA230" s="514"/>
      <c r="OLB230" s="514"/>
      <c r="OLC230" s="514"/>
      <c r="OLD230" s="514"/>
      <c r="OLE230" s="514"/>
      <c r="OLF230" s="514"/>
      <c r="OLG230" s="514"/>
      <c r="OLH230" s="514"/>
      <c r="OLI230" s="514"/>
      <c r="OLJ230" s="514"/>
      <c r="OLK230" s="514"/>
      <c r="OLL230" s="514"/>
      <c r="OLM230" s="514"/>
      <c r="OLN230" s="514"/>
      <c r="OLO230" s="514"/>
      <c r="OLP230" s="514"/>
      <c r="OLQ230" s="514"/>
      <c r="OLR230" s="514"/>
      <c r="OLS230" s="514"/>
      <c r="OLT230" s="514"/>
      <c r="OLU230" s="514"/>
      <c r="OLV230" s="514"/>
      <c r="OLW230" s="514"/>
      <c r="OLX230" s="514"/>
      <c r="OLY230" s="514"/>
      <c r="OLZ230" s="514"/>
      <c r="OMA230" s="514"/>
      <c r="OMB230" s="514"/>
      <c r="OMC230" s="514"/>
      <c r="OMD230" s="514"/>
      <c r="OME230" s="514"/>
      <c r="OMF230" s="514"/>
      <c r="OMG230" s="514"/>
      <c r="OMH230" s="514"/>
      <c r="OMI230" s="514"/>
      <c r="OMJ230" s="514"/>
      <c r="OMK230" s="514"/>
      <c r="OML230" s="514"/>
      <c r="OMM230" s="514"/>
      <c r="OMN230" s="514"/>
      <c r="OMO230" s="514"/>
      <c r="OMP230" s="514"/>
      <c r="OMQ230" s="514"/>
      <c r="OMR230" s="514"/>
      <c r="OMS230" s="514"/>
      <c r="OMT230" s="514"/>
      <c r="OMU230" s="514"/>
      <c r="OMV230" s="514"/>
      <c r="OMW230" s="514"/>
      <c r="OMX230" s="514"/>
      <c r="OMY230" s="514"/>
      <c r="OMZ230" s="514"/>
      <c r="ONA230" s="514"/>
      <c r="ONB230" s="514"/>
      <c r="ONC230" s="514"/>
      <c r="OND230" s="514"/>
      <c r="ONE230" s="514"/>
      <c r="ONF230" s="514"/>
      <c r="ONG230" s="514"/>
      <c r="ONH230" s="514"/>
      <c r="ONI230" s="514"/>
      <c r="ONJ230" s="514"/>
      <c r="ONK230" s="514"/>
      <c r="ONL230" s="514"/>
      <c r="ONM230" s="514"/>
      <c r="ONN230" s="514"/>
      <c r="ONO230" s="514"/>
      <c r="ONP230" s="514"/>
      <c r="ONQ230" s="514"/>
      <c r="ONR230" s="514"/>
      <c r="ONS230" s="514"/>
      <c r="ONT230" s="514"/>
      <c r="ONU230" s="514"/>
      <c r="ONV230" s="514"/>
      <c r="ONW230" s="514"/>
      <c r="ONX230" s="514"/>
      <c r="ONY230" s="514"/>
      <c r="ONZ230" s="514"/>
      <c r="OOA230" s="514"/>
      <c r="OOB230" s="514"/>
      <c r="OOC230" s="514"/>
      <c r="OOD230" s="514"/>
      <c r="OOE230" s="514"/>
      <c r="OOF230" s="514"/>
      <c r="OOG230" s="514"/>
      <c r="OOH230" s="514"/>
      <c r="OOI230" s="514"/>
      <c r="OOJ230" s="514"/>
      <c r="OOK230" s="514"/>
      <c r="OOL230" s="514"/>
      <c r="OOM230" s="514"/>
      <c r="OON230" s="514"/>
      <c r="OOO230" s="514"/>
      <c r="OOP230" s="514"/>
      <c r="OOQ230" s="514"/>
      <c r="OOR230" s="514"/>
      <c r="OOS230" s="514"/>
      <c r="OOT230" s="514"/>
      <c r="OOU230" s="514"/>
      <c r="OOV230" s="514"/>
      <c r="OOW230" s="514"/>
      <c r="OOX230" s="514"/>
      <c r="OOY230" s="514"/>
      <c r="OOZ230" s="514"/>
      <c r="OPA230" s="514"/>
      <c r="OPB230" s="514"/>
      <c r="OPC230" s="514"/>
      <c r="OPD230" s="514"/>
      <c r="OPE230" s="514"/>
      <c r="OPF230" s="514"/>
      <c r="OPG230" s="514"/>
      <c r="OPH230" s="514"/>
      <c r="OPI230" s="514"/>
      <c r="OPJ230" s="514"/>
      <c r="OPK230" s="514"/>
      <c r="OPL230" s="514"/>
      <c r="OPM230" s="514"/>
      <c r="OPN230" s="514"/>
      <c r="OPO230" s="514"/>
      <c r="OPP230" s="514"/>
      <c r="OPQ230" s="514"/>
      <c r="OPR230" s="514"/>
      <c r="OPS230" s="514"/>
      <c r="OPT230" s="514"/>
      <c r="OPU230" s="514"/>
      <c r="OPV230" s="514"/>
      <c r="OPW230" s="514"/>
      <c r="OPX230" s="514"/>
      <c r="OPY230" s="514"/>
      <c r="OPZ230" s="514"/>
      <c r="OQA230" s="514"/>
      <c r="OQB230" s="514"/>
      <c r="OQC230" s="514"/>
      <c r="OQD230" s="514"/>
      <c r="OQE230" s="514"/>
      <c r="OQF230" s="514"/>
      <c r="OQG230" s="514"/>
      <c r="OQH230" s="514"/>
      <c r="OQI230" s="514"/>
      <c r="OQJ230" s="514"/>
      <c r="OQK230" s="514"/>
      <c r="OQL230" s="514"/>
      <c r="OQM230" s="514"/>
      <c r="OQN230" s="514"/>
      <c r="OQO230" s="514"/>
      <c r="OQP230" s="514"/>
      <c r="OQQ230" s="514"/>
      <c r="OQR230" s="514"/>
      <c r="OQS230" s="514"/>
      <c r="OQT230" s="514"/>
      <c r="OQU230" s="514"/>
      <c r="OQV230" s="514"/>
      <c r="OQW230" s="514"/>
      <c r="OQX230" s="514"/>
      <c r="OQY230" s="514"/>
      <c r="OQZ230" s="514"/>
      <c r="ORA230" s="514"/>
      <c r="ORB230" s="514"/>
      <c r="ORC230" s="514"/>
      <c r="ORD230" s="514"/>
      <c r="ORE230" s="514"/>
      <c r="ORF230" s="514"/>
      <c r="ORG230" s="514"/>
      <c r="ORH230" s="514"/>
      <c r="ORI230" s="514"/>
      <c r="ORJ230" s="514"/>
      <c r="ORK230" s="514"/>
      <c r="ORL230" s="514"/>
      <c r="ORM230" s="514"/>
      <c r="ORN230" s="514"/>
      <c r="ORO230" s="514"/>
      <c r="ORP230" s="514"/>
      <c r="ORQ230" s="514"/>
      <c r="ORR230" s="514"/>
      <c r="ORS230" s="514"/>
      <c r="ORT230" s="514"/>
      <c r="ORU230" s="514"/>
      <c r="ORV230" s="514"/>
      <c r="ORW230" s="514"/>
      <c r="ORX230" s="514"/>
      <c r="ORY230" s="514"/>
      <c r="ORZ230" s="514"/>
      <c r="OSA230" s="514"/>
      <c r="OSB230" s="514"/>
      <c r="OSC230" s="514"/>
      <c r="OSD230" s="514"/>
      <c r="OSE230" s="514"/>
      <c r="OSF230" s="514"/>
      <c r="OSG230" s="514"/>
      <c r="OSH230" s="514"/>
      <c r="OSI230" s="514"/>
      <c r="OSJ230" s="514"/>
      <c r="OSK230" s="514"/>
      <c r="OSL230" s="514"/>
      <c r="OSM230" s="514"/>
      <c r="OSN230" s="514"/>
      <c r="OSO230" s="514"/>
      <c r="OSP230" s="514"/>
      <c r="OSQ230" s="514"/>
      <c r="OSR230" s="514"/>
      <c r="OSS230" s="514"/>
      <c r="OST230" s="514"/>
      <c r="OSU230" s="514"/>
      <c r="OSV230" s="514"/>
      <c r="OSW230" s="514"/>
      <c r="OSX230" s="514"/>
      <c r="OSY230" s="514"/>
      <c r="OSZ230" s="514"/>
      <c r="OTA230" s="514"/>
      <c r="OTB230" s="514"/>
      <c r="OTC230" s="514"/>
      <c r="OTD230" s="514"/>
      <c r="OTE230" s="514"/>
      <c r="OTF230" s="514"/>
      <c r="OTG230" s="514"/>
      <c r="OTH230" s="514"/>
      <c r="OTI230" s="514"/>
      <c r="OTJ230" s="514"/>
      <c r="OTK230" s="514"/>
      <c r="OTL230" s="514"/>
      <c r="OTM230" s="514"/>
      <c r="OTN230" s="514"/>
      <c r="OTO230" s="514"/>
      <c r="OTP230" s="514"/>
      <c r="OTQ230" s="514"/>
      <c r="OTR230" s="514"/>
      <c r="OTS230" s="514"/>
      <c r="OTT230" s="514"/>
      <c r="OTU230" s="514"/>
      <c r="OTV230" s="514"/>
      <c r="OTW230" s="514"/>
      <c r="OTX230" s="514"/>
      <c r="OTY230" s="514"/>
      <c r="OTZ230" s="514"/>
      <c r="OUA230" s="514"/>
      <c r="OUB230" s="514"/>
      <c r="OUC230" s="514"/>
      <c r="OUD230" s="514"/>
      <c r="OUE230" s="514"/>
      <c r="OUF230" s="514"/>
      <c r="OUG230" s="514"/>
      <c r="OUH230" s="514"/>
      <c r="OUI230" s="514"/>
      <c r="OUJ230" s="514"/>
      <c r="OUK230" s="514"/>
      <c r="OUL230" s="514"/>
      <c r="OUM230" s="514"/>
      <c r="OUN230" s="514"/>
      <c r="OUO230" s="514"/>
      <c r="OUP230" s="514"/>
      <c r="OUQ230" s="514"/>
      <c r="OUR230" s="514"/>
      <c r="OUS230" s="514"/>
      <c r="OUT230" s="514"/>
      <c r="OUU230" s="514"/>
      <c r="OUV230" s="514"/>
      <c r="OUW230" s="514"/>
      <c r="OUX230" s="514"/>
      <c r="OUY230" s="514"/>
      <c r="OUZ230" s="514"/>
      <c r="OVA230" s="514"/>
      <c r="OVB230" s="514"/>
      <c r="OVC230" s="514"/>
      <c r="OVD230" s="514"/>
      <c r="OVE230" s="514"/>
      <c r="OVF230" s="514"/>
      <c r="OVG230" s="514"/>
      <c r="OVH230" s="514"/>
      <c r="OVI230" s="514"/>
      <c r="OVJ230" s="514"/>
      <c r="OVK230" s="514"/>
      <c r="OVL230" s="514"/>
      <c r="OVM230" s="514"/>
      <c r="OVN230" s="514"/>
      <c r="OVO230" s="514"/>
      <c r="OVP230" s="514"/>
      <c r="OVQ230" s="514"/>
      <c r="OVR230" s="514"/>
      <c r="OVS230" s="514"/>
      <c r="OVT230" s="514"/>
      <c r="OVU230" s="514"/>
      <c r="OVV230" s="514"/>
      <c r="OVW230" s="514"/>
      <c r="OVX230" s="514"/>
      <c r="OVY230" s="514"/>
      <c r="OVZ230" s="514"/>
      <c r="OWA230" s="514"/>
      <c r="OWB230" s="514"/>
      <c r="OWC230" s="514"/>
      <c r="OWD230" s="514"/>
      <c r="OWE230" s="514"/>
      <c r="OWF230" s="514"/>
      <c r="OWG230" s="514"/>
      <c r="OWH230" s="514"/>
      <c r="OWI230" s="514"/>
      <c r="OWJ230" s="514"/>
      <c r="OWK230" s="514"/>
      <c r="OWL230" s="514"/>
      <c r="OWM230" s="514"/>
      <c r="OWN230" s="514"/>
      <c r="OWO230" s="514"/>
      <c r="OWP230" s="514"/>
      <c r="OWQ230" s="514"/>
      <c r="OWR230" s="514"/>
      <c r="OWS230" s="514"/>
      <c r="OWT230" s="514"/>
      <c r="OWU230" s="514"/>
      <c r="OWV230" s="514"/>
      <c r="OWW230" s="514"/>
      <c r="OWX230" s="514"/>
      <c r="OWY230" s="514"/>
      <c r="OWZ230" s="514"/>
      <c r="OXA230" s="514"/>
      <c r="OXB230" s="514"/>
      <c r="OXC230" s="514"/>
      <c r="OXD230" s="514"/>
      <c r="OXE230" s="514"/>
      <c r="OXF230" s="514"/>
      <c r="OXG230" s="514"/>
      <c r="OXH230" s="514"/>
      <c r="OXI230" s="514"/>
      <c r="OXJ230" s="514"/>
      <c r="OXK230" s="514"/>
      <c r="OXL230" s="514"/>
      <c r="OXM230" s="514"/>
      <c r="OXN230" s="514"/>
      <c r="OXO230" s="514"/>
      <c r="OXP230" s="514"/>
      <c r="OXQ230" s="514"/>
      <c r="OXR230" s="514"/>
      <c r="OXS230" s="514"/>
      <c r="OXT230" s="514"/>
      <c r="OXU230" s="514"/>
      <c r="OXV230" s="514"/>
      <c r="OXW230" s="514"/>
      <c r="OXX230" s="514"/>
      <c r="OXY230" s="514"/>
      <c r="OXZ230" s="514"/>
      <c r="OYA230" s="514"/>
      <c r="OYB230" s="514"/>
      <c r="OYC230" s="514"/>
      <c r="OYD230" s="514"/>
      <c r="OYE230" s="514"/>
      <c r="OYF230" s="514"/>
      <c r="OYG230" s="514"/>
      <c r="OYH230" s="514"/>
      <c r="OYI230" s="514"/>
      <c r="OYJ230" s="514"/>
      <c r="OYK230" s="514"/>
      <c r="OYL230" s="514"/>
      <c r="OYM230" s="514"/>
      <c r="OYN230" s="514"/>
      <c r="OYO230" s="514"/>
      <c r="OYP230" s="514"/>
      <c r="OYQ230" s="514"/>
      <c r="OYR230" s="514"/>
      <c r="OYS230" s="514"/>
      <c r="OYT230" s="514"/>
      <c r="OYU230" s="514"/>
      <c r="OYV230" s="514"/>
      <c r="OYW230" s="514"/>
      <c r="OYX230" s="514"/>
      <c r="OYY230" s="514"/>
      <c r="OYZ230" s="514"/>
      <c r="OZA230" s="514"/>
      <c r="OZB230" s="514"/>
      <c r="OZC230" s="514"/>
      <c r="OZD230" s="514"/>
      <c r="OZE230" s="514"/>
      <c r="OZF230" s="514"/>
      <c r="OZG230" s="514"/>
      <c r="OZH230" s="514"/>
      <c r="OZI230" s="514"/>
      <c r="OZJ230" s="514"/>
      <c r="OZK230" s="514"/>
      <c r="OZL230" s="514"/>
      <c r="OZM230" s="514"/>
      <c r="OZN230" s="514"/>
      <c r="OZO230" s="514"/>
      <c r="OZP230" s="514"/>
      <c r="OZQ230" s="514"/>
      <c r="OZR230" s="514"/>
      <c r="OZS230" s="514"/>
      <c r="OZT230" s="514"/>
      <c r="OZU230" s="514"/>
      <c r="OZV230" s="514"/>
      <c r="OZW230" s="514"/>
      <c r="OZX230" s="514"/>
      <c r="OZY230" s="514"/>
      <c r="OZZ230" s="514"/>
      <c r="PAA230" s="514"/>
      <c r="PAB230" s="514"/>
      <c r="PAC230" s="514"/>
      <c r="PAD230" s="514"/>
      <c r="PAE230" s="514"/>
      <c r="PAF230" s="514"/>
      <c r="PAG230" s="514"/>
      <c r="PAH230" s="514"/>
      <c r="PAI230" s="514"/>
      <c r="PAJ230" s="514"/>
      <c r="PAK230" s="514"/>
      <c r="PAL230" s="514"/>
      <c r="PAM230" s="514"/>
      <c r="PAN230" s="514"/>
      <c r="PAO230" s="514"/>
      <c r="PAP230" s="514"/>
      <c r="PAQ230" s="514"/>
      <c r="PAR230" s="514"/>
      <c r="PAS230" s="514"/>
      <c r="PAT230" s="514"/>
      <c r="PAU230" s="514"/>
      <c r="PAV230" s="514"/>
      <c r="PAW230" s="514"/>
      <c r="PAX230" s="514"/>
      <c r="PAY230" s="514"/>
      <c r="PAZ230" s="514"/>
      <c r="PBA230" s="514"/>
      <c r="PBB230" s="514"/>
      <c r="PBC230" s="514"/>
      <c r="PBD230" s="514"/>
      <c r="PBE230" s="514"/>
      <c r="PBF230" s="514"/>
      <c r="PBG230" s="514"/>
      <c r="PBH230" s="514"/>
      <c r="PBI230" s="514"/>
      <c r="PBJ230" s="514"/>
      <c r="PBK230" s="514"/>
      <c r="PBL230" s="514"/>
      <c r="PBM230" s="514"/>
      <c r="PBN230" s="514"/>
      <c r="PBO230" s="514"/>
      <c r="PBP230" s="514"/>
      <c r="PBQ230" s="514"/>
      <c r="PBR230" s="514"/>
      <c r="PBS230" s="514"/>
      <c r="PBT230" s="514"/>
      <c r="PBU230" s="514"/>
      <c r="PBV230" s="514"/>
      <c r="PBW230" s="514"/>
      <c r="PBX230" s="514"/>
      <c r="PBY230" s="514"/>
      <c r="PBZ230" s="514"/>
      <c r="PCA230" s="514"/>
      <c r="PCB230" s="514"/>
      <c r="PCC230" s="514"/>
      <c r="PCD230" s="514"/>
      <c r="PCE230" s="514"/>
      <c r="PCF230" s="514"/>
      <c r="PCG230" s="514"/>
      <c r="PCH230" s="514"/>
      <c r="PCI230" s="514"/>
      <c r="PCJ230" s="514"/>
      <c r="PCK230" s="514"/>
      <c r="PCL230" s="514"/>
      <c r="PCM230" s="514"/>
      <c r="PCN230" s="514"/>
      <c r="PCO230" s="514"/>
      <c r="PCP230" s="514"/>
      <c r="PCQ230" s="514"/>
      <c r="PCR230" s="514"/>
      <c r="PCS230" s="514"/>
      <c r="PCT230" s="514"/>
      <c r="PCU230" s="514"/>
      <c r="PCV230" s="514"/>
      <c r="PCW230" s="514"/>
      <c r="PCX230" s="514"/>
      <c r="PCY230" s="514"/>
      <c r="PCZ230" s="514"/>
      <c r="PDA230" s="514"/>
      <c r="PDB230" s="514"/>
      <c r="PDC230" s="514"/>
      <c r="PDD230" s="514"/>
      <c r="PDE230" s="514"/>
      <c r="PDF230" s="514"/>
      <c r="PDG230" s="514"/>
      <c r="PDH230" s="514"/>
      <c r="PDI230" s="514"/>
      <c r="PDJ230" s="514"/>
      <c r="PDK230" s="514"/>
      <c r="PDL230" s="514"/>
      <c r="PDM230" s="514"/>
      <c r="PDN230" s="514"/>
      <c r="PDO230" s="514"/>
      <c r="PDP230" s="514"/>
      <c r="PDQ230" s="514"/>
      <c r="PDR230" s="514"/>
      <c r="PDS230" s="514"/>
      <c r="PDT230" s="514"/>
      <c r="PDU230" s="514"/>
      <c r="PDV230" s="514"/>
      <c r="PDW230" s="514"/>
      <c r="PDX230" s="514"/>
      <c r="PDY230" s="514"/>
      <c r="PDZ230" s="514"/>
      <c r="PEA230" s="514"/>
      <c r="PEB230" s="514"/>
      <c r="PEC230" s="514"/>
      <c r="PED230" s="514"/>
      <c r="PEE230" s="514"/>
      <c r="PEF230" s="514"/>
      <c r="PEG230" s="514"/>
      <c r="PEH230" s="514"/>
      <c r="PEI230" s="514"/>
      <c r="PEJ230" s="514"/>
      <c r="PEK230" s="514"/>
      <c r="PEL230" s="514"/>
      <c r="PEM230" s="514"/>
      <c r="PEN230" s="514"/>
      <c r="PEO230" s="514"/>
      <c r="PEP230" s="514"/>
      <c r="PEQ230" s="514"/>
      <c r="PER230" s="514"/>
      <c r="PES230" s="514"/>
      <c r="PET230" s="514"/>
      <c r="PEU230" s="514"/>
      <c r="PEV230" s="514"/>
      <c r="PEW230" s="514"/>
      <c r="PEX230" s="514"/>
      <c r="PEY230" s="514"/>
      <c r="PEZ230" s="514"/>
      <c r="PFA230" s="514"/>
      <c r="PFB230" s="514"/>
      <c r="PFC230" s="514"/>
      <c r="PFD230" s="514"/>
      <c r="PFE230" s="514"/>
      <c r="PFF230" s="514"/>
      <c r="PFG230" s="514"/>
      <c r="PFH230" s="514"/>
      <c r="PFI230" s="514"/>
      <c r="PFJ230" s="514"/>
      <c r="PFK230" s="514"/>
      <c r="PFL230" s="514"/>
      <c r="PFM230" s="514"/>
      <c r="PFN230" s="514"/>
      <c r="PFO230" s="514"/>
      <c r="PFP230" s="514"/>
      <c r="PFQ230" s="514"/>
      <c r="PFR230" s="514"/>
      <c r="PFS230" s="514"/>
      <c r="PFT230" s="514"/>
      <c r="PFU230" s="514"/>
      <c r="PFV230" s="514"/>
      <c r="PFW230" s="514"/>
      <c r="PFX230" s="514"/>
      <c r="PFY230" s="514"/>
      <c r="PFZ230" s="514"/>
      <c r="PGA230" s="514"/>
      <c r="PGB230" s="514"/>
      <c r="PGC230" s="514"/>
      <c r="PGD230" s="514"/>
      <c r="PGE230" s="514"/>
      <c r="PGF230" s="514"/>
      <c r="PGG230" s="514"/>
      <c r="PGH230" s="514"/>
      <c r="PGI230" s="514"/>
      <c r="PGJ230" s="514"/>
      <c r="PGK230" s="514"/>
      <c r="PGL230" s="514"/>
      <c r="PGM230" s="514"/>
      <c r="PGN230" s="514"/>
      <c r="PGO230" s="514"/>
      <c r="PGP230" s="514"/>
      <c r="PGQ230" s="514"/>
      <c r="PGR230" s="514"/>
      <c r="PGS230" s="514"/>
      <c r="PGT230" s="514"/>
      <c r="PGU230" s="514"/>
      <c r="PGV230" s="514"/>
      <c r="PGW230" s="514"/>
      <c r="PGX230" s="514"/>
      <c r="PGY230" s="514"/>
      <c r="PGZ230" s="514"/>
      <c r="PHA230" s="514"/>
      <c r="PHB230" s="514"/>
      <c r="PHC230" s="514"/>
      <c r="PHD230" s="514"/>
      <c r="PHE230" s="514"/>
      <c r="PHF230" s="514"/>
      <c r="PHG230" s="514"/>
      <c r="PHH230" s="514"/>
      <c r="PHI230" s="514"/>
      <c r="PHJ230" s="514"/>
      <c r="PHK230" s="514"/>
      <c r="PHL230" s="514"/>
      <c r="PHM230" s="514"/>
      <c r="PHN230" s="514"/>
      <c r="PHO230" s="514"/>
      <c r="PHP230" s="514"/>
      <c r="PHQ230" s="514"/>
      <c r="PHR230" s="514"/>
      <c r="PHS230" s="514"/>
      <c r="PHT230" s="514"/>
      <c r="PHU230" s="514"/>
      <c r="PHV230" s="514"/>
      <c r="PHW230" s="514"/>
      <c r="PHX230" s="514"/>
      <c r="PHY230" s="514"/>
      <c r="PHZ230" s="514"/>
      <c r="PIA230" s="514"/>
      <c r="PIB230" s="514"/>
      <c r="PIC230" s="514"/>
      <c r="PID230" s="514"/>
      <c r="PIE230" s="514"/>
      <c r="PIF230" s="514"/>
      <c r="PIG230" s="514"/>
      <c r="PIH230" s="514"/>
      <c r="PII230" s="514"/>
      <c r="PIJ230" s="514"/>
      <c r="PIK230" s="514"/>
      <c r="PIL230" s="514"/>
      <c r="PIM230" s="514"/>
      <c r="PIN230" s="514"/>
      <c r="PIO230" s="514"/>
      <c r="PIP230" s="514"/>
      <c r="PIQ230" s="514"/>
      <c r="PIR230" s="514"/>
      <c r="PIS230" s="514"/>
      <c r="PIT230" s="514"/>
      <c r="PIU230" s="514"/>
      <c r="PIV230" s="514"/>
      <c r="PIW230" s="514"/>
      <c r="PIX230" s="514"/>
      <c r="PIY230" s="514"/>
      <c r="PIZ230" s="514"/>
      <c r="PJA230" s="514"/>
      <c r="PJB230" s="514"/>
      <c r="PJC230" s="514"/>
      <c r="PJD230" s="514"/>
      <c r="PJE230" s="514"/>
      <c r="PJF230" s="514"/>
      <c r="PJG230" s="514"/>
      <c r="PJH230" s="514"/>
      <c r="PJI230" s="514"/>
      <c r="PJJ230" s="514"/>
      <c r="PJK230" s="514"/>
      <c r="PJL230" s="514"/>
      <c r="PJM230" s="514"/>
      <c r="PJN230" s="514"/>
      <c r="PJO230" s="514"/>
      <c r="PJP230" s="514"/>
      <c r="PJQ230" s="514"/>
      <c r="PJR230" s="514"/>
      <c r="PJS230" s="514"/>
      <c r="PJT230" s="514"/>
      <c r="PJU230" s="514"/>
      <c r="PJV230" s="514"/>
      <c r="PJW230" s="514"/>
      <c r="PJX230" s="514"/>
      <c r="PJY230" s="514"/>
      <c r="PJZ230" s="514"/>
      <c r="PKA230" s="514"/>
      <c r="PKB230" s="514"/>
      <c r="PKC230" s="514"/>
      <c r="PKD230" s="514"/>
      <c r="PKE230" s="514"/>
      <c r="PKF230" s="514"/>
      <c r="PKG230" s="514"/>
      <c r="PKH230" s="514"/>
      <c r="PKI230" s="514"/>
      <c r="PKJ230" s="514"/>
      <c r="PKK230" s="514"/>
      <c r="PKL230" s="514"/>
      <c r="PKM230" s="514"/>
      <c r="PKN230" s="514"/>
      <c r="PKO230" s="514"/>
      <c r="PKP230" s="514"/>
      <c r="PKQ230" s="514"/>
      <c r="PKR230" s="514"/>
      <c r="PKS230" s="514"/>
      <c r="PKT230" s="514"/>
      <c r="PKU230" s="514"/>
      <c r="PKV230" s="514"/>
      <c r="PKW230" s="514"/>
      <c r="PKX230" s="514"/>
      <c r="PKY230" s="514"/>
      <c r="PKZ230" s="514"/>
      <c r="PLA230" s="514"/>
      <c r="PLB230" s="514"/>
      <c r="PLC230" s="514"/>
      <c r="PLD230" s="514"/>
      <c r="PLE230" s="514"/>
      <c r="PLF230" s="514"/>
      <c r="PLG230" s="514"/>
      <c r="PLH230" s="514"/>
      <c r="PLI230" s="514"/>
      <c r="PLJ230" s="514"/>
      <c r="PLK230" s="514"/>
      <c r="PLL230" s="514"/>
      <c r="PLM230" s="514"/>
      <c r="PLN230" s="514"/>
      <c r="PLO230" s="514"/>
      <c r="PLP230" s="514"/>
      <c r="PLQ230" s="514"/>
      <c r="PLR230" s="514"/>
      <c r="PLS230" s="514"/>
      <c r="PLT230" s="514"/>
      <c r="PLU230" s="514"/>
      <c r="PLV230" s="514"/>
      <c r="PLW230" s="514"/>
      <c r="PLX230" s="514"/>
      <c r="PLY230" s="514"/>
      <c r="PLZ230" s="514"/>
      <c r="PMA230" s="514"/>
      <c r="PMB230" s="514"/>
      <c r="PMC230" s="514"/>
      <c r="PMD230" s="514"/>
      <c r="PME230" s="514"/>
      <c r="PMF230" s="514"/>
      <c r="PMG230" s="514"/>
      <c r="PMH230" s="514"/>
      <c r="PMI230" s="514"/>
      <c r="PMJ230" s="514"/>
      <c r="PMK230" s="514"/>
      <c r="PML230" s="514"/>
      <c r="PMM230" s="514"/>
      <c r="PMN230" s="514"/>
      <c r="PMO230" s="514"/>
      <c r="PMP230" s="514"/>
      <c r="PMQ230" s="514"/>
      <c r="PMR230" s="514"/>
      <c r="PMS230" s="514"/>
      <c r="PMT230" s="514"/>
      <c r="PMU230" s="514"/>
      <c r="PMV230" s="514"/>
      <c r="PMW230" s="514"/>
      <c r="PMX230" s="514"/>
      <c r="PMY230" s="514"/>
      <c r="PMZ230" s="514"/>
      <c r="PNA230" s="514"/>
      <c r="PNB230" s="514"/>
      <c r="PNC230" s="514"/>
      <c r="PND230" s="514"/>
      <c r="PNE230" s="514"/>
      <c r="PNF230" s="514"/>
      <c r="PNG230" s="514"/>
      <c r="PNH230" s="514"/>
      <c r="PNI230" s="514"/>
      <c r="PNJ230" s="514"/>
      <c r="PNK230" s="514"/>
      <c r="PNL230" s="514"/>
      <c r="PNM230" s="514"/>
      <c r="PNN230" s="514"/>
      <c r="PNO230" s="514"/>
      <c r="PNP230" s="514"/>
      <c r="PNQ230" s="514"/>
      <c r="PNR230" s="514"/>
      <c r="PNS230" s="514"/>
      <c r="PNT230" s="514"/>
      <c r="PNU230" s="514"/>
      <c r="PNV230" s="514"/>
      <c r="PNW230" s="514"/>
      <c r="PNX230" s="514"/>
      <c r="PNY230" s="514"/>
      <c r="PNZ230" s="514"/>
      <c r="POA230" s="514"/>
      <c r="POB230" s="514"/>
      <c r="POC230" s="514"/>
      <c r="POD230" s="514"/>
      <c r="POE230" s="514"/>
      <c r="POF230" s="514"/>
      <c r="POG230" s="514"/>
      <c r="POH230" s="514"/>
      <c r="POI230" s="514"/>
      <c r="POJ230" s="514"/>
      <c r="POK230" s="514"/>
      <c r="POL230" s="514"/>
      <c r="POM230" s="514"/>
      <c r="PON230" s="514"/>
      <c r="POO230" s="514"/>
      <c r="POP230" s="514"/>
      <c r="POQ230" s="514"/>
      <c r="POR230" s="514"/>
      <c r="POS230" s="514"/>
      <c r="POT230" s="514"/>
      <c r="POU230" s="514"/>
      <c r="POV230" s="514"/>
      <c r="POW230" s="514"/>
      <c r="POX230" s="514"/>
      <c r="POY230" s="514"/>
      <c r="POZ230" s="514"/>
      <c r="PPA230" s="514"/>
      <c r="PPB230" s="514"/>
      <c r="PPC230" s="514"/>
      <c r="PPD230" s="514"/>
      <c r="PPE230" s="514"/>
      <c r="PPF230" s="514"/>
      <c r="PPG230" s="514"/>
      <c r="PPH230" s="514"/>
      <c r="PPI230" s="514"/>
      <c r="PPJ230" s="514"/>
      <c r="PPK230" s="514"/>
      <c r="PPL230" s="514"/>
      <c r="PPM230" s="514"/>
      <c r="PPN230" s="514"/>
      <c r="PPO230" s="514"/>
      <c r="PPP230" s="514"/>
      <c r="PPQ230" s="514"/>
      <c r="PPR230" s="514"/>
      <c r="PPS230" s="514"/>
      <c r="PPT230" s="514"/>
      <c r="PPU230" s="514"/>
      <c r="PPV230" s="514"/>
      <c r="PPW230" s="514"/>
      <c r="PPX230" s="514"/>
      <c r="PPY230" s="514"/>
      <c r="PPZ230" s="514"/>
      <c r="PQA230" s="514"/>
      <c r="PQB230" s="514"/>
      <c r="PQC230" s="514"/>
      <c r="PQD230" s="514"/>
      <c r="PQE230" s="514"/>
      <c r="PQF230" s="514"/>
      <c r="PQG230" s="514"/>
      <c r="PQH230" s="514"/>
      <c r="PQI230" s="514"/>
      <c r="PQJ230" s="514"/>
      <c r="PQK230" s="514"/>
      <c r="PQL230" s="514"/>
      <c r="PQM230" s="514"/>
      <c r="PQN230" s="514"/>
      <c r="PQO230" s="514"/>
      <c r="PQP230" s="514"/>
      <c r="PQQ230" s="514"/>
      <c r="PQR230" s="514"/>
      <c r="PQS230" s="514"/>
      <c r="PQT230" s="514"/>
      <c r="PQU230" s="514"/>
      <c r="PQV230" s="514"/>
      <c r="PQW230" s="514"/>
      <c r="PQX230" s="514"/>
      <c r="PQY230" s="514"/>
      <c r="PQZ230" s="514"/>
      <c r="PRA230" s="514"/>
      <c r="PRB230" s="514"/>
      <c r="PRC230" s="514"/>
      <c r="PRD230" s="514"/>
      <c r="PRE230" s="514"/>
      <c r="PRF230" s="514"/>
      <c r="PRG230" s="514"/>
      <c r="PRH230" s="514"/>
      <c r="PRI230" s="514"/>
      <c r="PRJ230" s="514"/>
      <c r="PRK230" s="514"/>
      <c r="PRL230" s="514"/>
      <c r="PRM230" s="514"/>
      <c r="PRN230" s="514"/>
      <c r="PRO230" s="514"/>
      <c r="PRP230" s="514"/>
      <c r="PRQ230" s="514"/>
      <c r="PRR230" s="514"/>
      <c r="PRS230" s="514"/>
      <c r="PRT230" s="514"/>
      <c r="PRU230" s="514"/>
      <c r="PRV230" s="514"/>
      <c r="PRW230" s="514"/>
      <c r="PRX230" s="514"/>
      <c r="PRY230" s="514"/>
      <c r="PRZ230" s="514"/>
      <c r="PSA230" s="514"/>
      <c r="PSB230" s="514"/>
      <c r="PSC230" s="514"/>
      <c r="PSD230" s="514"/>
      <c r="PSE230" s="514"/>
      <c r="PSF230" s="514"/>
      <c r="PSG230" s="514"/>
      <c r="PSH230" s="514"/>
      <c r="PSI230" s="514"/>
      <c r="PSJ230" s="514"/>
      <c r="PSK230" s="514"/>
      <c r="PSL230" s="514"/>
      <c r="PSM230" s="514"/>
      <c r="PSN230" s="514"/>
      <c r="PSO230" s="514"/>
      <c r="PSP230" s="514"/>
      <c r="PSQ230" s="514"/>
      <c r="PSR230" s="514"/>
      <c r="PSS230" s="514"/>
      <c r="PST230" s="514"/>
      <c r="PSU230" s="514"/>
      <c r="PSV230" s="514"/>
      <c r="PSW230" s="514"/>
      <c r="PSX230" s="514"/>
      <c r="PSY230" s="514"/>
      <c r="PSZ230" s="514"/>
      <c r="PTA230" s="514"/>
      <c r="PTB230" s="514"/>
      <c r="PTC230" s="514"/>
      <c r="PTD230" s="514"/>
      <c r="PTE230" s="514"/>
      <c r="PTF230" s="514"/>
      <c r="PTG230" s="514"/>
      <c r="PTH230" s="514"/>
      <c r="PTI230" s="514"/>
      <c r="PTJ230" s="514"/>
      <c r="PTK230" s="514"/>
      <c r="PTL230" s="514"/>
      <c r="PTM230" s="514"/>
      <c r="PTN230" s="514"/>
      <c r="PTO230" s="514"/>
      <c r="PTP230" s="514"/>
      <c r="PTQ230" s="514"/>
      <c r="PTR230" s="514"/>
      <c r="PTS230" s="514"/>
      <c r="PTT230" s="514"/>
      <c r="PTU230" s="514"/>
      <c r="PTV230" s="514"/>
      <c r="PTW230" s="514"/>
      <c r="PTX230" s="514"/>
      <c r="PTY230" s="514"/>
      <c r="PTZ230" s="514"/>
      <c r="PUA230" s="514"/>
      <c r="PUB230" s="514"/>
      <c r="PUC230" s="514"/>
      <c r="PUD230" s="514"/>
      <c r="PUE230" s="514"/>
      <c r="PUF230" s="514"/>
      <c r="PUG230" s="514"/>
      <c r="PUH230" s="514"/>
      <c r="PUI230" s="514"/>
      <c r="PUJ230" s="514"/>
      <c r="PUK230" s="514"/>
      <c r="PUL230" s="514"/>
      <c r="PUM230" s="514"/>
      <c r="PUN230" s="514"/>
      <c r="PUO230" s="514"/>
      <c r="PUP230" s="514"/>
      <c r="PUQ230" s="514"/>
      <c r="PUR230" s="514"/>
      <c r="PUS230" s="514"/>
      <c r="PUT230" s="514"/>
      <c r="PUU230" s="514"/>
      <c r="PUV230" s="514"/>
      <c r="PUW230" s="514"/>
      <c r="PUX230" s="514"/>
      <c r="PUY230" s="514"/>
      <c r="PUZ230" s="514"/>
      <c r="PVA230" s="514"/>
      <c r="PVB230" s="514"/>
      <c r="PVC230" s="514"/>
      <c r="PVD230" s="514"/>
      <c r="PVE230" s="514"/>
      <c r="PVF230" s="514"/>
      <c r="PVG230" s="514"/>
      <c r="PVH230" s="514"/>
      <c r="PVI230" s="514"/>
      <c r="PVJ230" s="514"/>
      <c r="PVK230" s="514"/>
      <c r="PVL230" s="514"/>
      <c r="PVM230" s="514"/>
      <c r="PVN230" s="514"/>
      <c r="PVO230" s="514"/>
      <c r="PVP230" s="514"/>
      <c r="PVQ230" s="514"/>
      <c r="PVR230" s="514"/>
      <c r="PVS230" s="514"/>
      <c r="PVT230" s="514"/>
      <c r="PVU230" s="514"/>
      <c r="PVV230" s="514"/>
      <c r="PVW230" s="514"/>
      <c r="PVX230" s="514"/>
      <c r="PVY230" s="514"/>
      <c r="PVZ230" s="514"/>
      <c r="PWA230" s="514"/>
      <c r="PWB230" s="514"/>
      <c r="PWC230" s="514"/>
      <c r="PWD230" s="514"/>
      <c r="PWE230" s="514"/>
      <c r="PWF230" s="514"/>
      <c r="PWG230" s="514"/>
      <c r="PWH230" s="514"/>
      <c r="PWI230" s="514"/>
      <c r="PWJ230" s="514"/>
      <c r="PWK230" s="514"/>
      <c r="PWL230" s="514"/>
      <c r="PWM230" s="514"/>
      <c r="PWN230" s="514"/>
      <c r="PWO230" s="514"/>
      <c r="PWP230" s="514"/>
      <c r="PWQ230" s="514"/>
      <c r="PWR230" s="514"/>
      <c r="PWS230" s="514"/>
      <c r="PWT230" s="514"/>
      <c r="PWU230" s="514"/>
      <c r="PWV230" s="514"/>
      <c r="PWW230" s="514"/>
      <c r="PWX230" s="514"/>
      <c r="PWY230" s="514"/>
      <c r="PWZ230" s="514"/>
      <c r="PXA230" s="514"/>
      <c r="PXB230" s="514"/>
      <c r="PXC230" s="514"/>
      <c r="PXD230" s="514"/>
      <c r="PXE230" s="514"/>
      <c r="PXF230" s="514"/>
      <c r="PXG230" s="514"/>
      <c r="PXH230" s="514"/>
      <c r="PXI230" s="514"/>
      <c r="PXJ230" s="514"/>
      <c r="PXK230" s="514"/>
      <c r="PXL230" s="514"/>
      <c r="PXM230" s="514"/>
      <c r="PXN230" s="514"/>
      <c r="PXO230" s="514"/>
      <c r="PXP230" s="514"/>
      <c r="PXQ230" s="514"/>
      <c r="PXR230" s="514"/>
      <c r="PXS230" s="514"/>
      <c r="PXT230" s="514"/>
      <c r="PXU230" s="514"/>
      <c r="PXV230" s="514"/>
      <c r="PXW230" s="514"/>
      <c r="PXX230" s="514"/>
      <c r="PXY230" s="514"/>
      <c r="PXZ230" s="514"/>
      <c r="PYA230" s="514"/>
      <c r="PYB230" s="514"/>
      <c r="PYC230" s="514"/>
      <c r="PYD230" s="514"/>
      <c r="PYE230" s="514"/>
      <c r="PYF230" s="514"/>
      <c r="PYG230" s="514"/>
      <c r="PYH230" s="514"/>
      <c r="PYI230" s="514"/>
      <c r="PYJ230" s="514"/>
      <c r="PYK230" s="514"/>
      <c r="PYL230" s="514"/>
      <c r="PYM230" s="514"/>
      <c r="PYN230" s="514"/>
      <c r="PYO230" s="514"/>
      <c r="PYP230" s="514"/>
      <c r="PYQ230" s="514"/>
      <c r="PYR230" s="514"/>
      <c r="PYS230" s="514"/>
      <c r="PYT230" s="514"/>
      <c r="PYU230" s="514"/>
      <c r="PYV230" s="514"/>
      <c r="PYW230" s="514"/>
      <c r="PYX230" s="514"/>
      <c r="PYY230" s="514"/>
      <c r="PYZ230" s="514"/>
      <c r="PZA230" s="514"/>
      <c r="PZB230" s="514"/>
      <c r="PZC230" s="514"/>
      <c r="PZD230" s="514"/>
      <c r="PZE230" s="514"/>
      <c r="PZF230" s="514"/>
      <c r="PZG230" s="514"/>
      <c r="PZH230" s="514"/>
      <c r="PZI230" s="514"/>
      <c r="PZJ230" s="514"/>
      <c r="PZK230" s="514"/>
      <c r="PZL230" s="514"/>
      <c r="PZM230" s="514"/>
      <c r="PZN230" s="514"/>
      <c r="PZO230" s="514"/>
      <c r="PZP230" s="514"/>
      <c r="PZQ230" s="514"/>
      <c r="PZR230" s="514"/>
      <c r="PZS230" s="514"/>
      <c r="PZT230" s="514"/>
      <c r="PZU230" s="514"/>
      <c r="PZV230" s="514"/>
      <c r="PZW230" s="514"/>
      <c r="PZX230" s="514"/>
      <c r="PZY230" s="514"/>
      <c r="PZZ230" s="514"/>
      <c r="QAA230" s="514"/>
      <c r="QAB230" s="514"/>
      <c r="QAC230" s="514"/>
      <c r="QAD230" s="514"/>
      <c r="QAE230" s="514"/>
      <c r="QAF230" s="514"/>
      <c r="QAG230" s="514"/>
      <c r="QAH230" s="514"/>
      <c r="QAI230" s="514"/>
      <c r="QAJ230" s="514"/>
      <c r="QAK230" s="514"/>
      <c r="QAL230" s="514"/>
      <c r="QAM230" s="514"/>
      <c r="QAN230" s="514"/>
      <c r="QAO230" s="514"/>
      <c r="QAP230" s="514"/>
      <c r="QAQ230" s="514"/>
      <c r="QAR230" s="514"/>
      <c r="QAS230" s="514"/>
      <c r="QAT230" s="514"/>
      <c r="QAU230" s="514"/>
      <c r="QAV230" s="514"/>
      <c r="QAW230" s="514"/>
      <c r="QAX230" s="514"/>
      <c r="QAY230" s="514"/>
      <c r="QAZ230" s="514"/>
      <c r="QBA230" s="514"/>
      <c r="QBB230" s="514"/>
      <c r="QBC230" s="514"/>
      <c r="QBD230" s="514"/>
      <c r="QBE230" s="514"/>
      <c r="QBF230" s="514"/>
      <c r="QBG230" s="514"/>
      <c r="QBH230" s="514"/>
      <c r="QBI230" s="514"/>
      <c r="QBJ230" s="514"/>
      <c r="QBK230" s="514"/>
      <c r="QBL230" s="514"/>
      <c r="QBM230" s="514"/>
      <c r="QBN230" s="514"/>
      <c r="QBO230" s="514"/>
      <c r="QBP230" s="514"/>
      <c r="QBQ230" s="514"/>
      <c r="QBR230" s="514"/>
      <c r="QBS230" s="514"/>
      <c r="QBT230" s="514"/>
      <c r="QBU230" s="514"/>
      <c r="QBV230" s="514"/>
      <c r="QBW230" s="514"/>
      <c r="QBX230" s="514"/>
      <c r="QBY230" s="514"/>
      <c r="QBZ230" s="514"/>
      <c r="QCA230" s="514"/>
      <c r="QCB230" s="514"/>
      <c r="QCC230" s="514"/>
      <c r="QCD230" s="514"/>
      <c r="QCE230" s="514"/>
      <c r="QCF230" s="514"/>
      <c r="QCG230" s="514"/>
      <c r="QCH230" s="514"/>
      <c r="QCI230" s="514"/>
      <c r="QCJ230" s="514"/>
      <c r="QCK230" s="514"/>
      <c r="QCL230" s="514"/>
      <c r="QCM230" s="514"/>
      <c r="QCN230" s="514"/>
      <c r="QCO230" s="514"/>
      <c r="QCP230" s="514"/>
      <c r="QCQ230" s="514"/>
      <c r="QCR230" s="514"/>
      <c r="QCS230" s="514"/>
      <c r="QCT230" s="514"/>
      <c r="QCU230" s="514"/>
      <c r="QCV230" s="514"/>
      <c r="QCW230" s="514"/>
      <c r="QCX230" s="514"/>
      <c r="QCY230" s="514"/>
      <c r="QCZ230" s="514"/>
      <c r="QDA230" s="514"/>
      <c r="QDB230" s="514"/>
      <c r="QDC230" s="514"/>
      <c r="QDD230" s="514"/>
      <c r="QDE230" s="514"/>
      <c r="QDF230" s="514"/>
      <c r="QDG230" s="514"/>
      <c r="QDH230" s="514"/>
      <c r="QDI230" s="514"/>
      <c r="QDJ230" s="514"/>
      <c r="QDK230" s="514"/>
      <c r="QDL230" s="514"/>
      <c r="QDM230" s="514"/>
      <c r="QDN230" s="514"/>
      <c r="QDO230" s="514"/>
      <c r="QDP230" s="514"/>
      <c r="QDQ230" s="514"/>
      <c r="QDR230" s="514"/>
      <c r="QDS230" s="514"/>
      <c r="QDT230" s="514"/>
      <c r="QDU230" s="514"/>
      <c r="QDV230" s="514"/>
      <c r="QDW230" s="514"/>
      <c r="QDX230" s="514"/>
      <c r="QDY230" s="514"/>
      <c r="QDZ230" s="514"/>
      <c r="QEA230" s="514"/>
      <c r="QEB230" s="514"/>
      <c r="QEC230" s="514"/>
      <c r="QED230" s="514"/>
      <c r="QEE230" s="514"/>
      <c r="QEF230" s="514"/>
      <c r="QEG230" s="514"/>
      <c r="QEH230" s="514"/>
      <c r="QEI230" s="514"/>
      <c r="QEJ230" s="514"/>
      <c r="QEK230" s="514"/>
      <c r="QEL230" s="514"/>
      <c r="QEM230" s="514"/>
      <c r="QEN230" s="514"/>
      <c r="QEO230" s="514"/>
      <c r="QEP230" s="514"/>
      <c r="QEQ230" s="514"/>
      <c r="QER230" s="514"/>
      <c r="QES230" s="514"/>
      <c r="QET230" s="514"/>
      <c r="QEU230" s="514"/>
      <c r="QEV230" s="514"/>
      <c r="QEW230" s="514"/>
      <c r="QEX230" s="514"/>
      <c r="QEY230" s="514"/>
      <c r="QEZ230" s="514"/>
      <c r="QFA230" s="514"/>
      <c r="QFB230" s="514"/>
      <c r="QFC230" s="514"/>
      <c r="QFD230" s="514"/>
      <c r="QFE230" s="514"/>
      <c r="QFF230" s="514"/>
      <c r="QFG230" s="514"/>
      <c r="QFH230" s="514"/>
      <c r="QFI230" s="514"/>
      <c r="QFJ230" s="514"/>
      <c r="QFK230" s="514"/>
      <c r="QFL230" s="514"/>
      <c r="QFM230" s="514"/>
      <c r="QFN230" s="514"/>
      <c r="QFO230" s="514"/>
      <c r="QFP230" s="514"/>
      <c r="QFQ230" s="514"/>
      <c r="QFR230" s="514"/>
      <c r="QFS230" s="514"/>
      <c r="QFT230" s="514"/>
      <c r="QFU230" s="514"/>
      <c r="QFV230" s="514"/>
      <c r="QFW230" s="514"/>
      <c r="QFX230" s="514"/>
      <c r="QFY230" s="514"/>
      <c r="QFZ230" s="514"/>
      <c r="QGA230" s="514"/>
      <c r="QGB230" s="514"/>
      <c r="QGC230" s="514"/>
      <c r="QGD230" s="514"/>
      <c r="QGE230" s="514"/>
      <c r="QGF230" s="514"/>
      <c r="QGG230" s="514"/>
      <c r="QGH230" s="514"/>
      <c r="QGI230" s="514"/>
      <c r="QGJ230" s="514"/>
      <c r="QGK230" s="514"/>
      <c r="QGL230" s="514"/>
      <c r="QGM230" s="514"/>
      <c r="QGN230" s="514"/>
      <c r="QGO230" s="514"/>
      <c r="QGP230" s="514"/>
      <c r="QGQ230" s="514"/>
      <c r="QGR230" s="514"/>
      <c r="QGS230" s="514"/>
      <c r="QGT230" s="514"/>
      <c r="QGU230" s="514"/>
      <c r="QGV230" s="514"/>
      <c r="QGW230" s="514"/>
      <c r="QGX230" s="514"/>
      <c r="QGY230" s="514"/>
      <c r="QGZ230" s="514"/>
      <c r="QHA230" s="514"/>
      <c r="QHB230" s="514"/>
      <c r="QHC230" s="514"/>
      <c r="QHD230" s="514"/>
      <c r="QHE230" s="514"/>
      <c r="QHF230" s="514"/>
      <c r="QHG230" s="514"/>
      <c r="QHH230" s="514"/>
      <c r="QHI230" s="514"/>
      <c r="QHJ230" s="514"/>
      <c r="QHK230" s="514"/>
      <c r="QHL230" s="514"/>
      <c r="QHM230" s="514"/>
      <c r="QHN230" s="514"/>
      <c r="QHO230" s="514"/>
      <c r="QHP230" s="514"/>
      <c r="QHQ230" s="514"/>
      <c r="QHR230" s="514"/>
      <c r="QHS230" s="514"/>
      <c r="QHT230" s="514"/>
      <c r="QHU230" s="514"/>
      <c r="QHV230" s="514"/>
      <c r="QHW230" s="514"/>
      <c r="QHX230" s="514"/>
      <c r="QHY230" s="514"/>
      <c r="QHZ230" s="514"/>
      <c r="QIA230" s="514"/>
      <c r="QIB230" s="514"/>
      <c r="QIC230" s="514"/>
      <c r="QID230" s="514"/>
      <c r="QIE230" s="514"/>
      <c r="QIF230" s="514"/>
      <c r="QIG230" s="514"/>
      <c r="QIH230" s="514"/>
      <c r="QII230" s="514"/>
      <c r="QIJ230" s="514"/>
      <c r="QIK230" s="514"/>
      <c r="QIL230" s="514"/>
      <c r="QIM230" s="514"/>
      <c r="QIN230" s="514"/>
      <c r="QIO230" s="514"/>
      <c r="QIP230" s="514"/>
      <c r="QIQ230" s="514"/>
      <c r="QIR230" s="514"/>
      <c r="QIS230" s="514"/>
      <c r="QIT230" s="514"/>
      <c r="QIU230" s="514"/>
      <c r="QIV230" s="514"/>
      <c r="QIW230" s="514"/>
      <c r="QIX230" s="514"/>
      <c r="QIY230" s="514"/>
      <c r="QIZ230" s="514"/>
      <c r="QJA230" s="514"/>
      <c r="QJB230" s="514"/>
      <c r="QJC230" s="514"/>
      <c r="QJD230" s="514"/>
      <c r="QJE230" s="514"/>
      <c r="QJF230" s="514"/>
      <c r="QJG230" s="514"/>
      <c r="QJH230" s="514"/>
      <c r="QJI230" s="514"/>
      <c r="QJJ230" s="514"/>
      <c r="QJK230" s="514"/>
      <c r="QJL230" s="514"/>
      <c r="QJM230" s="514"/>
      <c r="QJN230" s="514"/>
      <c r="QJO230" s="514"/>
      <c r="QJP230" s="514"/>
      <c r="QJQ230" s="514"/>
      <c r="QJR230" s="514"/>
      <c r="QJS230" s="514"/>
      <c r="QJT230" s="514"/>
      <c r="QJU230" s="514"/>
      <c r="QJV230" s="514"/>
      <c r="QJW230" s="514"/>
      <c r="QJX230" s="514"/>
      <c r="QJY230" s="514"/>
      <c r="QJZ230" s="514"/>
      <c r="QKA230" s="514"/>
      <c r="QKB230" s="514"/>
      <c r="QKC230" s="514"/>
      <c r="QKD230" s="514"/>
      <c r="QKE230" s="514"/>
      <c r="QKF230" s="514"/>
      <c r="QKG230" s="514"/>
      <c r="QKH230" s="514"/>
      <c r="QKI230" s="514"/>
      <c r="QKJ230" s="514"/>
      <c r="QKK230" s="514"/>
      <c r="QKL230" s="514"/>
      <c r="QKM230" s="514"/>
      <c r="QKN230" s="514"/>
      <c r="QKO230" s="514"/>
      <c r="QKP230" s="514"/>
      <c r="QKQ230" s="514"/>
      <c r="QKR230" s="514"/>
      <c r="QKS230" s="514"/>
      <c r="QKT230" s="514"/>
      <c r="QKU230" s="514"/>
      <c r="QKV230" s="514"/>
      <c r="QKW230" s="514"/>
      <c r="QKX230" s="514"/>
      <c r="QKY230" s="514"/>
      <c r="QKZ230" s="514"/>
      <c r="QLA230" s="514"/>
      <c r="QLB230" s="514"/>
      <c r="QLC230" s="514"/>
      <c r="QLD230" s="514"/>
      <c r="QLE230" s="514"/>
      <c r="QLF230" s="514"/>
      <c r="QLG230" s="514"/>
      <c r="QLH230" s="514"/>
      <c r="QLI230" s="514"/>
      <c r="QLJ230" s="514"/>
      <c r="QLK230" s="514"/>
      <c r="QLL230" s="514"/>
      <c r="QLM230" s="514"/>
      <c r="QLN230" s="514"/>
      <c r="QLO230" s="514"/>
      <c r="QLP230" s="514"/>
      <c r="QLQ230" s="514"/>
      <c r="QLR230" s="514"/>
      <c r="QLS230" s="514"/>
      <c r="QLT230" s="514"/>
      <c r="QLU230" s="514"/>
      <c r="QLV230" s="514"/>
      <c r="QLW230" s="514"/>
      <c r="QLX230" s="514"/>
      <c r="QLY230" s="514"/>
      <c r="QLZ230" s="514"/>
      <c r="QMA230" s="514"/>
      <c r="QMB230" s="514"/>
      <c r="QMC230" s="514"/>
      <c r="QMD230" s="514"/>
      <c r="QME230" s="514"/>
      <c r="QMF230" s="514"/>
      <c r="QMG230" s="514"/>
      <c r="QMH230" s="514"/>
      <c r="QMI230" s="514"/>
      <c r="QMJ230" s="514"/>
      <c r="QMK230" s="514"/>
      <c r="QML230" s="514"/>
      <c r="QMM230" s="514"/>
      <c r="QMN230" s="514"/>
      <c r="QMO230" s="514"/>
      <c r="QMP230" s="514"/>
      <c r="QMQ230" s="514"/>
      <c r="QMR230" s="514"/>
      <c r="QMS230" s="514"/>
      <c r="QMT230" s="514"/>
      <c r="QMU230" s="514"/>
      <c r="QMV230" s="514"/>
      <c r="QMW230" s="514"/>
      <c r="QMX230" s="514"/>
      <c r="QMY230" s="514"/>
      <c r="QMZ230" s="514"/>
      <c r="QNA230" s="514"/>
      <c r="QNB230" s="514"/>
      <c r="QNC230" s="514"/>
      <c r="QND230" s="514"/>
      <c r="QNE230" s="514"/>
      <c r="QNF230" s="514"/>
      <c r="QNG230" s="514"/>
      <c r="QNH230" s="514"/>
      <c r="QNI230" s="514"/>
      <c r="QNJ230" s="514"/>
      <c r="QNK230" s="514"/>
      <c r="QNL230" s="514"/>
      <c r="QNM230" s="514"/>
      <c r="QNN230" s="514"/>
      <c r="QNO230" s="514"/>
      <c r="QNP230" s="514"/>
      <c r="QNQ230" s="514"/>
      <c r="QNR230" s="514"/>
      <c r="QNS230" s="514"/>
      <c r="QNT230" s="514"/>
      <c r="QNU230" s="514"/>
      <c r="QNV230" s="514"/>
      <c r="QNW230" s="514"/>
      <c r="QNX230" s="514"/>
      <c r="QNY230" s="514"/>
      <c r="QNZ230" s="514"/>
      <c r="QOA230" s="514"/>
      <c r="QOB230" s="514"/>
      <c r="QOC230" s="514"/>
      <c r="QOD230" s="514"/>
      <c r="QOE230" s="514"/>
      <c r="QOF230" s="514"/>
      <c r="QOG230" s="514"/>
      <c r="QOH230" s="514"/>
      <c r="QOI230" s="514"/>
      <c r="QOJ230" s="514"/>
      <c r="QOK230" s="514"/>
      <c r="QOL230" s="514"/>
      <c r="QOM230" s="514"/>
      <c r="QON230" s="514"/>
      <c r="QOO230" s="514"/>
      <c r="QOP230" s="514"/>
      <c r="QOQ230" s="514"/>
      <c r="QOR230" s="514"/>
      <c r="QOS230" s="514"/>
      <c r="QOT230" s="514"/>
      <c r="QOU230" s="514"/>
      <c r="QOV230" s="514"/>
      <c r="QOW230" s="514"/>
      <c r="QOX230" s="514"/>
      <c r="QOY230" s="514"/>
      <c r="QOZ230" s="514"/>
      <c r="QPA230" s="514"/>
      <c r="QPB230" s="514"/>
      <c r="QPC230" s="514"/>
      <c r="QPD230" s="514"/>
      <c r="QPE230" s="514"/>
      <c r="QPF230" s="514"/>
      <c r="QPG230" s="514"/>
      <c r="QPH230" s="514"/>
      <c r="QPI230" s="514"/>
      <c r="QPJ230" s="514"/>
      <c r="QPK230" s="514"/>
      <c r="QPL230" s="514"/>
      <c r="QPM230" s="514"/>
      <c r="QPN230" s="514"/>
      <c r="QPO230" s="514"/>
      <c r="QPP230" s="514"/>
      <c r="QPQ230" s="514"/>
      <c r="QPR230" s="514"/>
      <c r="QPS230" s="514"/>
      <c r="QPT230" s="514"/>
      <c r="QPU230" s="514"/>
      <c r="QPV230" s="514"/>
      <c r="QPW230" s="514"/>
      <c r="QPX230" s="514"/>
      <c r="QPY230" s="514"/>
      <c r="QPZ230" s="514"/>
      <c r="QQA230" s="514"/>
      <c r="QQB230" s="514"/>
      <c r="QQC230" s="514"/>
      <c r="QQD230" s="514"/>
      <c r="QQE230" s="514"/>
      <c r="QQF230" s="514"/>
      <c r="QQG230" s="514"/>
      <c r="QQH230" s="514"/>
      <c r="QQI230" s="514"/>
      <c r="QQJ230" s="514"/>
      <c r="QQK230" s="514"/>
      <c r="QQL230" s="514"/>
      <c r="QQM230" s="514"/>
      <c r="QQN230" s="514"/>
      <c r="QQO230" s="514"/>
      <c r="QQP230" s="514"/>
      <c r="QQQ230" s="514"/>
      <c r="QQR230" s="514"/>
      <c r="QQS230" s="514"/>
      <c r="QQT230" s="514"/>
      <c r="QQU230" s="514"/>
      <c r="QQV230" s="514"/>
      <c r="QQW230" s="514"/>
      <c r="QQX230" s="514"/>
      <c r="QQY230" s="514"/>
      <c r="QQZ230" s="514"/>
      <c r="QRA230" s="514"/>
      <c r="QRB230" s="514"/>
      <c r="QRC230" s="514"/>
      <c r="QRD230" s="514"/>
      <c r="QRE230" s="514"/>
      <c r="QRF230" s="514"/>
      <c r="QRG230" s="514"/>
      <c r="QRH230" s="514"/>
      <c r="QRI230" s="514"/>
      <c r="QRJ230" s="514"/>
      <c r="QRK230" s="514"/>
      <c r="QRL230" s="514"/>
      <c r="QRM230" s="514"/>
      <c r="QRN230" s="514"/>
      <c r="QRO230" s="514"/>
      <c r="QRP230" s="514"/>
      <c r="QRQ230" s="514"/>
      <c r="QRR230" s="514"/>
      <c r="QRS230" s="514"/>
      <c r="QRT230" s="514"/>
      <c r="QRU230" s="514"/>
      <c r="QRV230" s="514"/>
      <c r="QRW230" s="514"/>
      <c r="QRX230" s="514"/>
      <c r="QRY230" s="514"/>
      <c r="QRZ230" s="514"/>
      <c r="QSA230" s="514"/>
      <c r="QSB230" s="514"/>
      <c r="QSC230" s="514"/>
      <c r="QSD230" s="514"/>
      <c r="QSE230" s="514"/>
      <c r="QSF230" s="514"/>
      <c r="QSG230" s="514"/>
      <c r="QSH230" s="514"/>
      <c r="QSI230" s="514"/>
      <c r="QSJ230" s="514"/>
      <c r="QSK230" s="514"/>
      <c r="QSL230" s="514"/>
      <c r="QSM230" s="514"/>
      <c r="QSN230" s="514"/>
      <c r="QSO230" s="514"/>
      <c r="QSP230" s="514"/>
      <c r="QSQ230" s="514"/>
      <c r="QSR230" s="514"/>
      <c r="QSS230" s="514"/>
      <c r="QST230" s="514"/>
      <c r="QSU230" s="514"/>
      <c r="QSV230" s="514"/>
      <c r="QSW230" s="514"/>
      <c r="QSX230" s="514"/>
      <c r="QSY230" s="514"/>
      <c r="QSZ230" s="514"/>
      <c r="QTA230" s="514"/>
      <c r="QTB230" s="514"/>
      <c r="QTC230" s="514"/>
      <c r="QTD230" s="514"/>
      <c r="QTE230" s="514"/>
      <c r="QTF230" s="514"/>
      <c r="QTG230" s="514"/>
      <c r="QTH230" s="514"/>
      <c r="QTI230" s="514"/>
      <c r="QTJ230" s="514"/>
      <c r="QTK230" s="514"/>
      <c r="QTL230" s="514"/>
      <c r="QTM230" s="514"/>
      <c r="QTN230" s="514"/>
      <c r="QTO230" s="514"/>
      <c r="QTP230" s="514"/>
      <c r="QTQ230" s="514"/>
      <c r="QTR230" s="514"/>
      <c r="QTS230" s="514"/>
      <c r="QTT230" s="514"/>
      <c r="QTU230" s="514"/>
      <c r="QTV230" s="514"/>
      <c r="QTW230" s="514"/>
      <c r="QTX230" s="514"/>
      <c r="QTY230" s="514"/>
      <c r="QTZ230" s="514"/>
      <c r="QUA230" s="514"/>
      <c r="QUB230" s="514"/>
      <c r="QUC230" s="514"/>
      <c r="QUD230" s="514"/>
      <c r="QUE230" s="514"/>
      <c r="QUF230" s="514"/>
      <c r="QUG230" s="514"/>
      <c r="QUH230" s="514"/>
      <c r="QUI230" s="514"/>
      <c r="QUJ230" s="514"/>
      <c r="QUK230" s="514"/>
      <c r="QUL230" s="514"/>
      <c r="QUM230" s="514"/>
      <c r="QUN230" s="514"/>
      <c r="QUO230" s="514"/>
      <c r="QUP230" s="514"/>
      <c r="QUQ230" s="514"/>
      <c r="QUR230" s="514"/>
      <c r="QUS230" s="514"/>
      <c r="QUT230" s="514"/>
      <c r="QUU230" s="514"/>
      <c r="QUV230" s="514"/>
      <c r="QUW230" s="514"/>
      <c r="QUX230" s="514"/>
      <c r="QUY230" s="514"/>
      <c r="QUZ230" s="514"/>
      <c r="QVA230" s="514"/>
      <c r="QVB230" s="514"/>
      <c r="QVC230" s="514"/>
      <c r="QVD230" s="514"/>
      <c r="QVE230" s="514"/>
      <c r="QVF230" s="514"/>
      <c r="QVG230" s="514"/>
      <c r="QVH230" s="514"/>
      <c r="QVI230" s="514"/>
      <c r="QVJ230" s="514"/>
      <c r="QVK230" s="514"/>
      <c r="QVL230" s="514"/>
      <c r="QVM230" s="514"/>
      <c r="QVN230" s="514"/>
      <c r="QVO230" s="514"/>
      <c r="QVP230" s="514"/>
      <c r="QVQ230" s="514"/>
      <c r="QVR230" s="514"/>
      <c r="QVS230" s="514"/>
      <c r="QVT230" s="514"/>
      <c r="QVU230" s="514"/>
      <c r="QVV230" s="514"/>
      <c r="QVW230" s="514"/>
      <c r="QVX230" s="514"/>
      <c r="QVY230" s="514"/>
      <c r="QVZ230" s="514"/>
      <c r="QWA230" s="514"/>
      <c r="QWB230" s="514"/>
      <c r="QWC230" s="514"/>
      <c r="QWD230" s="514"/>
      <c r="QWE230" s="514"/>
      <c r="QWF230" s="514"/>
      <c r="QWG230" s="514"/>
      <c r="QWH230" s="514"/>
      <c r="QWI230" s="514"/>
      <c r="QWJ230" s="514"/>
      <c r="QWK230" s="514"/>
      <c r="QWL230" s="514"/>
      <c r="QWM230" s="514"/>
      <c r="QWN230" s="514"/>
      <c r="QWO230" s="514"/>
      <c r="QWP230" s="514"/>
      <c r="QWQ230" s="514"/>
      <c r="QWR230" s="514"/>
      <c r="QWS230" s="514"/>
      <c r="QWT230" s="514"/>
      <c r="QWU230" s="514"/>
      <c r="QWV230" s="514"/>
      <c r="QWW230" s="514"/>
      <c r="QWX230" s="514"/>
      <c r="QWY230" s="514"/>
      <c r="QWZ230" s="514"/>
      <c r="QXA230" s="514"/>
      <c r="QXB230" s="514"/>
      <c r="QXC230" s="514"/>
      <c r="QXD230" s="514"/>
      <c r="QXE230" s="514"/>
      <c r="QXF230" s="514"/>
      <c r="QXG230" s="514"/>
      <c r="QXH230" s="514"/>
      <c r="QXI230" s="514"/>
      <c r="QXJ230" s="514"/>
      <c r="QXK230" s="514"/>
      <c r="QXL230" s="514"/>
      <c r="QXM230" s="514"/>
      <c r="QXN230" s="514"/>
      <c r="QXO230" s="514"/>
      <c r="QXP230" s="514"/>
      <c r="QXQ230" s="514"/>
      <c r="QXR230" s="514"/>
      <c r="QXS230" s="514"/>
      <c r="QXT230" s="514"/>
      <c r="QXU230" s="514"/>
      <c r="QXV230" s="514"/>
      <c r="QXW230" s="514"/>
      <c r="QXX230" s="514"/>
      <c r="QXY230" s="514"/>
      <c r="QXZ230" s="514"/>
      <c r="QYA230" s="514"/>
      <c r="QYB230" s="514"/>
      <c r="QYC230" s="514"/>
      <c r="QYD230" s="514"/>
      <c r="QYE230" s="514"/>
      <c r="QYF230" s="514"/>
      <c r="QYG230" s="514"/>
      <c r="QYH230" s="514"/>
      <c r="QYI230" s="514"/>
      <c r="QYJ230" s="514"/>
      <c r="QYK230" s="514"/>
      <c r="QYL230" s="514"/>
      <c r="QYM230" s="514"/>
      <c r="QYN230" s="514"/>
      <c r="QYO230" s="514"/>
      <c r="QYP230" s="514"/>
      <c r="QYQ230" s="514"/>
      <c r="QYR230" s="514"/>
      <c r="QYS230" s="514"/>
      <c r="QYT230" s="514"/>
      <c r="QYU230" s="514"/>
      <c r="QYV230" s="514"/>
      <c r="QYW230" s="514"/>
      <c r="QYX230" s="514"/>
      <c r="QYY230" s="514"/>
      <c r="QYZ230" s="514"/>
      <c r="QZA230" s="514"/>
      <c r="QZB230" s="514"/>
      <c r="QZC230" s="514"/>
      <c r="QZD230" s="514"/>
      <c r="QZE230" s="514"/>
      <c r="QZF230" s="514"/>
      <c r="QZG230" s="514"/>
      <c r="QZH230" s="514"/>
      <c r="QZI230" s="514"/>
      <c r="QZJ230" s="514"/>
      <c r="QZK230" s="514"/>
      <c r="QZL230" s="514"/>
      <c r="QZM230" s="514"/>
      <c r="QZN230" s="514"/>
      <c r="QZO230" s="514"/>
      <c r="QZP230" s="514"/>
      <c r="QZQ230" s="514"/>
      <c r="QZR230" s="514"/>
      <c r="QZS230" s="514"/>
      <c r="QZT230" s="514"/>
      <c r="QZU230" s="514"/>
      <c r="QZV230" s="514"/>
      <c r="QZW230" s="514"/>
      <c r="QZX230" s="514"/>
      <c r="QZY230" s="514"/>
      <c r="QZZ230" s="514"/>
      <c r="RAA230" s="514"/>
      <c r="RAB230" s="514"/>
      <c r="RAC230" s="514"/>
      <c r="RAD230" s="514"/>
      <c r="RAE230" s="514"/>
      <c r="RAF230" s="514"/>
      <c r="RAG230" s="514"/>
      <c r="RAH230" s="514"/>
      <c r="RAI230" s="514"/>
      <c r="RAJ230" s="514"/>
      <c r="RAK230" s="514"/>
      <c r="RAL230" s="514"/>
      <c r="RAM230" s="514"/>
      <c r="RAN230" s="514"/>
      <c r="RAO230" s="514"/>
      <c r="RAP230" s="514"/>
      <c r="RAQ230" s="514"/>
      <c r="RAR230" s="514"/>
      <c r="RAS230" s="514"/>
      <c r="RAT230" s="514"/>
      <c r="RAU230" s="514"/>
      <c r="RAV230" s="514"/>
      <c r="RAW230" s="514"/>
      <c r="RAX230" s="514"/>
      <c r="RAY230" s="514"/>
      <c r="RAZ230" s="514"/>
      <c r="RBA230" s="514"/>
      <c r="RBB230" s="514"/>
      <c r="RBC230" s="514"/>
      <c r="RBD230" s="514"/>
      <c r="RBE230" s="514"/>
      <c r="RBF230" s="514"/>
      <c r="RBG230" s="514"/>
      <c r="RBH230" s="514"/>
      <c r="RBI230" s="514"/>
      <c r="RBJ230" s="514"/>
      <c r="RBK230" s="514"/>
      <c r="RBL230" s="514"/>
      <c r="RBM230" s="514"/>
      <c r="RBN230" s="514"/>
      <c r="RBO230" s="514"/>
      <c r="RBP230" s="514"/>
      <c r="RBQ230" s="514"/>
      <c r="RBR230" s="514"/>
      <c r="RBS230" s="514"/>
      <c r="RBT230" s="514"/>
      <c r="RBU230" s="514"/>
      <c r="RBV230" s="514"/>
      <c r="RBW230" s="514"/>
      <c r="RBX230" s="514"/>
      <c r="RBY230" s="514"/>
      <c r="RBZ230" s="514"/>
      <c r="RCA230" s="514"/>
      <c r="RCB230" s="514"/>
      <c r="RCC230" s="514"/>
      <c r="RCD230" s="514"/>
      <c r="RCE230" s="514"/>
      <c r="RCF230" s="514"/>
      <c r="RCG230" s="514"/>
      <c r="RCH230" s="514"/>
      <c r="RCI230" s="514"/>
      <c r="RCJ230" s="514"/>
      <c r="RCK230" s="514"/>
      <c r="RCL230" s="514"/>
      <c r="RCM230" s="514"/>
      <c r="RCN230" s="514"/>
      <c r="RCO230" s="514"/>
      <c r="RCP230" s="514"/>
      <c r="RCQ230" s="514"/>
      <c r="RCR230" s="514"/>
      <c r="RCS230" s="514"/>
      <c r="RCT230" s="514"/>
      <c r="RCU230" s="514"/>
      <c r="RCV230" s="514"/>
      <c r="RCW230" s="514"/>
      <c r="RCX230" s="514"/>
      <c r="RCY230" s="514"/>
      <c r="RCZ230" s="514"/>
      <c r="RDA230" s="514"/>
      <c r="RDB230" s="514"/>
      <c r="RDC230" s="514"/>
      <c r="RDD230" s="514"/>
      <c r="RDE230" s="514"/>
      <c r="RDF230" s="514"/>
      <c r="RDG230" s="514"/>
      <c r="RDH230" s="514"/>
      <c r="RDI230" s="514"/>
      <c r="RDJ230" s="514"/>
      <c r="RDK230" s="514"/>
      <c r="RDL230" s="514"/>
      <c r="RDM230" s="514"/>
      <c r="RDN230" s="514"/>
      <c r="RDO230" s="514"/>
      <c r="RDP230" s="514"/>
      <c r="RDQ230" s="514"/>
      <c r="RDR230" s="514"/>
      <c r="RDS230" s="514"/>
      <c r="RDT230" s="514"/>
      <c r="RDU230" s="514"/>
      <c r="RDV230" s="514"/>
      <c r="RDW230" s="514"/>
      <c r="RDX230" s="514"/>
      <c r="RDY230" s="514"/>
      <c r="RDZ230" s="514"/>
      <c r="REA230" s="514"/>
      <c r="REB230" s="514"/>
      <c r="REC230" s="514"/>
      <c r="RED230" s="514"/>
      <c r="REE230" s="514"/>
      <c r="REF230" s="514"/>
      <c r="REG230" s="514"/>
      <c r="REH230" s="514"/>
      <c r="REI230" s="514"/>
      <c r="REJ230" s="514"/>
      <c r="REK230" s="514"/>
      <c r="REL230" s="514"/>
      <c r="REM230" s="514"/>
      <c r="REN230" s="514"/>
      <c r="REO230" s="514"/>
      <c r="REP230" s="514"/>
      <c r="REQ230" s="514"/>
      <c r="RER230" s="514"/>
      <c r="RES230" s="514"/>
      <c r="RET230" s="514"/>
      <c r="REU230" s="514"/>
      <c r="REV230" s="514"/>
      <c r="REW230" s="514"/>
      <c r="REX230" s="514"/>
      <c r="REY230" s="514"/>
      <c r="REZ230" s="514"/>
      <c r="RFA230" s="514"/>
      <c r="RFB230" s="514"/>
      <c r="RFC230" s="514"/>
      <c r="RFD230" s="514"/>
      <c r="RFE230" s="514"/>
      <c r="RFF230" s="514"/>
      <c r="RFG230" s="514"/>
      <c r="RFH230" s="514"/>
      <c r="RFI230" s="514"/>
      <c r="RFJ230" s="514"/>
      <c r="RFK230" s="514"/>
      <c r="RFL230" s="514"/>
      <c r="RFM230" s="514"/>
      <c r="RFN230" s="514"/>
      <c r="RFO230" s="514"/>
      <c r="RFP230" s="514"/>
      <c r="RFQ230" s="514"/>
      <c r="RFR230" s="514"/>
      <c r="RFS230" s="514"/>
      <c r="RFT230" s="514"/>
      <c r="RFU230" s="514"/>
      <c r="RFV230" s="514"/>
      <c r="RFW230" s="514"/>
      <c r="RFX230" s="514"/>
      <c r="RFY230" s="514"/>
      <c r="RFZ230" s="514"/>
      <c r="RGA230" s="514"/>
      <c r="RGB230" s="514"/>
      <c r="RGC230" s="514"/>
      <c r="RGD230" s="514"/>
      <c r="RGE230" s="514"/>
      <c r="RGF230" s="514"/>
      <c r="RGG230" s="514"/>
      <c r="RGH230" s="514"/>
      <c r="RGI230" s="514"/>
      <c r="RGJ230" s="514"/>
      <c r="RGK230" s="514"/>
      <c r="RGL230" s="514"/>
      <c r="RGM230" s="514"/>
      <c r="RGN230" s="514"/>
      <c r="RGO230" s="514"/>
      <c r="RGP230" s="514"/>
      <c r="RGQ230" s="514"/>
      <c r="RGR230" s="514"/>
      <c r="RGS230" s="514"/>
      <c r="RGT230" s="514"/>
      <c r="RGU230" s="514"/>
      <c r="RGV230" s="514"/>
      <c r="RGW230" s="514"/>
      <c r="RGX230" s="514"/>
      <c r="RGY230" s="514"/>
      <c r="RGZ230" s="514"/>
      <c r="RHA230" s="514"/>
      <c r="RHB230" s="514"/>
      <c r="RHC230" s="514"/>
      <c r="RHD230" s="514"/>
      <c r="RHE230" s="514"/>
      <c r="RHF230" s="514"/>
      <c r="RHG230" s="514"/>
      <c r="RHH230" s="514"/>
      <c r="RHI230" s="514"/>
      <c r="RHJ230" s="514"/>
      <c r="RHK230" s="514"/>
      <c r="RHL230" s="514"/>
      <c r="RHM230" s="514"/>
      <c r="RHN230" s="514"/>
      <c r="RHO230" s="514"/>
      <c r="RHP230" s="514"/>
      <c r="RHQ230" s="514"/>
      <c r="RHR230" s="514"/>
      <c r="RHS230" s="514"/>
      <c r="RHT230" s="514"/>
      <c r="RHU230" s="514"/>
      <c r="RHV230" s="514"/>
      <c r="RHW230" s="514"/>
      <c r="RHX230" s="514"/>
      <c r="RHY230" s="514"/>
      <c r="RHZ230" s="514"/>
      <c r="RIA230" s="514"/>
      <c r="RIB230" s="514"/>
      <c r="RIC230" s="514"/>
      <c r="RID230" s="514"/>
      <c r="RIE230" s="514"/>
      <c r="RIF230" s="514"/>
      <c r="RIG230" s="514"/>
      <c r="RIH230" s="514"/>
      <c r="RII230" s="514"/>
      <c r="RIJ230" s="514"/>
      <c r="RIK230" s="514"/>
      <c r="RIL230" s="514"/>
      <c r="RIM230" s="514"/>
      <c r="RIN230" s="514"/>
      <c r="RIO230" s="514"/>
      <c r="RIP230" s="514"/>
      <c r="RIQ230" s="514"/>
      <c r="RIR230" s="514"/>
      <c r="RIS230" s="514"/>
      <c r="RIT230" s="514"/>
      <c r="RIU230" s="514"/>
      <c r="RIV230" s="514"/>
      <c r="RIW230" s="514"/>
      <c r="RIX230" s="514"/>
      <c r="RIY230" s="514"/>
      <c r="RIZ230" s="514"/>
      <c r="RJA230" s="514"/>
      <c r="RJB230" s="514"/>
      <c r="RJC230" s="514"/>
      <c r="RJD230" s="514"/>
      <c r="RJE230" s="514"/>
      <c r="RJF230" s="514"/>
      <c r="RJG230" s="514"/>
      <c r="RJH230" s="514"/>
      <c r="RJI230" s="514"/>
      <c r="RJJ230" s="514"/>
      <c r="RJK230" s="514"/>
      <c r="RJL230" s="514"/>
      <c r="RJM230" s="514"/>
      <c r="RJN230" s="514"/>
      <c r="RJO230" s="514"/>
      <c r="RJP230" s="514"/>
      <c r="RJQ230" s="514"/>
      <c r="RJR230" s="514"/>
      <c r="RJS230" s="514"/>
      <c r="RJT230" s="514"/>
      <c r="RJU230" s="514"/>
      <c r="RJV230" s="514"/>
      <c r="RJW230" s="514"/>
      <c r="RJX230" s="514"/>
      <c r="RJY230" s="514"/>
      <c r="RJZ230" s="514"/>
      <c r="RKA230" s="514"/>
      <c r="RKB230" s="514"/>
      <c r="RKC230" s="514"/>
      <c r="RKD230" s="514"/>
      <c r="RKE230" s="514"/>
      <c r="RKF230" s="514"/>
      <c r="RKG230" s="514"/>
      <c r="RKH230" s="514"/>
      <c r="RKI230" s="514"/>
      <c r="RKJ230" s="514"/>
      <c r="RKK230" s="514"/>
      <c r="RKL230" s="514"/>
      <c r="RKM230" s="514"/>
      <c r="RKN230" s="514"/>
      <c r="RKO230" s="514"/>
      <c r="RKP230" s="514"/>
      <c r="RKQ230" s="514"/>
      <c r="RKR230" s="514"/>
      <c r="RKS230" s="514"/>
      <c r="RKT230" s="514"/>
      <c r="RKU230" s="514"/>
      <c r="RKV230" s="514"/>
      <c r="RKW230" s="514"/>
      <c r="RKX230" s="514"/>
      <c r="RKY230" s="514"/>
      <c r="RKZ230" s="514"/>
      <c r="RLA230" s="514"/>
      <c r="RLB230" s="514"/>
      <c r="RLC230" s="514"/>
      <c r="RLD230" s="514"/>
      <c r="RLE230" s="514"/>
      <c r="RLF230" s="514"/>
      <c r="RLG230" s="514"/>
      <c r="RLH230" s="514"/>
      <c r="RLI230" s="514"/>
      <c r="RLJ230" s="514"/>
      <c r="RLK230" s="514"/>
      <c r="RLL230" s="514"/>
      <c r="RLM230" s="514"/>
      <c r="RLN230" s="514"/>
      <c r="RLO230" s="514"/>
      <c r="RLP230" s="514"/>
      <c r="RLQ230" s="514"/>
      <c r="RLR230" s="514"/>
      <c r="RLS230" s="514"/>
      <c r="RLT230" s="514"/>
      <c r="RLU230" s="514"/>
      <c r="RLV230" s="514"/>
      <c r="RLW230" s="514"/>
      <c r="RLX230" s="514"/>
      <c r="RLY230" s="514"/>
      <c r="RLZ230" s="514"/>
      <c r="RMA230" s="514"/>
      <c r="RMB230" s="514"/>
      <c r="RMC230" s="514"/>
      <c r="RMD230" s="514"/>
      <c r="RME230" s="514"/>
      <c r="RMF230" s="514"/>
      <c r="RMG230" s="514"/>
      <c r="RMH230" s="514"/>
      <c r="RMI230" s="514"/>
      <c r="RMJ230" s="514"/>
      <c r="RMK230" s="514"/>
      <c r="RML230" s="514"/>
      <c r="RMM230" s="514"/>
      <c r="RMN230" s="514"/>
      <c r="RMO230" s="514"/>
      <c r="RMP230" s="514"/>
      <c r="RMQ230" s="514"/>
      <c r="RMR230" s="514"/>
      <c r="RMS230" s="514"/>
      <c r="RMT230" s="514"/>
      <c r="RMU230" s="514"/>
      <c r="RMV230" s="514"/>
      <c r="RMW230" s="514"/>
      <c r="RMX230" s="514"/>
      <c r="RMY230" s="514"/>
      <c r="RMZ230" s="514"/>
      <c r="RNA230" s="514"/>
      <c r="RNB230" s="514"/>
      <c r="RNC230" s="514"/>
      <c r="RND230" s="514"/>
      <c r="RNE230" s="514"/>
      <c r="RNF230" s="514"/>
      <c r="RNG230" s="514"/>
      <c r="RNH230" s="514"/>
      <c r="RNI230" s="514"/>
      <c r="RNJ230" s="514"/>
      <c r="RNK230" s="514"/>
      <c r="RNL230" s="514"/>
      <c r="RNM230" s="514"/>
      <c r="RNN230" s="514"/>
      <c r="RNO230" s="514"/>
      <c r="RNP230" s="514"/>
      <c r="RNQ230" s="514"/>
      <c r="RNR230" s="514"/>
      <c r="RNS230" s="514"/>
      <c r="RNT230" s="514"/>
      <c r="RNU230" s="514"/>
      <c r="RNV230" s="514"/>
      <c r="RNW230" s="514"/>
      <c r="RNX230" s="514"/>
      <c r="RNY230" s="514"/>
      <c r="RNZ230" s="514"/>
      <c r="ROA230" s="514"/>
      <c r="ROB230" s="514"/>
      <c r="ROC230" s="514"/>
      <c r="ROD230" s="514"/>
      <c r="ROE230" s="514"/>
      <c r="ROF230" s="514"/>
      <c r="ROG230" s="514"/>
      <c r="ROH230" s="514"/>
      <c r="ROI230" s="514"/>
      <c r="ROJ230" s="514"/>
      <c r="ROK230" s="514"/>
      <c r="ROL230" s="514"/>
      <c r="ROM230" s="514"/>
      <c r="RON230" s="514"/>
      <c r="ROO230" s="514"/>
      <c r="ROP230" s="514"/>
      <c r="ROQ230" s="514"/>
      <c r="ROR230" s="514"/>
      <c r="ROS230" s="514"/>
      <c r="ROT230" s="514"/>
      <c r="ROU230" s="514"/>
      <c r="ROV230" s="514"/>
      <c r="ROW230" s="514"/>
      <c r="ROX230" s="514"/>
      <c r="ROY230" s="514"/>
      <c r="ROZ230" s="514"/>
      <c r="RPA230" s="514"/>
      <c r="RPB230" s="514"/>
      <c r="RPC230" s="514"/>
      <c r="RPD230" s="514"/>
      <c r="RPE230" s="514"/>
      <c r="RPF230" s="514"/>
      <c r="RPG230" s="514"/>
      <c r="RPH230" s="514"/>
      <c r="RPI230" s="514"/>
      <c r="RPJ230" s="514"/>
      <c r="RPK230" s="514"/>
      <c r="RPL230" s="514"/>
      <c r="RPM230" s="514"/>
      <c r="RPN230" s="514"/>
      <c r="RPO230" s="514"/>
      <c r="RPP230" s="514"/>
      <c r="RPQ230" s="514"/>
      <c r="RPR230" s="514"/>
      <c r="RPS230" s="514"/>
      <c r="RPT230" s="514"/>
      <c r="RPU230" s="514"/>
      <c r="RPV230" s="514"/>
      <c r="RPW230" s="514"/>
      <c r="RPX230" s="514"/>
      <c r="RPY230" s="514"/>
      <c r="RPZ230" s="514"/>
      <c r="RQA230" s="514"/>
      <c r="RQB230" s="514"/>
      <c r="RQC230" s="514"/>
      <c r="RQD230" s="514"/>
      <c r="RQE230" s="514"/>
      <c r="RQF230" s="514"/>
      <c r="RQG230" s="514"/>
      <c r="RQH230" s="514"/>
      <c r="RQI230" s="514"/>
      <c r="RQJ230" s="514"/>
      <c r="RQK230" s="514"/>
      <c r="RQL230" s="514"/>
      <c r="RQM230" s="514"/>
      <c r="RQN230" s="514"/>
      <c r="RQO230" s="514"/>
      <c r="RQP230" s="514"/>
      <c r="RQQ230" s="514"/>
      <c r="RQR230" s="514"/>
      <c r="RQS230" s="514"/>
      <c r="RQT230" s="514"/>
      <c r="RQU230" s="514"/>
      <c r="RQV230" s="514"/>
      <c r="RQW230" s="514"/>
      <c r="RQX230" s="514"/>
      <c r="RQY230" s="514"/>
      <c r="RQZ230" s="514"/>
      <c r="RRA230" s="514"/>
      <c r="RRB230" s="514"/>
      <c r="RRC230" s="514"/>
      <c r="RRD230" s="514"/>
      <c r="RRE230" s="514"/>
      <c r="RRF230" s="514"/>
      <c r="RRG230" s="514"/>
      <c r="RRH230" s="514"/>
      <c r="RRI230" s="514"/>
      <c r="RRJ230" s="514"/>
      <c r="RRK230" s="514"/>
      <c r="RRL230" s="514"/>
      <c r="RRM230" s="514"/>
      <c r="RRN230" s="514"/>
      <c r="RRO230" s="514"/>
      <c r="RRP230" s="514"/>
      <c r="RRQ230" s="514"/>
      <c r="RRR230" s="514"/>
      <c r="RRS230" s="514"/>
      <c r="RRT230" s="514"/>
      <c r="RRU230" s="514"/>
      <c r="RRV230" s="514"/>
      <c r="RRW230" s="514"/>
      <c r="RRX230" s="514"/>
      <c r="RRY230" s="514"/>
      <c r="RRZ230" s="514"/>
      <c r="RSA230" s="514"/>
      <c r="RSB230" s="514"/>
      <c r="RSC230" s="514"/>
      <c r="RSD230" s="514"/>
      <c r="RSE230" s="514"/>
      <c r="RSF230" s="514"/>
      <c r="RSG230" s="514"/>
      <c r="RSH230" s="514"/>
      <c r="RSI230" s="514"/>
      <c r="RSJ230" s="514"/>
      <c r="RSK230" s="514"/>
      <c r="RSL230" s="514"/>
      <c r="RSM230" s="514"/>
      <c r="RSN230" s="514"/>
      <c r="RSO230" s="514"/>
      <c r="RSP230" s="514"/>
      <c r="RSQ230" s="514"/>
      <c r="RSR230" s="514"/>
      <c r="RSS230" s="514"/>
      <c r="RST230" s="514"/>
      <c r="RSU230" s="514"/>
      <c r="RSV230" s="514"/>
      <c r="RSW230" s="514"/>
      <c r="RSX230" s="514"/>
      <c r="RSY230" s="514"/>
      <c r="RSZ230" s="514"/>
      <c r="RTA230" s="514"/>
      <c r="RTB230" s="514"/>
      <c r="RTC230" s="514"/>
      <c r="RTD230" s="514"/>
      <c r="RTE230" s="514"/>
      <c r="RTF230" s="514"/>
      <c r="RTG230" s="514"/>
      <c r="RTH230" s="514"/>
      <c r="RTI230" s="514"/>
      <c r="RTJ230" s="514"/>
      <c r="RTK230" s="514"/>
      <c r="RTL230" s="514"/>
      <c r="RTM230" s="514"/>
      <c r="RTN230" s="514"/>
      <c r="RTO230" s="514"/>
      <c r="RTP230" s="514"/>
      <c r="RTQ230" s="514"/>
      <c r="RTR230" s="514"/>
      <c r="RTS230" s="514"/>
      <c r="RTT230" s="514"/>
      <c r="RTU230" s="514"/>
      <c r="RTV230" s="514"/>
      <c r="RTW230" s="514"/>
      <c r="RTX230" s="514"/>
      <c r="RTY230" s="514"/>
      <c r="RTZ230" s="514"/>
      <c r="RUA230" s="514"/>
      <c r="RUB230" s="514"/>
      <c r="RUC230" s="514"/>
      <c r="RUD230" s="514"/>
      <c r="RUE230" s="514"/>
      <c r="RUF230" s="514"/>
      <c r="RUG230" s="514"/>
      <c r="RUH230" s="514"/>
      <c r="RUI230" s="514"/>
      <c r="RUJ230" s="514"/>
      <c r="RUK230" s="514"/>
      <c r="RUL230" s="514"/>
      <c r="RUM230" s="514"/>
      <c r="RUN230" s="514"/>
      <c r="RUO230" s="514"/>
      <c r="RUP230" s="514"/>
      <c r="RUQ230" s="514"/>
      <c r="RUR230" s="514"/>
      <c r="RUS230" s="514"/>
      <c r="RUT230" s="514"/>
      <c r="RUU230" s="514"/>
      <c r="RUV230" s="514"/>
      <c r="RUW230" s="514"/>
      <c r="RUX230" s="514"/>
      <c r="RUY230" s="514"/>
      <c r="RUZ230" s="514"/>
      <c r="RVA230" s="514"/>
      <c r="RVB230" s="514"/>
      <c r="RVC230" s="514"/>
      <c r="RVD230" s="514"/>
      <c r="RVE230" s="514"/>
      <c r="RVF230" s="514"/>
      <c r="RVG230" s="514"/>
      <c r="RVH230" s="514"/>
      <c r="RVI230" s="514"/>
      <c r="RVJ230" s="514"/>
      <c r="RVK230" s="514"/>
      <c r="RVL230" s="514"/>
      <c r="RVM230" s="514"/>
      <c r="RVN230" s="514"/>
      <c r="RVO230" s="514"/>
      <c r="RVP230" s="514"/>
      <c r="RVQ230" s="514"/>
      <c r="RVR230" s="514"/>
      <c r="RVS230" s="514"/>
      <c r="RVT230" s="514"/>
      <c r="RVU230" s="514"/>
      <c r="RVV230" s="514"/>
      <c r="RVW230" s="514"/>
      <c r="RVX230" s="514"/>
      <c r="RVY230" s="514"/>
      <c r="RVZ230" s="514"/>
      <c r="RWA230" s="514"/>
      <c r="RWB230" s="514"/>
      <c r="RWC230" s="514"/>
      <c r="RWD230" s="514"/>
      <c r="RWE230" s="514"/>
      <c r="RWF230" s="514"/>
      <c r="RWG230" s="514"/>
      <c r="RWH230" s="514"/>
      <c r="RWI230" s="514"/>
      <c r="RWJ230" s="514"/>
      <c r="RWK230" s="514"/>
      <c r="RWL230" s="514"/>
      <c r="RWM230" s="514"/>
      <c r="RWN230" s="514"/>
      <c r="RWO230" s="514"/>
      <c r="RWP230" s="514"/>
      <c r="RWQ230" s="514"/>
      <c r="RWR230" s="514"/>
      <c r="RWS230" s="514"/>
      <c r="RWT230" s="514"/>
      <c r="RWU230" s="514"/>
      <c r="RWV230" s="514"/>
      <c r="RWW230" s="514"/>
      <c r="RWX230" s="514"/>
      <c r="RWY230" s="514"/>
      <c r="RWZ230" s="514"/>
      <c r="RXA230" s="514"/>
      <c r="RXB230" s="514"/>
      <c r="RXC230" s="514"/>
      <c r="RXD230" s="514"/>
      <c r="RXE230" s="514"/>
      <c r="RXF230" s="514"/>
      <c r="RXG230" s="514"/>
      <c r="RXH230" s="514"/>
      <c r="RXI230" s="514"/>
      <c r="RXJ230" s="514"/>
      <c r="RXK230" s="514"/>
      <c r="RXL230" s="514"/>
      <c r="RXM230" s="514"/>
      <c r="RXN230" s="514"/>
      <c r="RXO230" s="514"/>
      <c r="RXP230" s="514"/>
      <c r="RXQ230" s="514"/>
      <c r="RXR230" s="514"/>
      <c r="RXS230" s="514"/>
      <c r="RXT230" s="514"/>
      <c r="RXU230" s="514"/>
      <c r="RXV230" s="514"/>
      <c r="RXW230" s="514"/>
      <c r="RXX230" s="514"/>
      <c r="RXY230" s="514"/>
      <c r="RXZ230" s="514"/>
      <c r="RYA230" s="514"/>
      <c r="RYB230" s="514"/>
      <c r="RYC230" s="514"/>
      <c r="RYD230" s="514"/>
      <c r="RYE230" s="514"/>
      <c r="RYF230" s="514"/>
      <c r="RYG230" s="514"/>
      <c r="RYH230" s="514"/>
      <c r="RYI230" s="514"/>
      <c r="RYJ230" s="514"/>
      <c r="RYK230" s="514"/>
      <c r="RYL230" s="514"/>
      <c r="RYM230" s="514"/>
      <c r="RYN230" s="514"/>
      <c r="RYO230" s="514"/>
      <c r="RYP230" s="514"/>
      <c r="RYQ230" s="514"/>
      <c r="RYR230" s="514"/>
      <c r="RYS230" s="514"/>
      <c r="RYT230" s="514"/>
      <c r="RYU230" s="514"/>
      <c r="RYV230" s="514"/>
      <c r="RYW230" s="514"/>
      <c r="RYX230" s="514"/>
      <c r="RYY230" s="514"/>
      <c r="RYZ230" s="514"/>
      <c r="RZA230" s="514"/>
      <c r="RZB230" s="514"/>
      <c r="RZC230" s="514"/>
      <c r="RZD230" s="514"/>
      <c r="RZE230" s="514"/>
      <c r="RZF230" s="514"/>
      <c r="RZG230" s="514"/>
      <c r="RZH230" s="514"/>
      <c r="RZI230" s="514"/>
      <c r="RZJ230" s="514"/>
      <c r="RZK230" s="514"/>
      <c r="RZL230" s="514"/>
      <c r="RZM230" s="514"/>
      <c r="RZN230" s="514"/>
      <c r="RZO230" s="514"/>
      <c r="RZP230" s="514"/>
      <c r="RZQ230" s="514"/>
      <c r="RZR230" s="514"/>
      <c r="RZS230" s="514"/>
      <c r="RZT230" s="514"/>
      <c r="RZU230" s="514"/>
      <c r="RZV230" s="514"/>
      <c r="RZW230" s="514"/>
      <c r="RZX230" s="514"/>
      <c r="RZY230" s="514"/>
      <c r="RZZ230" s="514"/>
      <c r="SAA230" s="514"/>
      <c r="SAB230" s="514"/>
      <c r="SAC230" s="514"/>
      <c r="SAD230" s="514"/>
      <c r="SAE230" s="514"/>
      <c r="SAF230" s="514"/>
      <c r="SAG230" s="514"/>
      <c r="SAH230" s="514"/>
      <c r="SAI230" s="514"/>
      <c r="SAJ230" s="514"/>
      <c r="SAK230" s="514"/>
      <c r="SAL230" s="514"/>
      <c r="SAM230" s="514"/>
      <c r="SAN230" s="514"/>
      <c r="SAO230" s="514"/>
      <c r="SAP230" s="514"/>
      <c r="SAQ230" s="514"/>
      <c r="SAR230" s="514"/>
      <c r="SAS230" s="514"/>
      <c r="SAT230" s="514"/>
      <c r="SAU230" s="514"/>
      <c r="SAV230" s="514"/>
      <c r="SAW230" s="514"/>
      <c r="SAX230" s="514"/>
      <c r="SAY230" s="514"/>
      <c r="SAZ230" s="514"/>
      <c r="SBA230" s="514"/>
      <c r="SBB230" s="514"/>
      <c r="SBC230" s="514"/>
      <c r="SBD230" s="514"/>
      <c r="SBE230" s="514"/>
      <c r="SBF230" s="514"/>
      <c r="SBG230" s="514"/>
      <c r="SBH230" s="514"/>
      <c r="SBI230" s="514"/>
      <c r="SBJ230" s="514"/>
      <c r="SBK230" s="514"/>
      <c r="SBL230" s="514"/>
      <c r="SBM230" s="514"/>
      <c r="SBN230" s="514"/>
      <c r="SBO230" s="514"/>
      <c r="SBP230" s="514"/>
      <c r="SBQ230" s="514"/>
      <c r="SBR230" s="514"/>
      <c r="SBS230" s="514"/>
      <c r="SBT230" s="514"/>
      <c r="SBU230" s="514"/>
      <c r="SBV230" s="514"/>
      <c r="SBW230" s="514"/>
      <c r="SBX230" s="514"/>
      <c r="SBY230" s="514"/>
      <c r="SBZ230" s="514"/>
      <c r="SCA230" s="514"/>
      <c r="SCB230" s="514"/>
      <c r="SCC230" s="514"/>
      <c r="SCD230" s="514"/>
      <c r="SCE230" s="514"/>
      <c r="SCF230" s="514"/>
      <c r="SCG230" s="514"/>
      <c r="SCH230" s="514"/>
      <c r="SCI230" s="514"/>
      <c r="SCJ230" s="514"/>
      <c r="SCK230" s="514"/>
      <c r="SCL230" s="514"/>
      <c r="SCM230" s="514"/>
      <c r="SCN230" s="514"/>
      <c r="SCO230" s="514"/>
      <c r="SCP230" s="514"/>
      <c r="SCQ230" s="514"/>
      <c r="SCR230" s="514"/>
      <c r="SCS230" s="514"/>
      <c r="SCT230" s="514"/>
      <c r="SCU230" s="514"/>
      <c r="SCV230" s="514"/>
      <c r="SCW230" s="514"/>
      <c r="SCX230" s="514"/>
      <c r="SCY230" s="514"/>
      <c r="SCZ230" s="514"/>
      <c r="SDA230" s="514"/>
      <c r="SDB230" s="514"/>
      <c r="SDC230" s="514"/>
      <c r="SDD230" s="514"/>
      <c r="SDE230" s="514"/>
      <c r="SDF230" s="514"/>
      <c r="SDG230" s="514"/>
      <c r="SDH230" s="514"/>
      <c r="SDI230" s="514"/>
      <c r="SDJ230" s="514"/>
      <c r="SDK230" s="514"/>
      <c r="SDL230" s="514"/>
      <c r="SDM230" s="514"/>
      <c r="SDN230" s="514"/>
      <c r="SDO230" s="514"/>
      <c r="SDP230" s="514"/>
      <c r="SDQ230" s="514"/>
      <c r="SDR230" s="514"/>
      <c r="SDS230" s="514"/>
      <c r="SDT230" s="514"/>
      <c r="SDU230" s="514"/>
      <c r="SDV230" s="514"/>
      <c r="SDW230" s="514"/>
      <c r="SDX230" s="514"/>
      <c r="SDY230" s="514"/>
      <c r="SDZ230" s="514"/>
      <c r="SEA230" s="514"/>
      <c r="SEB230" s="514"/>
      <c r="SEC230" s="514"/>
      <c r="SED230" s="514"/>
      <c r="SEE230" s="514"/>
      <c r="SEF230" s="514"/>
      <c r="SEG230" s="514"/>
      <c r="SEH230" s="514"/>
      <c r="SEI230" s="514"/>
      <c r="SEJ230" s="514"/>
      <c r="SEK230" s="514"/>
      <c r="SEL230" s="514"/>
      <c r="SEM230" s="514"/>
      <c r="SEN230" s="514"/>
      <c r="SEO230" s="514"/>
      <c r="SEP230" s="514"/>
      <c r="SEQ230" s="514"/>
      <c r="SER230" s="514"/>
      <c r="SES230" s="514"/>
      <c r="SET230" s="514"/>
      <c r="SEU230" s="514"/>
      <c r="SEV230" s="514"/>
      <c r="SEW230" s="514"/>
      <c r="SEX230" s="514"/>
      <c r="SEY230" s="514"/>
      <c r="SEZ230" s="514"/>
      <c r="SFA230" s="514"/>
      <c r="SFB230" s="514"/>
      <c r="SFC230" s="514"/>
      <c r="SFD230" s="514"/>
      <c r="SFE230" s="514"/>
      <c r="SFF230" s="514"/>
      <c r="SFG230" s="514"/>
      <c r="SFH230" s="514"/>
      <c r="SFI230" s="514"/>
      <c r="SFJ230" s="514"/>
      <c r="SFK230" s="514"/>
      <c r="SFL230" s="514"/>
      <c r="SFM230" s="514"/>
      <c r="SFN230" s="514"/>
      <c r="SFO230" s="514"/>
      <c r="SFP230" s="514"/>
      <c r="SFQ230" s="514"/>
      <c r="SFR230" s="514"/>
      <c r="SFS230" s="514"/>
      <c r="SFT230" s="514"/>
      <c r="SFU230" s="514"/>
      <c r="SFV230" s="514"/>
      <c r="SFW230" s="514"/>
      <c r="SFX230" s="514"/>
      <c r="SFY230" s="514"/>
      <c r="SFZ230" s="514"/>
      <c r="SGA230" s="514"/>
      <c r="SGB230" s="514"/>
      <c r="SGC230" s="514"/>
      <c r="SGD230" s="514"/>
      <c r="SGE230" s="514"/>
      <c r="SGF230" s="514"/>
      <c r="SGG230" s="514"/>
      <c r="SGH230" s="514"/>
      <c r="SGI230" s="514"/>
      <c r="SGJ230" s="514"/>
      <c r="SGK230" s="514"/>
      <c r="SGL230" s="514"/>
      <c r="SGM230" s="514"/>
      <c r="SGN230" s="514"/>
      <c r="SGO230" s="514"/>
      <c r="SGP230" s="514"/>
      <c r="SGQ230" s="514"/>
      <c r="SGR230" s="514"/>
      <c r="SGS230" s="514"/>
      <c r="SGT230" s="514"/>
      <c r="SGU230" s="514"/>
      <c r="SGV230" s="514"/>
      <c r="SGW230" s="514"/>
      <c r="SGX230" s="514"/>
      <c r="SGY230" s="514"/>
      <c r="SGZ230" s="514"/>
      <c r="SHA230" s="514"/>
      <c r="SHB230" s="514"/>
      <c r="SHC230" s="514"/>
      <c r="SHD230" s="514"/>
      <c r="SHE230" s="514"/>
      <c r="SHF230" s="514"/>
      <c r="SHG230" s="514"/>
      <c r="SHH230" s="514"/>
      <c r="SHI230" s="514"/>
      <c r="SHJ230" s="514"/>
      <c r="SHK230" s="514"/>
      <c r="SHL230" s="514"/>
      <c r="SHM230" s="514"/>
      <c r="SHN230" s="514"/>
      <c r="SHO230" s="514"/>
      <c r="SHP230" s="514"/>
      <c r="SHQ230" s="514"/>
      <c r="SHR230" s="514"/>
      <c r="SHS230" s="514"/>
      <c r="SHT230" s="514"/>
      <c r="SHU230" s="514"/>
      <c r="SHV230" s="514"/>
      <c r="SHW230" s="514"/>
      <c r="SHX230" s="514"/>
      <c r="SHY230" s="514"/>
      <c r="SHZ230" s="514"/>
      <c r="SIA230" s="514"/>
      <c r="SIB230" s="514"/>
      <c r="SIC230" s="514"/>
      <c r="SID230" s="514"/>
      <c r="SIE230" s="514"/>
      <c r="SIF230" s="514"/>
      <c r="SIG230" s="514"/>
      <c r="SIH230" s="514"/>
      <c r="SII230" s="514"/>
      <c r="SIJ230" s="514"/>
      <c r="SIK230" s="514"/>
      <c r="SIL230" s="514"/>
      <c r="SIM230" s="514"/>
      <c r="SIN230" s="514"/>
      <c r="SIO230" s="514"/>
      <c r="SIP230" s="514"/>
      <c r="SIQ230" s="514"/>
      <c r="SIR230" s="514"/>
      <c r="SIS230" s="514"/>
      <c r="SIT230" s="514"/>
      <c r="SIU230" s="514"/>
      <c r="SIV230" s="514"/>
      <c r="SIW230" s="514"/>
      <c r="SIX230" s="514"/>
      <c r="SIY230" s="514"/>
      <c r="SIZ230" s="514"/>
      <c r="SJA230" s="514"/>
      <c r="SJB230" s="514"/>
      <c r="SJC230" s="514"/>
      <c r="SJD230" s="514"/>
      <c r="SJE230" s="514"/>
      <c r="SJF230" s="514"/>
      <c r="SJG230" s="514"/>
      <c r="SJH230" s="514"/>
      <c r="SJI230" s="514"/>
      <c r="SJJ230" s="514"/>
      <c r="SJK230" s="514"/>
      <c r="SJL230" s="514"/>
      <c r="SJM230" s="514"/>
      <c r="SJN230" s="514"/>
      <c r="SJO230" s="514"/>
      <c r="SJP230" s="514"/>
      <c r="SJQ230" s="514"/>
      <c r="SJR230" s="514"/>
      <c r="SJS230" s="514"/>
      <c r="SJT230" s="514"/>
      <c r="SJU230" s="514"/>
      <c r="SJV230" s="514"/>
      <c r="SJW230" s="514"/>
      <c r="SJX230" s="514"/>
      <c r="SJY230" s="514"/>
      <c r="SJZ230" s="514"/>
      <c r="SKA230" s="514"/>
      <c r="SKB230" s="514"/>
      <c r="SKC230" s="514"/>
      <c r="SKD230" s="514"/>
      <c r="SKE230" s="514"/>
      <c r="SKF230" s="514"/>
      <c r="SKG230" s="514"/>
      <c r="SKH230" s="514"/>
      <c r="SKI230" s="514"/>
      <c r="SKJ230" s="514"/>
      <c r="SKK230" s="514"/>
      <c r="SKL230" s="514"/>
      <c r="SKM230" s="514"/>
      <c r="SKN230" s="514"/>
      <c r="SKO230" s="514"/>
      <c r="SKP230" s="514"/>
      <c r="SKQ230" s="514"/>
      <c r="SKR230" s="514"/>
      <c r="SKS230" s="514"/>
      <c r="SKT230" s="514"/>
      <c r="SKU230" s="514"/>
      <c r="SKV230" s="514"/>
      <c r="SKW230" s="514"/>
      <c r="SKX230" s="514"/>
      <c r="SKY230" s="514"/>
      <c r="SKZ230" s="514"/>
      <c r="SLA230" s="514"/>
      <c r="SLB230" s="514"/>
      <c r="SLC230" s="514"/>
      <c r="SLD230" s="514"/>
      <c r="SLE230" s="514"/>
      <c r="SLF230" s="514"/>
      <c r="SLG230" s="514"/>
      <c r="SLH230" s="514"/>
      <c r="SLI230" s="514"/>
      <c r="SLJ230" s="514"/>
      <c r="SLK230" s="514"/>
      <c r="SLL230" s="514"/>
      <c r="SLM230" s="514"/>
      <c r="SLN230" s="514"/>
      <c r="SLO230" s="514"/>
      <c r="SLP230" s="514"/>
      <c r="SLQ230" s="514"/>
      <c r="SLR230" s="514"/>
      <c r="SLS230" s="514"/>
      <c r="SLT230" s="514"/>
      <c r="SLU230" s="514"/>
      <c r="SLV230" s="514"/>
      <c r="SLW230" s="514"/>
      <c r="SLX230" s="514"/>
      <c r="SLY230" s="514"/>
      <c r="SLZ230" s="514"/>
      <c r="SMA230" s="514"/>
      <c r="SMB230" s="514"/>
      <c r="SMC230" s="514"/>
      <c r="SMD230" s="514"/>
      <c r="SME230" s="514"/>
      <c r="SMF230" s="514"/>
      <c r="SMG230" s="514"/>
      <c r="SMH230" s="514"/>
      <c r="SMI230" s="514"/>
      <c r="SMJ230" s="514"/>
      <c r="SMK230" s="514"/>
      <c r="SML230" s="514"/>
      <c r="SMM230" s="514"/>
      <c r="SMN230" s="514"/>
      <c r="SMO230" s="514"/>
      <c r="SMP230" s="514"/>
      <c r="SMQ230" s="514"/>
      <c r="SMR230" s="514"/>
      <c r="SMS230" s="514"/>
      <c r="SMT230" s="514"/>
      <c r="SMU230" s="514"/>
      <c r="SMV230" s="514"/>
      <c r="SMW230" s="514"/>
      <c r="SMX230" s="514"/>
      <c r="SMY230" s="514"/>
      <c r="SMZ230" s="514"/>
      <c r="SNA230" s="514"/>
      <c r="SNB230" s="514"/>
      <c r="SNC230" s="514"/>
      <c r="SND230" s="514"/>
      <c r="SNE230" s="514"/>
      <c r="SNF230" s="514"/>
      <c r="SNG230" s="514"/>
      <c r="SNH230" s="514"/>
      <c r="SNI230" s="514"/>
      <c r="SNJ230" s="514"/>
      <c r="SNK230" s="514"/>
      <c r="SNL230" s="514"/>
      <c r="SNM230" s="514"/>
      <c r="SNN230" s="514"/>
      <c r="SNO230" s="514"/>
      <c r="SNP230" s="514"/>
      <c r="SNQ230" s="514"/>
      <c r="SNR230" s="514"/>
      <c r="SNS230" s="514"/>
      <c r="SNT230" s="514"/>
      <c r="SNU230" s="514"/>
      <c r="SNV230" s="514"/>
      <c r="SNW230" s="514"/>
      <c r="SNX230" s="514"/>
      <c r="SNY230" s="514"/>
      <c r="SNZ230" s="514"/>
      <c r="SOA230" s="514"/>
      <c r="SOB230" s="514"/>
      <c r="SOC230" s="514"/>
      <c r="SOD230" s="514"/>
      <c r="SOE230" s="514"/>
      <c r="SOF230" s="514"/>
      <c r="SOG230" s="514"/>
      <c r="SOH230" s="514"/>
      <c r="SOI230" s="514"/>
      <c r="SOJ230" s="514"/>
      <c r="SOK230" s="514"/>
      <c r="SOL230" s="514"/>
      <c r="SOM230" s="514"/>
      <c r="SON230" s="514"/>
      <c r="SOO230" s="514"/>
      <c r="SOP230" s="514"/>
      <c r="SOQ230" s="514"/>
      <c r="SOR230" s="514"/>
      <c r="SOS230" s="514"/>
      <c r="SOT230" s="514"/>
      <c r="SOU230" s="514"/>
      <c r="SOV230" s="514"/>
      <c r="SOW230" s="514"/>
      <c r="SOX230" s="514"/>
      <c r="SOY230" s="514"/>
      <c r="SOZ230" s="514"/>
      <c r="SPA230" s="514"/>
      <c r="SPB230" s="514"/>
      <c r="SPC230" s="514"/>
      <c r="SPD230" s="514"/>
      <c r="SPE230" s="514"/>
      <c r="SPF230" s="514"/>
      <c r="SPG230" s="514"/>
      <c r="SPH230" s="514"/>
      <c r="SPI230" s="514"/>
      <c r="SPJ230" s="514"/>
      <c r="SPK230" s="514"/>
      <c r="SPL230" s="514"/>
      <c r="SPM230" s="514"/>
      <c r="SPN230" s="514"/>
      <c r="SPO230" s="514"/>
      <c r="SPP230" s="514"/>
      <c r="SPQ230" s="514"/>
      <c r="SPR230" s="514"/>
      <c r="SPS230" s="514"/>
      <c r="SPT230" s="514"/>
      <c r="SPU230" s="514"/>
      <c r="SPV230" s="514"/>
      <c r="SPW230" s="514"/>
      <c r="SPX230" s="514"/>
      <c r="SPY230" s="514"/>
      <c r="SPZ230" s="514"/>
      <c r="SQA230" s="514"/>
      <c r="SQB230" s="514"/>
      <c r="SQC230" s="514"/>
      <c r="SQD230" s="514"/>
      <c r="SQE230" s="514"/>
      <c r="SQF230" s="514"/>
      <c r="SQG230" s="514"/>
      <c r="SQH230" s="514"/>
      <c r="SQI230" s="514"/>
      <c r="SQJ230" s="514"/>
      <c r="SQK230" s="514"/>
      <c r="SQL230" s="514"/>
      <c r="SQM230" s="514"/>
      <c r="SQN230" s="514"/>
      <c r="SQO230" s="514"/>
      <c r="SQP230" s="514"/>
      <c r="SQQ230" s="514"/>
      <c r="SQR230" s="514"/>
      <c r="SQS230" s="514"/>
      <c r="SQT230" s="514"/>
      <c r="SQU230" s="514"/>
      <c r="SQV230" s="514"/>
      <c r="SQW230" s="514"/>
      <c r="SQX230" s="514"/>
      <c r="SQY230" s="514"/>
      <c r="SQZ230" s="514"/>
      <c r="SRA230" s="514"/>
      <c r="SRB230" s="514"/>
      <c r="SRC230" s="514"/>
      <c r="SRD230" s="514"/>
      <c r="SRE230" s="514"/>
      <c r="SRF230" s="514"/>
      <c r="SRG230" s="514"/>
      <c r="SRH230" s="514"/>
      <c r="SRI230" s="514"/>
      <c r="SRJ230" s="514"/>
      <c r="SRK230" s="514"/>
      <c r="SRL230" s="514"/>
      <c r="SRM230" s="514"/>
      <c r="SRN230" s="514"/>
      <c r="SRO230" s="514"/>
      <c r="SRP230" s="514"/>
      <c r="SRQ230" s="514"/>
      <c r="SRR230" s="514"/>
      <c r="SRS230" s="514"/>
      <c r="SRT230" s="514"/>
      <c r="SRU230" s="514"/>
      <c r="SRV230" s="514"/>
      <c r="SRW230" s="514"/>
      <c r="SRX230" s="514"/>
      <c r="SRY230" s="514"/>
      <c r="SRZ230" s="514"/>
      <c r="SSA230" s="514"/>
      <c r="SSB230" s="514"/>
      <c r="SSC230" s="514"/>
      <c r="SSD230" s="514"/>
      <c r="SSE230" s="514"/>
      <c r="SSF230" s="514"/>
      <c r="SSG230" s="514"/>
      <c r="SSH230" s="514"/>
      <c r="SSI230" s="514"/>
      <c r="SSJ230" s="514"/>
      <c r="SSK230" s="514"/>
      <c r="SSL230" s="514"/>
      <c r="SSM230" s="514"/>
      <c r="SSN230" s="514"/>
      <c r="SSO230" s="514"/>
      <c r="SSP230" s="514"/>
      <c r="SSQ230" s="514"/>
      <c r="SSR230" s="514"/>
      <c r="SSS230" s="514"/>
      <c r="SST230" s="514"/>
      <c r="SSU230" s="514"/>
      <c r="SSV230" s="514"/>
      <c r="SSW230" s="514"/>
      <c r="SSX230" s="514"/>
      <c r="SSY230" s="514"/>
      <c r="SSZ230" s="514"/>
      <c r="STA230" s="514"/>
      <c r="STB230" s="514"/>
      <c r="STC230" s="514"/>
      <c r="STD230" s="514"/>
      <c r="STE230" s="514"/>
      <c r="STF230" s="514"/>
      <c r="STG230" s="514"/>
      <c r="STH230" s="514"/>
      <c r="STI230" s="514"/>
      <c r="STJ230" s="514"/>
      <c r="STK230" s="514"/>
      <c r="STL230" s="514"/>
      <c r="STM230" s="514"/>
      <c r="STN230" s="514"/>
      <c r="STO230" s="514"/>
      <c r="STP230" s="514"/>
      <c r="STQ230" s="514"/>
      <c r="STR230" s="514"/>
      <c r="STS230" s="514"/>
      <c r="STT230" s="514"/>
      <c r="STU230" s="514"/>
      <c r="STV230" s="514"/>
      <c r="STW230" s="514"/>
      <c r="STX230" s="514"/>
      <c r="STY230" s="514"/>
      <c r="STZ230" s="514"/>
      <c r="SUA230" s="514"/>
      <c r="SUB230" s="514"/>
      <c r="SUC230" s="514"/>
      <c r="SUD230" s="514"/>
      <c r="SUE230" s="514"/>
      <c r="SUF230" s="514"/>
      <c r="SUG230" s="514"/>
      <c r="SUH230" s="514"/>
      <c r="SUI230" s="514"/>
      <c r="SUJ230" s="514"/>
      <c r="SUK230" s="514"/>
      <c r="SUL230" s="514"/>
      <c r="SUM230" s="514"/>
      <c r="SUN230" s="514"/>
      <c r="SUO230" s="514"/>
      <c r="SUP230" s="514"/>
      <c r="SUQ230" s="514"/>
      <c r="SUR230" s="514"/>
      <c r="SUS230" s="514"/>
      <c r="SUT230" s="514"/>
      <c r="SUU230" s="514"/>
      <c r="SUV230" s="514"/>
      <c r="SUW230" s="514"/>
      <c r="SUX230" s="514"/>
      <c r="SUY230" s="514"/>
      <c r="SUZ230" s="514"/>
      <c r="SVA230" s="514"/>
      <c r="SVB230" s="514"/>
      <c r="SVC230" s="514"/>
      <c r="SVD230" s="514"/>
      <c r="SVE230" s="514"/>
      <c r="SVF230" s="514"/>
      <c r="SVG230" s="514"/>
      <c r="SVH230" s="514"/>
      <c r="SVI230" s="514"/>
      <c r="SVJ230" s="514"/>
      <c r="SVK230" s="514"/>
      <c r="SVL230" s="514"/>
      <c r="SVM230" s="514"/>
      <c r="SVN230" s="514"/>
      <c r="SVO230" s="514"/>
      <c r="SVP230" s="514"/>
      <c r="SVQ230" s="514"/>
      <c r="SVR230" s="514"/>
      <c r="SVS230" s="514"/>
      <c r="SVT230" s="514"/>
      <c r="SVU230" s="514"/>
      <c r="SVV230" s="514"/>
      <c r="SVW230" s="514"/>
      <c r="SVX230" s="514"/>
      <c r="SVY230" s="514"/>
      <c r="SVZ230" s="514"/>
      <c r="SWA230" s="514"/>
      <c r="SWB230" s="514"/>
      <c r="SWC230" s="514"/>
      <c r="SWD230" s="514"/>
      <c r="SWE230" s="514"/>
      <c r="SWF230" s="514"/>
      <c r="SWG230" s="514"/>
      <c r="SWH230" s="514"/>
      <c r="SWI230" s="514"/>
      <c r="SWJ230" s="514"/>
      <c r="SWK230" s="514"/>
      <c r="SWL230" s="514"/>
      <c r="SWM230" s="514"/>
      <c r="SWN230" s="514"/>
      <c r="SWO230" s="514"/>
      <c r="SWP230" s="514"/>
      <c r="SWQ230" s="514"/>
      <c r="SWR230" s="514"/>
      <c r="SWS230" s="514"/>
      <c r="SWT230" s="514"/>
      <c r="SWU230" s="514"/>
      <c r="SWV230" s="514"/>
      <c r="SWW230" s="514"/>
      <c r="SWX230" s="514"/>
      <c r="SWY230" s="514"/>
      <c r="SWZ230" s="514"/>
      <c r="SXA230" s="514"/>
      <c r="SXB230" s="514"/>
      <c r="SXC230" s="514"/>
      <c r="SXD230" s="514"/>
      <c r="SXE230" s="514"/>
      <c r="SXF230" s="514"/>
      <c r="SXG230" s="514"/>
      <c r="SXH230" s="514"/>
      <c r="SXI230" s="514"/>
      <c r="SXJ230" s="514"/>
      <c r="SXK230" s="514"/>
      <c r="SXL230" s="514"/>
      <c r="SXM230" s="514"/>
      <c r="SXN230" s="514"/>
      <c r="SXO230" s="514"/>
      <c r="SXP230" s="514"/>
      <c r="SXQ230" s="514"/>
      <c r="SXR230" s="514"/>
      <c r="SXS230" s="514"/>
      <c r="SXT230" s="514"/>
      <c r="SXU230" s="514"/>
      <c r="SXV230" s="514"/>
      <c r="SXW230" s="514"/>
      <c r="SXX230" s="514"/>
      <c r="SXY230" s="514"/>
      <c r="SXZ230" s="514"/>
      <c r="SYA230" s="514"/>
      <c r="SYB230" s="514"/>
      <c r="SYC230" s="514"/>
      <c r="SYD230" s="514"/>
      <c r="SYE230" s="514"/>
      <c r="SYF230" s="514"/>
      <c r="SYG230" s="514"/>
      <c r="SYH230" s="514"/>
      <c r="SYI230" s="514"/>
      <c r="SYJ230" s="514"/>
      <c r="SYK230" s="514"/>
      <c r="SYL230" s="514"/>
      <c r="SYM230" s="514"/>
      <c r="SYN230" s="514"/>
      <c r="SYO230" s="514"/>
      <c r="SYP230" s="514"/>
      <c r="SYQ230" s="514"/>
      <c r="SYR230" s="514"/>
      <c r="SYS230" s="514"/>
      <c r="SYT230" s="514"/>
      <c r="SYU230" s="514"/>
      <c r="SYV230" s="514"/>
      <c r="SYW230" s="514"/>
      <c r="SYX230" s="514"/>
      <c r="SYY230" s="514"/>
      <c r="SYZ230" s="514"/>
      <c r="SZA230" s="514"/>
      <c r="SZB230" s="514"/>
      <c r="SZC230" s="514"/>
      <c r="SZD230" s="514"/>
      <c r="SZE230" s="514"/>
      <c r="SZF230" s="514"/>
      <c r="SZG230" s="514"/>
      <c r="SZH230" s="514"/>
      <c r="SZI230" s="514"/>
      <c r="SZJ230" s="514"/>
      <c r="SZK230" s="514"/>
      <c r="SZL230" s="514"/>
      <c r="SZM230" s="514"/>
      <c r="SZN230" s="514"/>
      <c r="SZO230" s="514"/>
      <c r="SZP230" s="514"/>
      <c r="SZQ230" s="514"/>
      <c r="SZR230" s="514"/>
      <c r="SZS230" s="514"/>
      <c r="SZT230" s="514"/>
      <c r="SZU230" s="514"/>
      <c r="SZV230" s="514"/>
      <c r="SZW230" s="514"/>
      <c r="SZX230" s="514"/>
      <c r="SZY230" s="514"/>
      <c r="SZZ230" s="514"/>
      <c r="TAA230" s="514"/>
      <c r="TAB230" s="514"/>
      <c r="TAC230" s="514"/>
      <c r="TAD230" s="514"/>
      <c r="TAE230" s="514"/>
      <c r="TAF230" s="514"/>
      <c r="TAG230" s="514"/>
      <c r="TAH230" s="514"/>
      <c r="TAI230" s="514"/>
      <c r="TAJ230" s="514"/>
      <c r="TAK230" s="514"/>
      <c r="TAL230" s="514"/>
      <c r="TAM230" s="514"/>
      <c r="TAN230" s="514"/>
      <c r="TAO230" s="514"/>
      <c r="TAP230" s="514"/>
      <c r="TAQ230" s="514"/>
      <c r="TAR230" s="514"/>
      <c r="TAS230" s="514"/>
      <c r="TAT230" s="514"/>
      <c r="TAU230" s="514"/>
      <c r="TAV230" s="514"/>
      <c r="TAW230" s="514"/>
      <c r="TAX230" s="514"/>
      <c r="TAY230" s="514"/>
      <c r="TAZ230" s="514"/>
      <c r="TBA230" s="514"/>
      <c r="TBB230" s="514"/>
      <c r="TBC230" s="514"/>
      <c r="TBD230" s="514"/>
      <c r="TBE230" s="514"/>
      <c r="TBF230" s="514"/>
      <c r="TBG230" s="514"/>
      <c r="TBH230" s="514"/>
      <c r="TBI230" s="514"/>
      <c r="TBJ230" s="514"/>
      <c r="TBK230" s="514"/>
      <c r="TBL230" s="514"/>
      <c r="TBM230" s="514"/>
      <c r="TBN230" s="514"/>
      <c r="TBO230" s="514"/>
      <c r="TBP230" s="514"/>
      <c r="TBQ230" s="514"/>
      <c r="TBR230" s="514"/>
      <c r="TBS230" s="514"/>
      <c r="TBT230" s="514"/>
      <c r="TBU230" s="514"/>
      <c r="TBV230" s="514"/>
      <c r="TBW230" s="514"/>
      <c r="TBX230" s="514"/>
      <c r="TBY230" s="514"/>
      <c r="TBZ230" s="514"/>
      <c r="TCA230" s="514"/>
      <c r="TCB230" s="514"/>
      <c r="TCC230" s="514"/>
      <c r="TCD230" s="514"/>
      <c r="TCE230" s="514"/>
      <c r="TCF230" s="514"/>
      <c r="TCG230" s="514"/>
      <c r="TCH230" s="514"/>
      <c r="TCI230" s="514"/>
      <c r="TCJ230" s="514"/>
      <c r="TCK230" s="514"/>
      <c r="TCL230" s="514"/>
      <c r="TCM230" s="514"/>
      <c r="TCN230" s="514"/>
      <c r="TCO230" s="514"/>
      <c r="TCP230" s="514"/>
      <c r="TCQ230" s="514"/>
      <c r="TCR230" s="514"/>
      <c r="TCS230" s="514"/>
      <c r="TCT230" s="514"/>
      <c r="TCU230" s="514"/>
      <c r="TCV230" s="514"/>
      <c r="TCW230" s="514"/>
      <c r="TCX230" s="514"/>
      <c r="TCY230" s="514"/>
      <c r="TCZ230" s="514"/>
      <c r="TDA230" s="514"/>
      <c r="TDB230" s="514"/>
      <c r="TDC230" s="514"/>
      <c r="TDD230" s="514"/>
      <c r="TDE230" s="514"/>
      <c r="TDF230" s="514"/>
      <c r="TDG230" s="514"/>
      <c r="TDH230" s="514"/>
      <c r="TDI230" s="514"/>
      <c r="TDJ230" s="514"/>
      <c r="TDK230" s="514"/>
      <c r="TDL230" s="514"/>
      <c r="TDM230" s="514"/>
      <c r="TDN230" s="514"/>
      <c r="TDO230" s="514"/>
      <c r="TDP230" s="514"/>
      <c r="TDQ230" s="514"/>
      <c r="TDR230" s="514"/>
      <c r="TDS230" s="514"/>
      <c r="TDT230" s="514"/>
      <c r="TDU230" s="514"/>
      <c r="TDV230" s="514"/>
      <c r="TDW230" s="514"/>
      <c r="TDX230" s="514"/>
      <c r="TDY230" s="514"/>
      <c r="TDZ230" s="514"/>
      <c r="TEA230" s="514"/>
      <c r="TEB230" s="514"/>
      <c r="TEC230" s="514"/>
      <c r="TED230" s="514"/>
      <c r="TEE230" s="514"/>
      <c r="TEF230" s="514"/>
      <c r="TEG230" s="514"/>
      <c r="TEH230" s="514"/>
      <c r="TEI230" s="514"/>
      <c r="TEJ230" s="514"/>
      <c r="TEK230" s="514"/>
      <c r="TEL230" s="514"/>
      <c r="TEM230" s="514"/>
      <c r="TEN230" s="514"/>
      <c r="TEO230" s="514"/>
      <c r="TEP230" s="514"/>
      <c r="TEQ230" s="514"/>
      <c r="TER230" s="514"/>
      <c r="TES230" s="514"/>
      <c r="TET230" s="514"/>
      <c r="TEU230" s="514"/>
      <c r="TEV230" s="514"/>
      <c r="TEW230" s="514"/>
      <c r="TEX230" s="514"/>
      <c r="TEY230" s="514"/>
      <c r="TEZ230" s="514"/>
      <c r="TFA230" s="514"/>
      <c r="TFB230" s="514"/>
      <c r="TFC230" s="514"/>
      <c r="TFD230" s="514"/>
      <c r="TFE230" s="514"/>
      <c r="TFF230" s="514"/>
      <c r="TFG230" s="514"/>
      <c r="TFH230" s="514"/>
      <c r="TFI230" s="514"/>
      <c r="TFJ230" s="514"/>
      <c r="TFK230" s="514"/>
      <c r="TFL230" s="514"/>
      <c r="TFM230" s="514"/>
      <c r="TFN230" s="514"/>
      <c r="TFO230" s="514"/>
      <c r="TFP230" s="514"/>
      <c r="TFQ230" s="514"/>
      <c r="TFR230" s="514"/>
      <c r="TFS230" s="514"/>
      <c r="TFT230" s="514"/>
      <c r="TFU230" s="514"/>
      <c r="TFV230" s="514"/>
      <c r="TFW230" s="514"/>
      <c r="TFX230" s="514"/>
      <c r="TFY230" s="514"/>
      <c r="TFZ230" s="514"/>
      <c r="TGA230" s="514"/>
      <c r="TGB230" s="514"/>
      <c r="TGC230" s="514"/>
      <c r="TGD230" s="514"/>
      <c r="TGE230" s="514"/>
      <c r="TGF230" s="514"/>
      <c r="TGG230" s="514"/>
      <c r="TGH230" s="514"/>
      <c r="TGI230" s="514"/>
      <c r="TGJ230" s="514"/>
      <c r="TGK230" s="514"/>
      <c r="TGL230" s="514"/>
      <c r="TGM230" s="514"/>
      <c r="TGN230" s="514"/>
      <c r="TGO230" s="514"/>
      <c r="TGP230" s="514"/>
      <c r="TGQ230" s="514"/>
      <c r="TGR230" s="514"/>
      <c r="TGS230" s="514"/>
      <c r="TGT230" s="514"/>
      <c r="TGU230" s="514"/>
      <c r="TGV230" s="514"/>
      <c r="TGW230" s="514"/>
      <c r="TGX230" s="514"/>
      <c r="TGY230" s="514"/>
      <c r="TGZ230" s="514"/>
      <c r="THA230" s="514"/>
      <c r="THB230" s="514"/>
      <c r="THC230" s="514"/>
      <c r="THD230" s="514"/>
      <c r="THE230" s="514"/>
      <c r="THF230" s="514"/>
      <c r="THG230" s="514"/>
      <c r="THH230" s="514"/>
      <c r="THI230" s="514"/>
      <c r="THJ230" s="514"/>
      <c r="THK230" s="514"/>
      <c r="THL230" s="514"/>
      <c r="THM230" s="514"/>
      <c r="THN230" s="514"/>
      <c r="THO230" s="514"/>
      <c r="THP230" s="514"/>
      <c r="THQ230" s="514"/>
      <c r="THR230" s="514"/>
      <c r="THS230" s="514"/>
      <c r="THT230" s="514"/>
      <c r="THU230" s="514"/>
      <c r="THV230" s="514"/>
      <c r="THW230" s="514"/>
      <c r="THX230" s="514"/>
      <c r="THY230" s="514"/>
      <c r="THZ230" s="514"/>
      <c r="TIA230" s="514"/>
      <c r="TIB230" s="514"/>
      <c r="TIC230" s="514"/>
      <c r="TID230" s="514"/>
      <c r="TIE230" s="514"/>
      <c r="TIF230" s="514"/>
      <c r="TIG230" s="514"/>
      <c r="TIH230" s="514"/>
      <c r="TII230" s="514"/>
      <c r="TIJ230" s="514"/>
      <c r="TIK230" s="514"/>
      <c r="TIL230" s="514"/>
      <c r="TIM230" s="514"/>
      <c r="TIN230" s="514"/>
      <c r="TIO230" s="514"/>
      <c r="TIP230" s="514"/>
      <c r="TIQ230" s="514"/>
      <c r="TIR230" s="514"/>
      <c r="TIS230" s="514"/>
      <c r="TIT230" s="514"/>
      <c r="TIU230" s="514"/>
      <c r="TIV230" s="514"/>
      <c r="TIW230" s="514"/>
      <c r="TIX230" s="514"/>
      <c r="TIY230" s="514"/>
      <c r="TIZ230" s="514"/>
      <c r="TJA230" s="514"/>
      <c r="TJB230" s="514"/>
      <c r="TJC230" s="514"/>
      <c r="TJD230" s="514"/>
      <c r="TJE230" s="514"/>
      <c r="TJF230" s="514"/>
      <c r="TJG230" s="514"/>
      <c r="TJH230" s="514"/>
      <c r="TJI230" s="514"/>
      <c r="TJJ230" s="514"/>
      <c r="TJK230" s="514"/>
      <c r="TJL230" s="514"/>
      <c r="TJM230" s="514"/>
      <c r="TJN230" s="514"/>
      <c r="TJO230" s="514"/>
      <c r="TJP230" s="514"/>
      <c r="TJQ230" s="514"/>
      <c r="TJR230" s="514"/>
      <c r="TJS230" s="514"/>
      <c r="TJT230" s="514"/>
      <c r="TJU230" s="514"/>
      <c r="TJV230" s="514"/>
      <c r="TJW230" s="514"/>
      <c r="TJX230" s="514"/>
      <c r="TJY230" s="514"/>
      <c r="TJZ230" s="514"/>
      <c r="TKA230" s="514"/>
      <c r="TKB230" s="514"/>
      <c r="TKC230" s="514"/>
      <c r="TKD230" s="514"/>
      <c r="TKE230" s="514"/>
      <c r="TKF230" s="514"/>
      <c r="TKG230" s="514"/>
      <c r="TKH230" s="514"/>
      <c r="TKI230" s="514"/>
      <c r="TKJ230" s="514"/>
      <c r="TKK230" s="514"/>
      <c r="TKL230" s="514"/>
      <c r="TKM230" s="514"/>
      <c r="TKN230" s="514"/>
      <c r="TKO230" s="514"/>
      <c r="TKP230" s="514"/>
      <c r="TKQ230" s="514"/>
      <c r="TKR230" s="514"/>
      <c r="TKS230" s="514"/>
      <c r="TKT230" s="514"/>
      <c r="TKU230" s="514"/>
      <c r="TKV230" s="514"/>
      <c r="TKW230" s="514"/>
      <c r="TKX230" s="514"/>
      <c r="TKY230" s="514"/>
      <c r="TKZ230" s="514"/>
      <c r="TLA230" s="514"/>
      <c r="TLB230" s="514"/>
      <c r="TLC230" s="514"/>
      <c r="TLD230" s="514"/>
      <c r="TLE230" s="514"/>
      <c r="TLF230" s="514"/>
      <c r="TLG230" s="514"/>
      <c r="TLH230" s="514"/>
      <c r="TLI230" s="514"/>
      <c r="TLJ230" s="514"/>
      <c r="TLK230" s="514"/>
      <c r="TLL230" s="514"/>
      <c r="TLM230" s="514"/>
      <c r="TLN230" s="514"/>
      <c r="TLO230" s="514"/>
      <c r="TLP230" s="514"/>
      <c r="TLQ230" s="514"/>
      <c r="TLR230" s="514"/>
      <c r="TLS230" s="514"/>
      <c r="TLT230" s="514"/>
      <c r="TLU230" s="514"/>
      <c r="TLV230" s="514"/>
      <c r="TLW230" s="514"/>
      <c r="TLX230" s="514"/>
      <c r="TLY230" s="514"/>
      <c r="TLZ230" s="514"/>
      <c r="TMA230" s="514"/>
      <c r="TMB230" s="514"/>
      <c r="TMC230" s="514"/>
      <c r="TMD230" s="514"/>
      <c r="TME230" s="514"/>
      <c r="TMF230" s="514"/>
      <c r="TMG230" s="514"/>
      <c r="TMH230" s="514"/>
      <c r="TMI230" s="514"/>
      <c r="TMJ230" s="514"/>
      <c r="TMK230" s="514"/>
      <c r="TML230" s="514"/>
      <c r="TMM230" s="514"/>
      <c r="TMN230" s="514"/>
      <c r="TMO230" s="514"/>
      <c r="TMP230" s="514"/>
      <c r="TMQ230" s="514"/>
      <c r="TMR230" s="514"/>
      <c r="TMS230" s="514"/>
      <c r="TMT230" s="514"/>
      <c r="TMU230" s="514"/>
      <c r="TMV230" s="514"/>
      <c r="TMW230" s="514"/>
      <c r="TMX230" s="514"/>
      <c r="TMY230" s="514"/>
      <c r="TMZ230" s="514"/>
      <c r="TNA230" s="514"/>
      <c r="TNB230" s="514"/>
      <c r="TNC230" s="514"/>
      <c r="TND230" s="514"/>
      <c r="TNE230" s="514"/>
      <c r="TNF230" s="514"/>
      <c r="TNG230" s="514"/>
      <c r="TNH230" s="514"/>
      <c r="TNI230" s="514"/>
      <c r="TNJ230" s="514"/>
      <c r="TNK230" s="514"/>
      <c r="TNL230" s="514"/>
      <c r="TNM230" s="514"/>
      <c r="TNN230" s="514"/>
      <c r="TNO230" s="514"/>
      <c r="TNP230" s="514"/>
      <c r="TNQ230" s="514"/>
      <c r="TNR230" s="514"/>
      <c r="TNS230" s="514"/>
      <c r="TNT230" s="514"/>
      <c r="TNU230" s="514"/>
      <c r="TNV230" s="514"/>
      <c r="TNW230" s="514"/>
      <c r="TNX230" s="514"/>
      <c r="TNY230" s="514"/>
      <c r="TNZ230" s="514"/>
      <c r="TOA230" s="514"/>
      <c r="TOB230" s="514"/>
      <c r="TOC230" s="514"/>
      <c r="TOD230" s="514"/>
      <c r="TOE230" s="514"/>
      <c r="TOF230" s="514"/>
      <c r="TOG230" s="514"/>
      <c r="TOH230" s="514"/>
      <c r="TOI230" s="514"/>
      <c r="TOJ230" s="514"/>
      <c r="TOK230" s="514"/>
      <c r="TOL230" s="514"/>
      <c r="TOM230" s="514"/>
      <c r="TON230" s="514"/>
      <c r="TOO230" s="514"/>
      <c r="TOP230" s="514"/>
      <c r="TOQ230" s="514"/>
      <c r="TOR230" s="514"/>
      <c r="TOS230" s="514"/>
      <c r="TOT230" s="514"/>
      <c r="TOU230" s="514"/>
      <c r="TOV230" s="514"/>
      <c r="TOW230" s="514"/>
      <c r="TOX230" s="514"/>
      <c r="TOY230" s="514"/>
      <c r="TOZ230" s="514"/>
      <c r="TPA230" s="514"/>
      <c r="TPB230" s="514"/>
      <c r="TPC230" s="514"/>
      <c r="TPD230" s="514"/>
      <c r="TPE230" s="514"/>
      <c r="TPF230" s="514"/>
      <c r="TPG230" s="514"/>
      <c r="TPH230" s="514"/>
      <c r="TPI230" s="514"/>
      <c r="TPJ230" s="514"/>
      <c r="TPK230" s="514"/>
      <c r="TPL230" s="514"/>
      <c r="TPM230" s="514"/>
      <c r="TPN230" s="514"/>
      <c r="TPO230" s="514"/>
      <c r="TPP230" s="514"/>
      <c r="TPQ230" s="514"/>
      <c r="TPR230" s="514"/>
      <c r="TPS230" s="514"/>
      <c r="TPT230" s="514"/>
      <c r="TPU230" s="514"/>
      <c r="TPV230" s="514"/>
      <c r="TPW230" s="514"/>
      <c r="TPX230" s="514"/>
      <c r="TPY230" s="514"/>
      <c r="TPZ230" s="514"/>
      <c r="TQA230" s="514"/>
      <c r="TQB230" s="514"/>
      <c r="TQC230" s="514"/>
      <c r="TQD230" s="514"/>
      <c r="TQE230" s="514"/>
      <c r="TQF230" s="514"/>
      <c r="TQG230" s="514"/>
      <c r="TQH230" s="514"/>
      <c r="TQI230" s="514"/>
      <c r="TQJ230" s="514"/>
      <c r="TQK230" s="514"/>
      <c r="TQL230" s="514"/>
      <c r="TQM230" s="514"/>
      <c r="TQN230" s="514"/>
      <c r="TQO230" s="514"/>
      <c r="TQP230" s="514"/>
      <c r="TQQ230" s="514"/>
      <c r="TQR230" s="514"/>
      <c r="TQS230" s="514"/>
      <c r="TQT230" s="514"/>
      <c r="TQU230" s="514"/>
      <c r="TQV230" s="514"/>
      <c r="TQW230" s="514"/>
      <c r="TQX230" s="514"/>
      <c r="TQY230" s="514"/>
      <c r="TQZ230" s="514"/>
      <c r="TRA230" s="514"/>
      <c r="TRB230" s="514"/>
      <c r="TRC230" s="514"/>
      <c r="TRD230" s="514"/>
      <c r="TRE230" s="514"/>
      <c r="TRF230" s="514"/>
      <c r="TRG230" s="514"/>
      <c r="TRH230" s="514"/>
      <c r="TRI230" s="514"/>
      <c r="TRJ230" s="514"/>
      <c r="TRK230" s="514"/>
      <c r="TRL230" s="514"/>
      <c r="TRM230" s="514"/>
      <c r="TRN230" s="514"/>
      <c r="TRO230" s="514"/>
      <c r="TRP230" s="514"/>
      <c r="TRQ230" s="514"/>
      <c r="TRR230" s="514"/>
      <c r="TRS230" s="514"/>
      <c r="TRT230" s="514"/>
      <c r="TRU230" s="514"/>
      <c r="TRV230" s="514"/>
      <c r="TRW230" s="514"/>
      <c r="TRX230" s="514"/>
      <c r="TRY230" s="514"/>
      <c r="TRZ230" s="514"/>
      <c r="TSA230" s="514"/>
      <c r="TSB230" s="514"/>
      <c r="TSC230" s="514"/>
      <c r="TSD230" s="514"/>
      <c r="TSE230" s="514"/>
      <c r="TSF230" s="514"/>
      <c r="TSG230" s="514"/>
      <c r="TSH230" s="514"/>
      <c r="TSI230" s="514"/>
      <c r="TSJ230" s="514"/>
      <c r="TSK230" s="514"/>
      <c r="TSL230" s="514"/>
      <c r="TSM230" s="514"/>
      <c r="TSN230" s="514"/>
      <c r="TSO230" s="514"/>
      <c r="TSP230" s="514"/>
      <c r="TSQ230" s="514"/>
      <c r="TSR230" s="514"/>
      <c r="TSS230" s="514"/>
      <c r="TST230" s="514"/>
      <c r="TSU230" s="514"/>
      <c r="TSV230" s="514"/>
      <c r="TSW230" s="514"/>
      <c r="TSX230" s="514"/>
      <c r="TSY230" s="514"/>
      <c r="TSZ230" s="514"/>
      <c r="TTA230" s="514"/>
      <c r="TTB230" s="514"/>
      <c r="TTC230" s="514"/>
      <c r="TTD230" s="514"/>
      <c r="TTE230" s="514"/>
      <c r="TTF230" s="514"/>
      <c r="TTG230" s="514"/>
      <c r="TTH230" s="514"/>
      <c r="TTI230" s="514"/>
      <c r="TTJ230" s="514"/>
      <c r="TTK230" s="514"/>
      <c r="TTL230" s="514"/>
      <c r="TTM230" s="514"/>
      <c r="TTN230" s="514"/>
      <c r="TTO230" s="514"/>
      <c r="TTP230" s="514"/>
      <c r="TTQ230" s="514"/>
      <c r="TTR230" s="514"/>
      <c r="TTS230" s="514"/>
      <c r="TTT230" s="514"/>
      <c r="TTU230" s="514"/>
      <c r="TTV230" s="514"/>
      <c r="TTW230" s="514"/>
      <c r="TTX230" s="514"/>
      <c r="TTY230" s="514"/>
      <c r="TTZ230" s="514"/>
      <c r="TUA230" s="514"/>
      <c r="TUB230" s="514"/>
      <c r="TUC230" s="514"/>
      <c r="TUD230" s="514"/>
      <c r="TUE230" s="514"/>
      <c r="TUF230" s="514"/>
      <c r="TUG230" s="514"/>
      <c r="TUH230" s="514"/>
      <c r="TUI230" s="514"/>
      <c r="TUJ230" s="514"/>
      <c r="TUK230" s="514"/>
      <c r="TUL230" s="514"/>
      <c r="TUM230" s="514"/>
      <c r="TUN230" s="514"/>
      <c r="TUO230" s="514"/>
      <c r="TUP230" s="514"/>
      <c r="TUQ230" s="514"/>
      <c r="TUR230" s="514"/>
      <c r="TUS230" s="514"/>
      <c r="TUT230" s="514"/>
      <c r="TUU230" s="514"/>
      <c r="TUV230" s="514"/>
      <c r="TUW230" s="514"/>
      <c r="TUX230" s="514"/>
      <c r="TUY230" s="514"/>
      <c r="TUZ230" s="514"/>
      <c r="TVA230" s="514"/>
      <c r="TVB230" s="514"/>
      <c r="TVC230" s="514"/>
      <c r="TVD230" s="514"/>
      <c r="TVE230" s="514"/>
      <c r="TVF230" s="514"/>
      <c r="TVG230" s="514"/>
      <c r="TVH230" s="514"/>
      <c r="TVI230" s="514"/>
      <c r="TVJ230" s="514"/>
      <c r="TVK230" s="514"/>
      <c r="TVL230" s="514"/>
      <c r="TVM230" s="514"/>
      <c r="TVN230" s="514"/>
      <c r="TVO230" s="514"/>
      <c r="TVP230" s="514"/>
      <c r="TVQ230" s="514"/>
      <c r="TVR230" s="514"/>
      <c r="TVS230" s="514"/>
      <c r="TVT230" s="514"/>
      <c r="TVU230" s="514"/>
      <c r="TVV230" s="514"/>
      <c r="TVW230" s="514"/>
      <c r="TVX230" s="514"/>
      <c r="TVY230" s="514"/>
      <c r="TVZ230" s="514"/>
      <c r="TWA230" s="514"/>
      <c r="TWB230" s="514"/>
      <c r="TWC230" s="514"/>
      <c r="TWD230" s="514"/>
      <c r="TWE230" s="514"/>
      <c r="TWF230" s="514"/>
      <c r="TWG230" s="514"/>
      <c r="TWH230" s="514"/>
      <c r="TWI230" s="514"/>
      <c r="TWJ230" s="514"/>
      <c r="TWK230" s="514"/>
      <c r="TWL230" s="514"/>
      <c r="TWM230" s="514"/>
      <c r="TWN230" s="514"/>
      <c r="TWO230" s="514"/>
      <c r="TWP230" s="514"/>
      <c r="TWQ230" s="514"/>
      <c r="TWR230" s="514"/>
      <c r="TWS230" s="514"/>
      <c r="TWT230" s="514"/>
      <c r="TWU230" s="514"/>
      <c r="TWV230" s="514"/>
      <c r="TWW230" s="514"/>
      <c r="TWX230" s="514"/>
      <c r="TWY230" s="514"/>
      <c r="TWZ230" s="514"/>
      <c r="TXA230" s="514"/>
      <c r="TXB230" s="514"/>
      <c r="TXC230" s="514"/>
      <c r="TXD230" s="514"/>
      <c r="TXE230" s="514"/>
      <c r="TXF230" s="514"/>
      <c r="TXG230" s="514"/>
      <c r="TXH230" s="514"/>
      <c r="TXI230" s="514"/>
      <c r="TXJ230" s="514"/>
      <c r="TXK230" s="514"/>
      <c r="TXL230" s="514"/>
      <c r="TXM230" s="514"/>
      <c r="TXN230" s="514"/>
      <c r="TXO230" s="514"/>
      <c r="TXP230" s="514"/>
      <c r="TXQ230" s="514"/>
      <c r="TXR230" s="514"/>
      <c r="TXS230" s="514"/>
      <c r="TXT230" s="514"/>
      <c r="TXU230" s="514"/>
      <c r="TXV230" s="514"/>
      <c r="TXW230" s="514"/>
      <c r="TXX230" s="514"/>
      <c r="TXY230" s="514"/>
      <c r="TXZ230" s="514"/>
      <c r="TYA230" s="514"/>
      <c r="TYB230" s="514"/>
      <c r="TYC230" s="514"/>
      <c r="TYD230" s="514"/>
      <c r="TYE230" s="514"/>
      <c r="TYF230" s="514"/>
      <c r="TYG230" s="514"/>
      <c r="TYH230" s="514"/>
      <c r="TYI230" s="514"/>
      <c r="TYJ230" s="514"/>
      <c r="TYK230" s="514"/>
      <c r="TYL230" s="514"/>
      <c r="TYM230" s="514"/>
      <c r="TYN230" s="514"/>
      <c r="TYO230" s="514"/>
      <c r="TYP230" s="514"/>
      <c r="TYQ230" s="514"/>
      <c r="TYR230" s="514"/>
      <c r="TYS230" s="514"/>
      <c r="TYT230" s="514"/>
      <c r="TYU230" s="514"/>
      <c r="TYV230" s="514"/>
      <c r="TYW230" s="514"/>
      <c r="TYX230" s="514"/>
      <c r="TYY230" s="514"/>
      <c r="TYZ230" s="514"/>
      <c r="TZA230" s="514"/>
      <c r="TZB230" s="514"/>
      <c r="TZC230" s="514"/>
      <c r="TZD230" s="514"/>
      <c r="TZE230" s="514"/>
      <c r="TZF230" s="514"/>
      <c r="TZG230" s="514"/>
      <c r="TZH230" s="514"/>
      <c r="TZI230" s="514"/>
      <c r="TZJ230" s="514"/>
      <c r="TZK230" s="514"/>
      <c r="TZL230" s="514"/>
      <c r="TZM230" s="514"/>
      <c r="TZN230" s="514"/>
      <c r="TZO230" s="514"/>
      <c r="TZP230" s="514"/>
      <c r="TZQ230" s="514"/>
      <c r="TZR230" s="514"/>
      <c r="TZS230" s="514"/>
      <c r="TZT230" s="514"/>
      <c r="TZU230" s="514"/>
      <c r="TZV230" s="514"/>
      <c r="TZW230" s="514"/>
      <c r="TZX230" s="514"/>
      <c r="TZY230" s="514"/>
      <c r="TZZ230" s="514"/>
      <c r="UAA230" s="514"/>
      <c r="UAB230" s="514"/>
      <c r="UAC230" s="514"/>
      <c r="UAD230" s="514"/>
      <c r="UAE230" s="514"/>
      <c r="UAF230" s="514"/>
      <c r="UAG230" s="514"/>
      <c r="UAH230" s="514"/>
      <c r="UAI230" s="514"/>
      <c r="UAJ230" s="514"/>
      <c r="UAK230" s="514"/>
      <c r="UAL230" s="514"/>
      <c r="UAM230" s="514"/>
      <c r="UAN230" s="514"/>
      <c r="UAO230" s="514"/>
      <c r="UAP230" s="514"/>
      <c r="UAQ230" s="514"/>
      <c r="UAR230" s="514"/>
      <c r="UAS230" s="514"/>
      <c r="UAT230" s="514"/>
      <c r="UAU230" s="514"/>
      <c r="UAV230" s="514"/>
      <c r="UAW230" s="514"/>
      <c r="UAX230" s="514"/>
      <c r="UAY230" s="514"/>
      <c r="UAZ230" s="514"/>
      <c r="UBA230" s="514"/>
      <c r="UBB230" s="514"/>
      <c r="UBC230" s="514"/>
      <c r="UBD230" s="514"/>
      <c r="UBE230" s="514"/>
      <c r="UBF230" s="514"/>
      <c r="UBG230" s="514"/>
      <c r="UBH230" s="514"/>
      <c r="UBI230" s="514"/>
      <c r="UBJ230" s="514"/>
      <c r="UBK230" s="514"/>
      <c r="UBL230" s="514"/>
      <c r="UBM230" s="514"/>
      <c r="UBN230" s="514"/>
      <c r="UBO230" s="514"/>
      <c r="UBP230" s="514"/>
      <c r="UBQ230" s="514"/>
      <c r="UBR230" s="514"/>
      <c r="UBS230" s="514"/>
      <c r="UBT230" s="514"/>
      <c r="UBU230" s="514"/>
      <c r="UBV230" s="514"/>
      <c r="UBW230" s="514"/>
      <c r="UBX230" s="514"/>
      <c r="UBY230" s="514"/>
      <c r="UBZ230" s="514"/>
      <c r="UCA230" s="514"/>
      <c r="UCB230" s="514"/>
      <c r="UCC230" s="514"/>
      <c r="UCD230" s="514"/>
      <c r="UCE230" s="514"/>
      <c r="UCF230" s="514"/>
      <c r="UCG230" s="514"/>
      <c r="UCH230" s="514"/>
      <c r="UCI230" s="514"/>
      <c r="UCJ230" s="514"/>
      <c r="UCK230" s="514"/>
      <c r="UCL230" s="514"/>
      <c r="UCM230" s="514"/>
      <c r="UCN230" s="514"/>
      <c r="UCO230" s="514"/>
      <c r="UCP230" s="514"/>
      <c r="UCQ230" s="514"/>
      <c r="UCR230" s="514"/>
      <c r="UCS230" s="514"/>
      <c r="UCT230" s="514"/>
      <c r="UCU230" s="514"/>
      <c r="UCV230" s="514"/>
      <c r="UCW230" s="514"/>
      <c r="UCX230" s="514"/>
      <c r="UCY230" s="514"/>
      <c r="UCZ230" s="514"/>
      <c r="UDA230" s="514"/>
      <c r="UDB230" s="514"/>
      <c r="UDC230" s="514"/>
      <c r="UDD230" s="514"/>
      <c r="UDE230" s="514"/>
      <c r="UDF230" s="514"/>
      <c r="UDG230" s="514"/>
      <c r="UDH230" s="514"/>
      <c r="UDI230" s="514"/>
      <c r="UDJ230" s="514"/>
      <c r="UDK230" s="514"/>
      <c r="UDL230" s="514"/>
      <c r="UDM230" s="514"/>
      <c r="UDN230" s="514"/>
      <c r="UDO230" s="514"/>
      <c r="UDP230" s="514"/>
      <c r="UDQ230" s="514"/>
      <c r="UDR230" s="514"/>
      <c r="UDS230" s="514"/>
      <c r="UDT230" s="514"/>
      <c r="UDU230" s="514"/>
      <c r="UDV230" s="514"/>
      <c r="UDW230" s="514"/>
      <c r="UDX230" s="514"/>
      <c r="UDY230" s="514"/>
      <c r="UDZ230" s="514"/>
      <c r="UEA230" s="514"/>
      <c r="UEB230" s="514"/>
      <c r="UEC230" s="514"/>
      <c r="UED230" s="514"/>
      <c r="UEE230" s="514"/>
      <c r="UEF230" s="514"/>
      <c r="UEG230" s="514"/>
      <c r="UEH230" s="514"/>
      <c r="UEI230" s="514"/>
      <c r="UEJ230" s="514"/>
      <c r="UEK230" s="514"/>
      <c r="UEL230" s="514"/>
      <c r="UEM230" s="514"/>
      <c r="UEN230" s="514"/>
      <c r="UEO230" s="514"/>
      <c r="UEP230" s="514"/>
      <c r="UEQ230" s="514"/>
      <c r="UER230" s="514"/>
      <c r="UES230" s="514"/>
      <c r="UET230" s="514"/>
      <c r="UEU230" s="514"/>
      <c r="UEV230" s="514"/>
      <c r="UEW230" s="514"/>
      <c r="UEX230" s="514"/>
      <c r="UEY230" s="514"/>
      <c r="UEZ230" s="514"/>
      <c r="UFA230" s="514"/>
      <c r="UFB230" s="514"/>
      <c r="UFC230" s="514"/>
      <c r="UFD230" s="514"/>
      <c r="UFE230" s="514"/>
      <c r="UFF230" s="514"/>
      <c r="UFG230" s="514"/>
      <c r="UFH230" s="514"/>
      <c r="UFI230" s="514"/>
      <c r="UFJ230" s="514"/>
      <c r="UFK230" s="514"/>
      <c r="UFL230" s="514"/>
      <c r="UFM230" s="514"/>
      <c r="UFN230" s="514"/>
      <c r="UFO230" s="514"/>
      <c r="UFP230" s="514"/>
      <c r="UFQ230" s="514"/>
      <c r="UFR230" s="514"/>
      <c r="UFS230" s="514"/>
      <c r="UFT230" s="514"/>
      <c r="UFU230" s="514"/>
      <c r="UFV230" s="514"/>
      <c r="UFW230" s="514"/>
      <c r="UFX230" s="514"/>
      <c r="UFY230" s="514"/>
      <c r="UFZ230" s="514"/>
      <c r="UGA230" s="514"/>
      <c r="UGB230" s="514"/>
      <c r="UGC230" s="514"/>
      <c r="UGD230" s="514"/>
      <c r="UGE230" s="514"/>
      <c r="UGF230" s="514"/>
      <c r="UGG230" s="514"/>
      <c r="UGH230" s="514"/>
      <c r="UGI230" s="514"/>
      <c r="UGJ230" s="514"/>
      <c r="UGK230" s="514"/>
      <c r="UGL230" s="514"/>
      <c r="UGM230" s="514"/>
      <c r="UGN230" s="514"/>
      <c r="UGO230" s="514"/>
      <c r="UGP230" s="514"/>
      <c r="UGQ230" s="514"/>
      <c r="UGR230" s="514"/>
      <c r="UGS230" s="514"/>
      <c r="UGT230" s="514"/>
      <c r="UGU230" s="514"/>
      <c r="UGV230" s="514"/>
      <c r="UGW230" s="514"/>
      <c r="UGX230" s="514"/>
      <c r="UGY230" s="514"/>
      <c r="UGZ230" s="514"/>
      <c r="UHA230" s="514"/>
      <c r="UHB230" s="514"/>
      <c r="UHC230" s="514"/>
      <c r="UHD230" s="514"/>
      <c r="UHE230" s="514"/>
      <c r="UHF230" s="514"/>
      <c r="UHG230" s="514"/>
      <c r="UHH230" s="514"/>
      <c r="UHI230" s="514"/>
      <c r="UHJ230" s="514"/>
      <c r="UHK230" s="514"/>
      <c r="UHL230" s="514"/>
      <c r="UHM230" s="514"/>
      <c r="UHN230" s="514"/>
      <c r="UHO230" s="514"/>
      <c r="UHP230" s="514"/>
      <c r="UHQ230" s="514"/>
      <c r="UHR230" s="514"/>
      <c r="UHS230" s="514"/>
      <c r="UHT230" s="514"/>
      <c r="UHU230" s="514"/>
      <c r="UHV230" s="514"/>
      <c r="UHW230" s="514"/>
      <c r="UHX230" s="514"/>
      <c r="UHY230" s="514"/>
      <c r="UHZ230" s="514"/>
      <c r="UIA230" s="514"/>
      <c r="UIB230" s="514"/>
      <c r="UIC230" s="514"/>
      <c r="UID230" s="514"/>
      <c r="UIE230" s="514"/>
      <c r="UIF230" s="514"/>
      <c r="UIG230" s="514"/>
      <c r="UIH230" s="514"/>
      <c r="UII230" s="514"/>
      <c r="UIJ230" s="514"/>
      <c r="UIK230" s="514"/>
      <c r="UIL230" s="514"/>
      <c r="UIM230" s="514"/>
      <c r="UIN230" s="514"/>
      <c r="UIO230" s="514"/>
      <c r="UIP230" s="514"/>
      <c r="UIQ230" s="514"/>
      <c r="UIR230" s="514"/>
      <c r="UIS230" s="514"/>
      <c r="UIT230" s="514"/>
      <c r="UIU230" s="514"/>
      <c r="UIV230" s="514"/>
      <c r="UIW230" s="514"/>
      <c r="UIX230" s="514"/>
      <c r="UIY230" s="514"/>
      <c r="UIZ230" s="514"/>
      <c r="UJA230" s="514"/>
      <c r="UJB230" s="514"/>
      <c r="UJC230" s="514"/>
      <c r="UJD230" s="514"/>
      <c r="UJE230" s="514"/>
      <c r="UJF230" s="514"/>
      <c r="UJG230" s="514"/>
      <c r="UJH230" s="514"/>
      <c r="UJI230" s="514"/>
      <c r="UJJ230" s="514"/>
      <c r="UJK230" s="514"/>
      <c r="UJL230" s="514"/>
      <c r="UJM230" s="514"/>
      <c r="UJN230" s="514"/>
      <c r="UJO230" s="514"/>
      <c r="UJP230" s="514"/>
      <c r="UJQ230" s="514"/>
      <c r="UJR230" s="514"/>
      <c r="UJS230" s="514"/>
      <c r="UJT230" s="514"/>
      <c r="UJU230" s="514"/>
      <c r="UJV230" s="514"/>
      <c r="UJW230" s="514"/>
      <c r="UJX230" s="514"/>
      <c r="UJY230" s="514"/>
      <c r="UJZ230" s="514"/>
      <c r="UKA230" s="514"/>
      <c r="UKB230" s="514"/>
      <c r="UKC230" s="514"/>
      <c r="UKD230" s="514"/>
      <c r="UKE230" s="514"/>
      <c r="UKF230" s="514"/>
      <c r="UKG230" s="514"/>
      <c r="UKH230" s="514"/>
      <c r="UKI230" s="514"/>
      <c r="UKJ230" s="514"/>
      <c r="UKK230" s="514"/>
      <c r="UKL230" s="514"/>
      <c r="UKM230" s="514"/>
      <c r="UKN230" s="514"/>
      <c r="UKO230" s="514"/>
      <c r="UKP230" s="514"/>
      <c r="UKQ230" s="514"/>
      <c r="UKR230" s="514"/>
      <c r="UKS230" s="514"/>
      <c r="UKT230" s="514"/>
      <c r="UKU230" s="514"/>
      <c r="UKV230" s="514"/>
      <c r="UKW230" s="514"/>
      <c r="UKX230" s="514"/>
      <c r="UKY230" s="514"/>
      <c r="UKZ230" s="514"/>
      <c r="ULA230" s="514"/>
      <c r="ULB230" s="514"/>
      <c r="ULC230" s="514"/>
      <c r="ULD230" s="514"/>
      <c r="ULE230" s="514"/>
      <c r="ULF230" s="514"/>
      <c r="ULG230" s="514"/>
      <c r="ULH230" s="514"/>
      <c r="ULI230" s="514"/>
      <c r="ULJ230" s="514"/>
      <c r="ULK230" s="514"/>
      <c r="ULL230" s="514"/>
      <c r="ULM230" s="514"/>
      <c r="ULN230" s="514"/>
      <c r="ULO230" s="514"/>
      <c r="ULP230" s="514"/>
      <c r="ULQ230" s="514"/>
      <c r="ULR230" s="514"/>
      <c r="ULS230" s="514"/>
      <c r="ULT230" s="514"/>
      <c r="ULU230" s="514"/>
      <c r="ULV230" s="514"/>
      <c r="ULW230" s="514"/>
      <c r="ULX230" s="514"/>
      <c r="ULY230" s="514"/>
      <c r="ULZ230" s="514"/>
      <c r="UMA230" s="514"/>
      <c r="UMB230" s="514"/>
      <c r="UMC230" s="514"/>
      <c r="UMD230" s="514"/>
      <c r="UME230" s="514"/>
      <c r="UMF230" s="514"/>
      <c r="UMG230" s="514"/>
      <c r="UMH230" s="514"/>
      <c r="UMI230" s="514"/>
      <c r="UMJ230" s="514"/>
      <c r="UMK230" s="514"/>
      <c r="UML230" s="514"/>
      <c r="UMM230" s="514"/>
      <c r="UMN230" s="514"/>
      <c r="UMO230" s="514"/>
      <c r="UMP230" s="514"/>
      <c r="UMQ230" s="514"/>
      <c r="UMR230" s="514"/>
      <c r="UMS230" s="514"/>
      <c r="UMT230" s="514"/>
      <c r="UMU230" s="514"/>
      <c r="UMV230" s="514"/>
      <c r="UMW230" s="514"/>
      <c r="UMX230" s="514"/>
      <c r="UMY230" s="514"/>
      <c r="UMZ230" s="514"/>
      <c r="UNA230" s="514"/>
      <c r="UNB230" s="514"/>
      <c r="UNC230" s="514"/>
      <c r="UND230" s="514"/>
      <c r="UNE230" s="514"/>
      <c r="UNF230" s="514"/>
      <c r="UNG230" s="514"/>
      <c r="UNH230" s="514"/>
      <c r="UNI230" s="514"/>
      <c r="UNJ230" s="514"/>
      <c r="UNK230" s="514"/>
      <c r="UNL230" s="514"/>
      <c r="UNM230" s="514"/>
      <c r="UNN230" s="514"/>
      <c r="UNO230" s="514"/>
      <c r="UNP230" s="514"/>
      <c r="UNQ230" s="514"/>
      <c r="UNR230" s="514"/>
      <c r="UNS230" s="514"/>
      <c r="UNT230" s="514"/>
      <c r="UNU230" s="514"/>
      <c r="UNV230" s="514"/>
      <c r="UNW230" s="514"/>
      <c r="UNX230" s="514"/>
      <c r="UNY230" s="514"/>
      <c r="UNZ230" s="514"/>
      <c r="UOA230" s="514"/>
      <c r="UOB230" s="514"/>
      <c r="UOC230" s="514"/>
      <c r="UOD230" s="514"/>
      <c r="UOE230" s="514"/>
      <c r="UOF230" s="514"/>
      <c r="UOG230" s="514"/>
      <c r="UOH230" s="514"/>
      <c r="UOI230" s="514"/>
      <c r="UOJ230" s="514"/>
      <c r="UOK230" s="514"/>
      <c r="UOL230" s="514"/>
      <c r="UOM230" s="514"/>
      <c r="UON230" s="514"/>
      <c r="UOO230" s="514"/>
      <c r="UOP230" s="514"/>
      <c r="UOQ230" s="514"/>
      <c r="UOR230" s="514"/>
      <c r="UOS230" s="514"/>
      <c r="UOT230" s="514"/>
      <c r="UOU230" s="514"/>
      <c r="UOV230" s="514"/>
      <c r="UOW230" s="514"/>
      <c r="UOX230" s="514"/>
      <c r="UOY230" s="514"/>
      <c r="UOZ230" s="514"/>
      <c r="UPA230" s="514"/>
      <c r="UPB230" s="514"/>
      <c r="UPC230" s="514"/>
      <c r="UPD230" s="514"/>
      <c r="UPE230" s="514"/>
      <c r="UPF230" s="514"/>
      <c r="UPG230" s="514"/>
      <c r="UPH230" s="514"/>
      <c r="UPI230" s="514"/>
      <c r="UPJ230" s="514"/>
      <c r="UPK230" s="514"/>
      <c r="UPL230" s="514"/>
      <c r="UPM230" s="514"/>
      <c r="UPN230" s="514"/>
      <c r="UPO230" s="514"/>
      <c r="UPP230" s="514"/>
      <c r="UPQ230" s="514"/>
      <c r="UPR230" s="514"/>
      <c r="UPS230" s="514"/>
      <c r="UPT230" s="514"/>
      <c r="UPU230" s="514"/>
      <c r="UPV230" s="514"/>
      <c r="UPW230" s="514"/>
      <c r="UPX230" s="514"/>
      <c r="UPY230" s="514"/>
      <c r="UPZ230" s="514"/>
      <c r="UQA230" s="514"/>
      <c r="UQB230" s="514"/>
      <c r="UQC230" s="514"/>
      <c r="UQD230" s="514"/>
      <c r="UQE230" s="514"/>
      <c r="UQF230" s="514"/>
      <c r="UQG230" s="514"/>
      <c r="UQH230" s="514"/>
      <c r="UQI230" s="514"/>
      <c r="UQJ230" s="514"/>
      <c r="UQK230" s="514"/>
      <c r="UQL230" s="514"/>
      <c r="UQM230" s="514"/>
      <c r="UQN230" s="514"/>
      <c r="UQO230" s="514"/>
      <c r="UQP230" s="514"/>
      <c r="UQQ230" s="514"/>
      <c r="UQR230" s="514"/>
      <c r="UQS230" s="514"/>
      <c r="UQT230" s="514"/>
      <c r="UQU230" s="514"/>
      <c r="UQV230" s="514"/>
      <c r="UQW230" s="514"/>
      <c r="UQX230" s="514"/>
      <c r="UQY230" s="514"/>
      <c r="UQZ230" s="514"/>
      <c r="URA230" s="514"/>
      <c r="URB230" s="514"/>
      <c r="URC230" s="514"/>
      <c r="URD230" s="514"/>
      <c r="URE230" s="514"/>
      <c r="URF230" s="514"/>
      <c r="URG230" s="514"/>
      <c r="URH230" s="514"/>
      <c r="URI230" s="514"/>
      <c r="URJ230" s="514"/>
      <c r="URK230" s="514"/>
      <c r="URL230" s="514"/>
      <c r="URM230" s="514"/>
      <c r="URN230" s="514"/>
      <c r="URO230" s="514"/>
      <c r="URP230" s="514"/>
      <c r="URQ230" s="514"/>
      <c r="URR230" s="514"/>
      <c r="URS230" s="514"/>
      <c r="URT230" s="514"/>
      <c r="URU230" s="514"/>
      <c r="URV230" s="514"/>
      <c r="URW230" s="514"/>
      <c r="URX230" s="514"/>
      <c r="URY230" s="514"/>
      <c r="URZ230" s="514"/>
      <c r="USA230" s="514"/>
      <c r="USB230" s="514"/>
      <c r="USC230" s="514"/>
      <c r="USD230" s="514"/>
      <c r="USE230" s="514"/>
      <c r="USF230" s="514"/>
      <c r="USG230" s="514"/>
      <c r="USH230" s="514"/>
      <c r="USI230" s="514"/>
      <c r="USJ230" s="514"/>
      <c r="USK230" s="514"/>
      <c r="USL230" s="514"/>
      <c r="USM230" s="514"/>
      <c r="USN230" s="514"/>
      <c r="USO230" s="514"/>
      <c r="USP230" s="514"/>
      <c r="USQ230" s="514"/>
      <c r="USR230" s="514"/>
      <c r="USS230" s="514"/>
      <c r="UST230" s="514"/>
      <c r="USU230" s="514"/>
      <c r="USV230" s="514"/>
      <c r="USW230" s="514"/>
      <c r="USX230" s="514"/>
      <c r="USY230" s="514"/>
      <c r="USZ230" s="514"/>
      <c r="UTA230" s="514"/>
      <c r="UTB230" s="514"/>
      <c r="UTC230" s="514"/>
      <c r="UTD230" s="514"/>
      <c r="UTE230" s="514"/>
      <c r="UTF230" s="514"/>
      <c r="UTG230" s="514"/>
      <c r="UTH230" s="514"/>
      <c r="UTI230" s="514"/>
      <c r="UTJ230" s="514"/>
      <c r="UTK230" s="514"/>
      <c r="UTL230" s="514"/>
      <c r="UTM230" s="514"/>
      <c r="UTN230" s="514"/>
      <c r="UTO230" s="514"/>
      <c r="UTP230" s="514"/>
      <c r="UTQ230" s="514"/>
      <c r="UTR230" s="514"/>
      <c r="UTS230" s="514"/>
      <c r="UTT230" s="514"/>
      <c r="UTU230" s="514"/>
      <c r="UTV230" s="514"/>
      <c r="UTW230" s="514"/>
      <c r="UTX230" s="514"/>
      <c r="UTY230" s="514"/>
      <c r="UTZ230" s="514"/>
      <c r="UUA230" s="514"/>
      <c r="UUB230" s="514"/>
      <c r="UUC230" s="514"/>
      <c r="UUD230" s="514"/>
      <c r="UUE230" s="514"/>
      <c r="UUF230" s="514"/>
      <c r="UUG230" s="514"/>
      <c r="UUH230" s="514"/>
      <c r="UUI230" s="514"/>
      <c r="UUJ230" s="514"/>
      <c r="UUK230" s="514"/>
      <c r="UUL230" s="514"/>
      <c r="UUM230" s="514"/>
      <c r="UUN230" s="514"/>
      <c r="UUO230" s="514"/>
      <c r="UUP230" s="514"/>
      <c r="UUQ230" s="514"/>
      <c r="UUR230" s="514"/>
      <c r="UUS230" s="514"/>
      <c r="UUT230" s="514"/>
      <c r="UUU230" s="514"/>
      <c r="UUV230" s="514"/>
      <c r="UUW230" s="514"/>
      <c r="UUX230" s="514"/>
      <c r="UUY230" s="514"/>
      <c r="UUZ230" s="514"/>
      <c r="UVA230" s="514"/>
      <c r="UVB230" s="514"/>
      <c r="UVC230" s="514"/>
      <c r="UVD230" s="514"/>
      <c r="UVE230" s="514"/>
      <c r="UVF230" s="514"/>
      <c r="UVG230" s="514"/>
      <c r="UVH230" s="514"/>
      <c r="UVI230" s="514"/>
      <c r="UVJ230" s="514"/>
      <c r="UVK230" s="514"/>
      <c r="UVL230" s="514"/>
      <c r="UVM230" s="514"/>
      <c r="UVN230" s="514"/>
      <c r="UVO230" s="514"/>
      <c r="UVP230" s="514"/>
      <c r="UVQ230" s="514"/>
      <c r="UVR230" s="514"/>
      <c r="UVS230" s="514"/>
      <c r="UVT230" s="514"/>
      <c r="UVU230" s="514"/>
      <c r="UVV230" s="514"/>
      <c r="UVW230" s="514"/>
      <c r="UVX230" s="514"/>
      <c r="UVY230" s="514"/>
      <c r="UVZ230" s="514"/>
      <c r="UWA230" s="514"/>
      <c r="UWB230" s="514"/>
      <c r="UWC230" s="514"/>
      <c r="UWD230" s="514"/>
      <c r="UWE230" s="514"/>
      <c r="UWF230" s="514"/>
      <c r="UWG230" s="514"/>
      <c r="UWH230" s="514"/>
      <c r="UWI230" s="514"/>
      <c r="UWJ230" s="514"/>
      <c r="UWK230" s="514"/>
      <c r="UWL230" s="514"/>
      <c r="UWM230" s="514"/>
      <c r="UWN230" s="514"/>
      <c r="UWO230" s="514"/>
      <c r="UWP230" s="514"/>
      <c r="UWQ230" s="514"/>
      <c r="UWR230" s="514"/>
      <c r="UWS230" s="514"/>
      <c r="UWT230" s="514"/>
      <c r="UWU230" s="514"/>
      <c r="UWV230" s="514"/>
      <c r="UWW230" s="514"/>
      <c r="UWX230" s="514"/>
      <c r="UWY230" s="514"/>
      <c r="UWZ230" s="514"/>
      <c r="UXA230" s="514"/>
      <c r="UXB230" s="514"/>
      <c r="UXC230" s="514"/>
      <c r="UXD230" s="514"/>
      <c r="UXE230" s="514"/>
      <c r="UXF230" s="514"/>
      <c r="UXG230" s="514"/>
      <c r="UXH230" s="514"/>
      <c r="UXI230" s="514"/>
      <c r="UXJ230" s="514"/>
      <c r="UXK230" s="514"/>
      <c r="UXL230" s="514"/>
      <c r="UXM230" s="514"/>
      <c r="UXN230" s="514"/>
      <c r="UXO230" s="514"/>
      <c r="UXP230" s="514"/>
      <c r="UXQ230" s="514"/>
      <c r="UXR230" s="514"/>
      <c r="UXS230" s="514"/>
      <c r="UXT230" s="514"/>
      <c r="UXU230" s="514"/>
      <c r="UXV230" s="514"/>
      <c r="UXW230" s="514"/>
      <c r="UXX230" s="514"/>
      <c r="UXY230" s="514"/>
      <c r="UXZ230" s="514"/>
      <c r="UYA230" s="514"/>
      <c r="UYB230" s="514"/>
      <c r="UYC230" s="514"/>
      <c r="UYD230" s="514"/>
      <c r="UYE230" s="514"/>
      <c r="UYF230" s="514"/>
      <c r="UYG230" s="514"/>
      <c r="UYH230" s="514"/>
      <c r="UYI230" s="514"/>
      <c r="UYJ230" s="514"/>
      <c r="UYK230" s="514"/>
      <c r="UYL230" s="514"/>
      <c r="UYM230" s="514"/>
      <c r="UYN230" s="514"/>
      <c r="UYO230" s="514"/>
      <c r="UYP230" s="514"/>
      <c r="UYQ230" s="514"/>
      <c r="UYR230" s="514"/>
      <c r="UYS230" s="514"/>
      <c r="UYT230" s="514"/>
      <c r="UYU230" s="514"/>
      <c r="UYV230" s="514"/>
      <c r="UYW230" s="514"/>
      <c r="UYX230" s="514"/>
      <c r="UYY230" s="514"/>
      <c r="UYZ230" s="514"/>
      <c r="UZA230" s="514"/>
      <c r="UZB230" s="514"/>
      <c r="UZC230" s="514"/>
      <c r="UZD230" s="514"/>
      <c r="UZE230" s="514"/>
      <c r="UZF230" s="514"/>
      <c r="UZG230" s="514"/>
      <c r="UZH230" s="514"/>
      <c r="UZI230" s="514"/>
      <c r="UZJ230" s="514"/>
      <c r="UZK230" s="514"/>
      <c r="UZL230" s="514"/>
      <c r="UZM230" s="514"/>
      <c r="UZN230" s="514"/>
      <c r="UZO230" s="514"/>
      <c r="UZP230" s="514"/>
      <c r="UZQ230" s="514"/>
      <c r="UZR230" s="514"/>
      <c r="UZS230" s="514"/>
      <c r="UZT230" s="514"/>
      <c r="UZU230" s="514"/>
      <c r="UZV230" s="514"/>
      <c r="UZW230" s="514"/>
      <c r="UZX230" s="514"/>
      <c r="UZY230" s="514"/>
      <c r="UZZ230" s="514"/>
      <c r="VAA230" s="514"/>
      <c r="VAB230" s="514"/>
      <c r="VAC230" s="514"/>
      <c r="VAD230" s="514"/>
      <c r="VAE230" s="514"/>
      <c r="VAF230" s="514"/>
      <c r="VAG230" s="514"/>
      <c r="VAH230" s="514"/>
      <c r="VAI230" s="514"/>
      <c r="VAJ230" s="514"/>
      <c r="VAK230" s="514"/>
      <c r="VAL230" s="514"/>
      <c r="VAM230" s="514"/>
      <c r="VAN230" s="514"/>
      <c r="VAO230" s="514"/>
      <c r="VAP230" s="514"/>
      <c r="VAQ230" s="514"/>
      <c r="VAR230" s="514"/>
      <c r="VAS230" s="514"/>
      <c r="VAT230" s="514"/>
      <c r="VAU230" s="514"/>
      <c r="VAV230" s="514"/>
      <c r="VAW230" s="514"/>
      <c r="VAX230" s="514"/>
      <c r="VAY230" s="514"/>
      <c r="VAZ230" s="514"/>
      <c r="VBA230" s="514"/>
      <c r="VBB230" s="514"/>
      <c r="VBC230" s="514"/>
      <c r="VBD230" s="514"/>
      <c r="VBE230" s="514"/>
      <c r="VBF230" s="514"/>
      <c r="VBG230" s="514"/>
      <c r="VBH230" s="514"/>
      <c r="VBI230" s="514"/>
      <c r="VBJ230" s="514"/>
      <c r="VBK230" s="514"/>
      <c r="VBL230" s="514"/>
      <c r="VBM230" s="514"/>
      <c r="VBN230" s="514"/>
      <c r="VBO230" s="514"/>
      <c r="VBP230" s="514"/>
      <c r="VBQ230" s="514"/>
      <c r="VBR230" s="514"/>
      <c r="VBS230" s="514"/>
      <c r="VBT230" s="514"/>
      <c r="VBU230" s="514"/>
      <c r="VBV230" s="514"/>
      <c r="VBW230" s="514"/>
      <c r="VBX230" s="514"/>
      <c r="VBY230" s="514"/>
      <c r="VBZ230" s="514"/>
      <c r="VCA230" s="514"/>
      <c r="VCB230" s="514"/>
      <c r="VCC230" s="514"/>
      <c r="VCD230" s="514"/>
      <c r="VCE230" s="514"/>
      <c r="VCF230" s="514"/>
      <c r="VCG230" s="514"/>
      <c r="VCH230" s="514"/>
      <c r="VCI230" s="514"/>
      <c r="VCJ230" s="514"/>
      <c r="VCK230" s="514"/>
      <c r="VCL230" s="514"/>
      <c r="VCM230" s="514"/>
      <c r="VCN230" s="514"/>
      <c r="VCO230" s="514"/>
      <c r="VCP230" s="514"/>
      <c r="VCQ230" s="514"/>
      <c r="VCR230" s="514"/>
      <c r="VCS230" s="514"/>
      <c r="VCT230" s="514"/>
      <c r="VCU230" s="514"/>
      <c r="VCV230" s="514"/>
      <c r="VCW230" s="514"/>
      <c r="VCX230" s="514"/>
      <c r="VCY230" s="514"/>
      <c r="VCZ230" s="514"/>
      <c r="VDA230" s="514"/>
      <c r="VDB230" s="514"/>
      <c r="VDC230" s="514"/>
      <c r="VDD230" s="514"/>
      <c r="VDE230" s="514"/>
      <c r="VDF230" s="514"/>
      <c r="VDG230" s="514"/>
      <c r="VDH230" s="514"/>
      <c r="VDI230" s="514"/>
      <c r="VDJ230" s="514"/>
      <c r="VDK230" s="514"/>
      <c r="VDL230" s="514"/>
      <c r="VDM230" s="514"/>
      <c r="VDN230" s="514"/>
      <c r="VDO230" s="514"/>
      <c r="VDP230" s="514"/>
      <c r="VDQ230" s="514"/>
      <c r="VDR230" s="514"/>
      <c r="VDS230" s="514"/>
      <c r="VDT230" s="514"/>
      <c r="VDU230" s="514"/>
      <c r="VDV230" s="514"/>
      <c r="VDW230" s="514"/>
      <c r="VDX230" s="514"/>
      <c r="VDY230" s="514"/>
      <c r="VDZ230" s="514"/>
      <c r="VEA230" s="514"/>
      <c r="VEB230" s="514"/>
      <c r="VEC230" s="514"/>
      <c r="VED230" s="514"/>
      <c r="VEE230" s="514"/>
      <c r="VEF230" s="514"/>
      <c r="VEG230" s="514"/>
      <c r="VEH230" s="514"/>
      <c r="VEI230" s="514"/>
      <c r="VEJ230" s="514"/>
      <c r="VEK230" s="514"/>
      <c r="VEL230" s="514"/>
      <c r="VEM230" s="514"/>
      <c r="VEN230" s="514"/>
      <c r="VEO230" s="514"/>
      <c r="VEP230" s="514"/>
      <c r="VEQ230" s="514"/>
      <c r="VER230" s="514"/>
      <c r="VES230" s="514"/>
      <c r="VET230" s="514"/>
      <c r="VEU230" s="514"/>
      <c r="VEV230" s="514"/>
      <c r="VEW230" s="514"/>
      <c r="VEX230" s="514"/>
      <c r="VEY230" s="514"/>
      <c r="VEZ230" s="514"/>
      <c r="VFA230" s="514"/>
      <c r="VFB230" s="514"/>
      <c r="VFC230" s="514"/>
      <c r="VFD230" s="514"/>
      <c r="VFE230" s="514"/>
      <c r="VFF230" s="514"/>
      <c r="VFG230" s="514"/>
      <c r="VFH230" s="514"/>
      <c r="VFI230" s="514"/>
      <c r="VFJ230" s="514"/>
      <c r="VFK230" s="514"/>
      <c r="VFL230" s="514"/>
      <c r="VFM230" s="514"/>
      <c r="VFN230" s="514"/>
      <c r="VFO230" s="514"/>
      <c r="VFP230" s="514"/>
      <c r="VFQ230" s="514"/>
      <c r="VFR230" s="514"/>
      <c r="VFS230" s="514"/>
      <c r="VFT230" s="514"/>
      <c r="VFU230" s="514"/>
      <c r="VFV230" s="514"/>
      <c r="VFW230" s="514"/>
      <c r="VFX230" s="514"/>
      <c r="VFY230" s="514"/>
      <c r="VFZ230" s="514"/>
      <c r="VGA230" s="514"/>
      <c r="VGB230" s="514"/>
      <c r="VGC230" s="514"/>
      <c r="VGD230" s="514"/>
      <c r="VGE230" s="514"/>
      <c r="VGF230" s="514"/>
      <c r="VGG230" s="514"/>
      <c r="VGH230" s="514"/>
      <c r="VGI230" s="514"/>
      <c r="VGJ230" s="514"/>
      <c r="VGK230" s="514"/>
      <c r="VGL230" s="514"/>
      <c r="VGM230" s="514"/>
      <c r="VGN230" s="514"/>
      <c r="VGO230" s="514"/>
      <c r="VGP230" s="514"/>
      <c r="VGQ230" s="514"/>
      <c r="VGR230" s="514"/>
      <c r="VGS230" s="514"/>
      <c r="VGT230" s="514"/>
      <c r="VGU230" s="514"/>
      <c r="VGV230" s="514"/>
      <c r="VGW230" s="514"/>
      <c r="VGX230" s="514"/>
      <c r="VGY230" s="514"/>
      <c r="VGZ230" s="514"/>
      <c r="VHA230" s="514"/>
      <c r="VHB230" s="514"/>
      <c r="VHC230" s="514"/>
      <c r="VHD230" s="514"/>
      <c r="VHE230" s="514"/>
      <c r="VHF230" s="514"/>
      <c r="VHG230" s="514"/>
      <c r="VHH230" s="514"/>
      <c r="VHI230" s="514"/>
      <c r="VHJ230" s="514"/>
      <c r="VHK230" s="514"/>
      <c r="VHL230" s="514"/>
      <c r="VHM230" s="514"/>
      <c r="VHN230" s="514"/>
      <c r="VHO230" s="514"/>
      <c r="VHP230" s="514"/>
      <c r="VHQ230" s="514"/>
      <c r="VHR230" s="514"/>
      <c r="VHS230" s="514"/>
      <c r="VHT230" s="514"/>
      <c r="VHU230" s="514"/>
      <c r="VHV230" s="514"/>
      <c r="VHW230" s="514"/>
      <c r="VHX230" s="514"/>
      <c r="VHY230" s="514"/>
      <c r="VHZ230" s="514"/>
      <c r="VIA230" s="514"/>
      <c r="VIB230" s="514"/>
      <c r="VIC230" s="514"/>
      <c r="VID230" s="514"/>
      <c r="VIE230" s="514"/>
      <c r="VIF230" s="514"/>
      <c r="VIG230" s="514"/>
      <c r="VIH230" s="514"/>
      <c r="VII230" s="514"/>
      <c r="VIJ230" s="514"/>
      <c r="VIK230" s="514"/>
      <c r="VIL230" s="514"/>
      <c r="VIM230" s="514"/>
      <c r="VIN230" s="514"/>
      <c r="VIO230" s="514"/>
      <c r="VIP230" s="514"/>
      <c r="VIQ230" s="514"/>
      <c r="VIR230" s="514"/>
      <c r="VIS230" s="514"/>
      <c r="VIT230" s="514"/>
      <c r="VIU230" s="514"/>
      <c r="VIV230" s="514"/>
      <c r="VIW230" s="514"/>
      <c r="VIX230" s="514"/>
      <c r="VIY230" s="514"/>
      <c r="VIZ230" s="514"/>
      <c r="VJA230" s="514"/>
      <c r="VJB230" s="514"/>
      <c r="VJC230" s="514"/>
      <c r="VJD230" s="514"/>
      <c r="VJE230" s="514"/>
      <c r="VJF230" s="514"/>
      <c r="VJG230" s="514"/>
      <c r="VJH230" s="514"/>
      <c r="VJI230" s="514"/>
      <c r="VJJ230" s="514"/>
      <c r="VJK230" s="514"/>
      <c r="VJL230" s="514"/>
      <c r="VJM230" s="514"/>
      <c r="VJN230" s="514"/>
      <c r="VJO230" s="514"/>
      <c r="VJP230" s="514"/>
      <c r="VJQ230" s="514"/>
      <c r="VJR230" s="514"/>
      <c r="VJS230" s="514"/>
      <c r="VJT230" s="514"/>
      <c r="VJU230" s="514"/>
      <c r="VJV230" s="514"/>
      <c r="VJW230" s="514"/>
      <c r="VJX230" s="514"/>
      <c r="VJY230" s="514"/>
      <c r="VJZ230" s="514"/>
      <c r="VKA230" s="514"/>
      <c r="VKB230" s="514"/>
      <c r="VKC230" s="514"/>
      <c r="VKD230" s="514"/>
      <c r="VKE230" s="514"/>
      <c r="VKF230" s="514"/>
      <c r="VKG230" s="514"/>
      <c r="VKH230" s="514"/>
      <c r="VKI230" s="514"/>
      <c r="VKJ230" s="514"/>
      <c r="VKK230" s="514"/>
      <c r="VKL230" s="514"/>
      <c r="VKM230" s="514"/>
      <c r="VKN230" s="514"/>
      <c r="VKO230" s="514"/>
      <c r="VKP230" s="514"/>
      <c r="VKQ230" s="514"/>
      <c r="VKR230" s="514"/>
      <c r="VKS230" s="514"/>
      <c r="VKT230" s="514"/>
      <c r="VKU230" s="514"/>
      <c r="VKV230" s="514"/>
      <c r="VKW230" s="514"/>
      <c r="VKX230" s="514"/>
      <c r="VKY230" s="514"/>
      <c r="VKZ230" s="514"/>
      <c r="VLA230" s="514"/>
      <c r="VLB230" s="514"/>
      <c r="VLC230" s="514"/>
      <c r="VLD230" s="514"/>
      <c r="VLE230" s="514"/>
      <c r="VLF230" s="514"/>
      <c r="VLG230" s="514"/>
      <c r="VLH230" s="514"/>
      <c r="VLI230" s="514"/>
      <c r="VLJ230" s="514"/>
      <c r="VLK230" s="514"/>
      <c r="VLL230" s="514"/>
      <c r="VLM230" s="514"/>
      <c r="VLN230" s="514"/>
      <c r="VLO230" s="514"/>
      <c r="VLP230" s="514"/>
      <c r="VLQ230" s="514"/>
      <c r="VLR230" s="514"/>
      <c r="VLS230" s="514"/>
      <c r="VLT230" s="514"/>
      <c r="VLU230" s="514"/>
      <c r="VLV230" s="514"/>
      <c r="VLW230" s="514"/>
      <c r="VLX230" s="514"/>
      <c r="VLY230" s="514"/>
      <c r="VLZ230" s="514"/>
      <c r="VMA230" s="514"/>
      <c r="VMB230" s="514"/>
      <c r="VMC230" s="514"/>
      <c r="VMD230" s="514"/>
      <c r="VME230" s="514"/>
      <c r="VMF230" s="514"/>
      <c r="VMG230" s="514"/>
      <c r="VMH230" s="514"/>
      <c r="VMI230" s="514"/>
      <c r="VMJ230" s="514"/>
      <c r="VMK230" s="514"/>
      <c r="VML230" s="514"/>
      <c r="VMM230" s="514"/>
      <c r="VMN230" s="514"/>
      <c r="VMO230" s="514"/>
      <c r="VMP230" s="514"/>
      <c r="VMQ230" s="514"/>
      <c r="VMR230" s="514"/>
      <c r="VMS230" s="514"/>
      <c r="VMT230" s="514"/>
      <c r="VMU230" s="514"/>
      <c r="VMV230" s="514"/>
      <c r="VMW230" s="514"/>
      <c r="VMX230" s="514"/>
      <c r="VMY230" s="514"/>
      <c r="VMZ230" s="514"/>
      <c r="VNA230" s="514"/>
      <c r="VNB230" s="514"/>
      <c r="VNC230" s="514"/>
      <c r="VND230" s="514"/>
      <c r="VNE230" s="514"/>
      <c r="VNF230" s="514"/>
      <c r="VNG230" s="514"/>
      <c r="VNH230" s="514"/>
      <c r="VNI230" s="514"/>
      <c r="VNJ230" s="514"/>
      <c r="VNK230" s="514"/>
      <c r="VNL230" s="514"/>
      <c r="VNM230" s="514"/>
      <c r="VNN230" s="514"/>
      <c r="VNO230" s="514"/>
      <c r="VNP230" s="514"/>
      <c r="VNQ230" s="514"/>
      <c r="VNR230" s="514"/>
      <c r="VNS230" s="514"/>
      <c r="VNT230" s="514"/>
      <c r="VNU230" s="514"/>
      <c r="VNV230" s="514"/>
      <c r="VNW230" s="514"/>
      <c r="VNX230" s="514"/>
      <c r="VNY230" s="514"/>
      <c r="VNZ230" s="514"/>
      <c r="VOA230" s="514"/>
      <c r="VOB230" s="514"/>
      <c r="VOC230" s="514"/>
      <c r="VOD230" s="514"/>
      <c r="VOE230" s="514"/>
      <c r="VOF230" s="514"/>
      <c r="VOG230" s="514"/>
      <c r="VOH230" s="514"/>
      <c r="VOI230" s="514"/>
      <c r="VOJ230" s="514"/>
      <c r="VOK230" s="514"/>
      <c r="VOL230" s="514"/>
      <c r="VOM230" s="514"/>
      <c r="VON230" s="514"/>
      <c r="VOO230" s="514"/>
      <c r="VOP230" s="514"/>
      <c r="VOQ230" s="514"/>
      <c r="VOR230" s="514"/>
      <c r="VOS230" s="514"/>
      <c r="VOT230" s="514"/>
      <c r="VOU230" s="514"/>
      <c r="VOV230" s="514"/>
      <c r="VOW230" s="514"/>
      <c r="VOX230" s="514"/>
      <c r="VOY230" s="514"/>
      <c r="VOZ230" s="514"/>
      <c r="VPA230" s="514"/>
      <c r="VPB230" s="514"/>
      <c r="VPC230" s="514"/>
      <c r="VPD230" s="514"/>
      <c r="VPE230" s="514"/>
      <c r="VPF230" s="514"/>
      <c r="VPG230" s="514"/>
      <c r="VPH230" s="514"/>
      <c r="VPI230" s="514"/>
      <c r="VPJ230" s="514"/>
      <c r="VPK230" s="514"/>
      <c r="VPL230" s="514"/>
      <c r="VPM230" s="514"/>
      <c r="VPN230" s="514"/>
      <c r="VPO230" s="514"/>
      <c r="VPP230" s="514"/>
      <c r="VPQ230" s="514"/>
      <c r="VPR230" s="514"/>
      <c r="VPS230" s="514"/>
      <c r="VPT230" s="514"/>
      <c r="VPU230" s="514"/>
      <c r="VPV230" s="514"/>
      <c r="VPW230" s="514"/>
      <c r="VPX230" s="514"/>
      <c r="VPY230" s="514"/>
      <c r="VPZ230" s="514"/>
      <c r="VQA230" s="514"/>
      <c r="VQB230" s="514"/>
      <c r="VQC230" s="514"/>
      <c r="VQD230" s="514"/>
      <c r="VQE230" s="514"/>
      <c r="VQF230" s="514"/>
      <c r="VQG230" s="514"/>
      <c r="VQH230" s="514"/>
      <c r="VQI230" s="514"/>
      <c r="VQJ230" s="514"/>
      <c r="VQK230" s="514"/>
      <c r="VQL230" s="514"/>
      <c r="VQM230" s="514"/>
      <c r="VQN230" s="514"/>
      <c r="VQO230" s="514"/>
      <c r="VQP230" s="514"/>
      <c r="VQQ230" s="514"/>
      <c r="VQR230" s="514"/>
      <c r="VQS230" s="514"/>
      <c r="VQT230" s="514"/>
      <c r="VQU230" s="514"/>
      <c r="VQV230" s="514"/>
      <c r="VQW230" s="514"/>
      <c r="VQX230" s="514"/>
      <c r="VQY230" s="514"/>
      <c r="VQZ230" s="514"/>
      <c r="VRA230" s="514"/>
      <c r="VRB230" s="514"/>
      <c r="VRC230" s="514"/>
      <c r="VRD230" s="514"/>
      <c r="VRE230" s="514"/>
      <c r="VRF230" s="514"/>
      <c r="VRG230" s="514"/>
      <c r="VRH230" s="514"/>
      <c r="VRI230" s="514"/>
      <c r="VRJ230" s="514"/>
      <c r="VRK230" s="514"/>
      <c r="VRL230" s="514"/>
      <c r="VRM230" s="514"/>
      <c r="VRN230" s="514"/>
      <c r="VRO230" s="514"/>
      <c r="VRP230" s="514"/>
      <c r="VRQ230" s="514"/>
      <c r="VRR230" s="514"/>
      <c r="VRS230" s="514"/>
      <c r="VRT230" s="514"/>
      <c r="VRU230" s="514"/>
      <c r="VRV230" s="514"/>
      <c r="VRW230" s="514"/>
      <c r="VRX230" s="514"/>
      <c r="VRY230" s="514"/>
      <c r="VRZ230" s="514"/>
      <c r="VSA230" s="514"/>
      <c r="VSB230" s="514"/>
      <c r="VSC230" s="514"/>
      <c r="VSD230" s="514"/>
      <c r="VSE230" s="514"/>
      <c r="VSF230" s="514"/>
      <c r="VSG230" s="514"/>
      <c r="VSH230" s="514"/>
      <c r="VSI230" s="514"/>
      <c r="VSJ230" s="514"/>
      <c r="VSK230" s="514"/>
      <c r="VSL230" s="514"/>
      <c r="VSM230" s="514"/>
      <c r="VSN230" s="514"/>
      <c r="VSO230" s="514"/>
      <c r="VSP230" s="514"/>
      <c r="VSQ230" s="514"/>
      <c r="VSR230" s="514"/>
      <c r="VSS230" s="514"/>
      <c r="VST230" s="514"/>
      <c r="VSU230" s="514"/>
      <c r="VSV230" s="514"/>
      <c r="VSW230" s="514"/>
      <c r="VSX230" s="514"/>
      <c r="VSY230" s="514"/>
      <c r="VSZ230" s="514"/>
      <c r="VTA230" s="514"/>
      <c r="VTB230" s="514"/>
      <c r="VTC230" s="514"/>
      <c r="VTD230" s="514"/>
      <c r="VTE230" s="514"/>
      <c r="VTF230" s="514"/>
      <c r="VTG230" s="514"/>
      <c r="VTH230" s="514"/>
      <c r="VTI230" s="514"/>
      <c r="VTJ230" s="514"/>
      <c r="VTK230" s="514"/>
      <c r="VTL230" s="514"/>
      <c r="VTM230" s="514"/>
      <c r="VTN230" s="514"/>
      <c r="VTO230" s="514"/>
      <c r="VTP230" s="514"/>
      <c r="VTQ230" s="514"/>
      <c r="VTR230" s="514"/>
      <c r="VTS230" s="514"/>
      <c r="VTT230" s="514"/>
      <c r="VTU230" s="514"/>
      <c r="VTV230" s="514"/>
      <c r="VTW230" s="514"/>
      <c r="VTX230" s="514"/>
      <c r="VTY230" s="514"/>
      <c r="VTZ230" s="514"/>
      <c r="VUA230" s="514"/>
      <c r="VUB230" s="514"/>
      <c r="VUC230" s="514"/>
      <c r="VUD230" s="514"/>
      <c r="VUE230" s="514"/>
      <c r="VUF230" s="514"/>
      <c r="VUG230" s="514"/>
      <c r="VUH230" s="514"/>
      <c r="VUI230" s="514"/>
      <c r="VUJ230" s="514"/>
      <c r="VUK230" s="514"/>
      <c r="VUL230" s="514"/>
      <c r="VUM230" s="514"/>
      <c r="VUN230" s="514"/>
      <c r="VUO230" s="514"/>
      <c r="VUP230" s="514"/>
      <c r="VUQ230" s="514"/>
      <c r="VUR230" s="514"/>
      <c r="VUS230" s="514"/>
      <c r="VUT230" s="514"/>
      <c r="VUU230" s="514"/>
      <c r="VUV230" s="514"/>
      <c r="VUW230" s="514"/>
      <c r="VUX230" s="514"/>
      <c r="VUY230" s="514"/>
      <c r="VUZ230" s="514"/>
      <c r="VVA230" s="514"/>
      <c r="VVB230" s="514"/>
      <c r="VVC230" s="514"/>
      <c r="VVD230" s="514"/>
      <c r="VVE230" s="514"/>
      <c r="VVF230" s="514"/>
      <c r="VVG230" s="514"/>
      <c r="VVH230" s="514"/>
      <c r="VVI230" s="514"/>
      <c r="VVJ230" s="514"/>
      <c r="VVK230" s="514"/>
      <c r="VVL230" s="514"/>
      <c r="VVM230" s="514"/>
      <c r="VVN230" s="514"/>
      <c r="VVO230" s="514"/>
      <c r="VVP230" s="514"/>
      <c r="VVQ230" s="514"/>
      <c r="VVR230" s="514"/>
      <c r="VVS230" s="514"/>
      <c r="VVT230" s="514"/>
      <c r="VVU230" s="514"/>
      <c r="VVV230" s="514"/>
      <c r="VVW230" s="514"/>
      <c r="VVX230" s="514"/>
      <c r="VVY230" s="514"/>
      <c r="VVZ230" s="514"/>
      <c r="VWA230" s="514"/>
      <c r="VWB230" s="514"/>
      <c r="VWC230" s="514"/>
      <c r="VWD230" s="514"/>
      <c r="VWE230" s="514"/>
      <c r="VWF230" s="514"/>
      <c r="VWG230" s="514"/>
      <c r="VWH230" s="514"/>
      <c r="VWI230" s="514"/>
      <c r="VWJ230" s="514"/>
      <c r="VWK230" s="514"/>
      <c r="VWL230" s="514"/>
      <c r="VWM230" s="514"/>
      <c r="VWN230" s="514"/>
      <c r="VWO230" s="514"/>
      <c r="VWP230" s="514"/>
      <c r="VWQ230" s="514"/>
      <c r="VWR230" s="514"/>
      <c r="VWS230" s="514"/>
      <c r="VWT230" s="514"/>
      <c r="VWU230" s="514"/>
      <c r="VWV230" s="514"/>
      <c r="VWW230" s="514"/>
      <c r="VWX230" s="514"/>
      <c r="VWY230" s="514"/>
      <c r="VWZ230" s="514"/>
      <c r="VXA230" s="514"/>
      <c r="VXB230" s="514"/>
      <c r="VXC230" s="514"/>
      <c r="VXD230" s="514"/>
      <c r="VXE230" s="514"/>
      <c r="VXF230" s="514"/>
      <c r="VXG230" s="514"/>
      <c r="VXH230" s="514"/>
      <c r="VXI230" s="514"/>
      <c r="VXJ230" s="514"/>
      <c r="VXK230" s="514"/>
      <c r="VXL230" s="514"/>
      <c r="VXM230" s="514"/>
      <c r="VXN230" s="514"/>
      <c r="VXO230" s="514"/>
      <c r="VXP230" s="514"/>
      <c r="VXQ230" s="514"/>
      <c r="VXR230" s="514"/>
      <c r="VXS230" s="514"/>
      <c r="VXT230" s="514"/>
      <c r="VXU230" s="514"/>
      <c r="VXV230" s="514"/>
      <c r="VXW230" s="514"/>
      <c r="VXX230" s="514"/>
      <c r="VXY230" s="514"/>
      <c r="VXZ230" s="514"/>
      <c r="VYA230" s="514"/>
      <c r="VYB230" s="514"/>
      <c r="VYC230" s="514"/>
      <c r="VYD230" s="514"/>
      <c r="VYE230" s="514"/>
      <c r="VYF230" s="514"/>
      <c r="VYG230" s="514"/>
      <c r="VYH230" s="514"/>
      <c r="VYI230" s="514"/>
      <c r="VYJ230" s="514"/>
      <c r="VYK230" s="514"/>
      <c r="VYL230" s="514"/>
      <c r="VYM230" s="514"/>
      <c r="VYN230" s="514"/>
      <c r="VYO230" s="514"/>
      <c r="VYP230" s="514"/>
      <c r="VYQ230" s="514"/>
      <c r="VYR230" s="514"/>
      <c r="VYS230" s="514"/>
      <c r="VYT230" s="514"/>
      <c r="VYU230" s="514"/>
      <c r="VYV230" s="514"/>
      <c r="VYW230" s="514"/>
      <c r="VYX230" s="514"/>
      <c r="VYY230" s="514"/>
      <c r="VYZ230" s="514"/>
      <c r="VZA230" s="514"/>
      <c r="VZB230" s="514"/>
      <c r="VZC230" s="514"/>
      <c r="VZD230" s="514"/>
      <c r="VZE230" s="514"/>
      <c r="VZF230" s="514"/>
      <c r="VZG230" s="514"/>
      <c r="VZH230" s="514"/>
      <c r="VZI230" s="514"/>
      <c r="VZJ230" s="514"/>
      <c r="VZK230" s="514"/>
      <c r="VZL230" s="514"/>
      <c r="VZM230" s="514"/>
      <c r="VZN230" s="514"/>
      <c r="VZO230" s="514"/>
      <c r="VZP230" s="514"/>
      <c r="VZQ230" s="514"/>
      <c r="VZR230" s="514"/>
      <c r="VZS230" s="514"/>
      <c r="VZT230" s="514"/>
      <c r="VZU230" s="514"/>
      <c r="VZV230" s="514"/>
      <c r="VZW230" s="514"/>
      <c r="VZX230" s="514"/>
      <c r="VZY230" s="514"/>
      <c r="VZZ230" s="514"/>
      <c r="WAA230" s="514"/>
      <c r="WAB230" s="514"/>
      <c r="WAC230" s="514"/>
      <c r="WAD230" s="514"/>
      <c r="WAE230" s="514"/>
      <c r="WAF230" s="514"/>
      <c r="WAG230" s="514"/>
      <c r="WAH230" s="514"/>
      <c r="WAI230" s="514"/>
      <c r="WAJ230" s="514"/>
      <c r="WAK230" s="514"/>
      <c r="WAL230" s="514"/>
      <c r="WAM230" s="514"/>
      <c r="WAN230" s="514"/>
      <c r="WAO230" s="514"/>
      <c r="WAP230" s="514"/>
      <c r="WAQ230" s="514"/>
      <c r="WAR230" s="514"/>
      <c r="WAS230" s="514"/>
      <c r="WAT230" s="514"/>
      <c r="WAU230" s="514"/>
      <c r="WAV230" s="514"/>
      <c r="WAW230" s="514"/>
      <c r="WAX230" s="514"/>
      <c r="WAY230" s="514"/>
      <c r="WAZ230" s="514"/>
      <c r="WBA230" s="514"/>
      <c r="WBB230" s="514"/>
      <c r="WBC230" s="514"/>
      <c r="WBD230" s="514"/>
      <c r="WBE230" s="514"/>
      <c r="WBF230" s="514"/>
      <c r="WBG230" s="514"/>
      <c r="WBH230" s="514"/>
      <c r="WBI230" s="514"/>
      <c r="WBJ230" s="514"/>
      <c r="WBK230" s="514"/>
      <c r="WBL230" s="514"/>
      <c r="WBM230" s="514"/>
      <c r="WBN230" s="514"/>
      <c r="WBO230" s="514"/>
      <c r="WBP230" s="514"/>
      <c r="WBQ230" s="514"/>
      <c r="WBR230" s="514"/>
      <c r="WBS230" s="514"/>
      <c r="WBT230" s="514"/>
      <c r="WBU230" s="514"/>
      <c r="WBV230" s="514"/>
      <c r="WBW230" s="514"/>
      <c r="WBX230" s="514"/>
      <c r="WBY230" s="514"/>
      <c r="WBZ230" s="514"/>
      <c r="WCA230" s="514"/>
      <c r="WCB230" s="514"/>
      <c r="WCC230" s="514"/>
      <c r="WCD230" s="514"/>
      <c r="WCE230" s="514"/>
      <c r="WCF230" s="514"/>
      <c r="WCG230" s="514"/>
      <c r="WCH230" s="514"/>
      <c r="WCI230" s="514"/>
      <c r="WCJ230" s="514"/>
      <c r="WCK230" s="514"/>
      <c r="WCL230" s="514"/>
      <c r="WCM230" s="514"/>
      <c r="WCN230" s="514"/>
      <c r="WCO230" s="514"/>
      <c r="WCP230" s="514"/>
      <c r="WCQ230" s="514"/>
      <c r="WCR230" s="514"/>
      <c r="WCS230" s="514"/>
      <c r="WCT230" s="514"/>
      <c r="WCU230" s="514"/>
      <c r="WCV230" s="514"/>
      <c r="WCW230" s="514"/>
      <c r="WCX230" s="514"/>
      <c r="WCY230" s="514"/>
      <c r="WCZ230" s="514"/>
      <c r="WDA230" s="514"/>
      <c r="WDB230" s="514"/>
      <c r="WDC230" s="514"/>
      <c r="WDD230" s="514"/>
      <c r="WDE230" s="514"/>
      <c r="WDF230" s="514"/>
      <c r="WDG230" s="514"/>
      <c r="WDH230" s="514"/>
      <c r="WDI230" s="514"/>
      <c r="WDJ230" s="514"/>
      <c r="WDK230" s="514"/>
      <c r="WDL230" s="514"/>
      <c r="WDM230" s="514"/>
      <c r="WDN230" s="514"/>
      <c r="WDO230" s="514"/>
      <c r="WDP230" s="514"/>
      <c r="WDQ230" s="514"/>
      <c r="WDR230" s="514"/>
      <c r="WDS230" s="514"/>
      <c r="WDT230" s="514"/>
      <c r="WDU230" s="514"/>
      <c r="WDV230" s="514"/>
      <c r="WDW230" s="514"/>
      <c r="WDX230" s="514"/>
      <c r="WDY230" s="514"/>
      <c r="WDZ230" s="514"/>
      <c r="WEA230" s="514"/>
      <c r="WEB230" s="514"/>
      <c r="WEC230" s="514"/>
      <c r="WED230" s="514"/>
      <c r="WEE230" s="514"/>
      <c r="WEF230" s="514"/>
      <c r="WEG230" s="514"/>
      <c r="WEH230" s="514"/>
      <c r="WEI230" s="514"/>
      <c r="WEJ230" s="514"/>
      <c r="WEK230" s="514"/>
      <c r="WEL230" s="514"/>
      <c r="WEM230" s="514"/>
      <c r="WEN230" s="514"/>
      <c r="WEO230" s="514"/>
      <c r="WEP230" s="514"/>
      <c r="WEQ230" s="514"/>
      <c r="WER230" s="514"/>
      <c r="WES230" s="514"/>
      <c r="WET230" s="514"/>
      <c r="WEU230" s="514"/>
      <c r="WEV230" s="514"/>
      <c r="WEW230" s="514"/>
      <c r="WEX230" s="514"/>
      <c r="WEY230" s="514"/>
      <c r="WEZ230" s="514"/>
      <c r="WFA230" s="514"/>
      <c r="WFB230" s="514"/>
      <c r="WFC230" s="514"/>
      <c r="WFD230" s="514"/>
      <c r="WFE230" s="514"/>
      <c r="WFF230" s="514"/>
      <c r="WFG230" s="514"/>
      <c r="WFH230" s="514"/>
      <c r="WFI230" s="514"/>
      <c r="WFJ230" s="514"/>
      <c r="WFK230" s="514"/>
      <c r="WFL230" s="514"/>
      <c r="WFM230" s="514"/>
      <c r="WFN230" s="514"/>
      <c r="WFO230" s="514"/>
      <c r="WFP230" s="514"/>
      <c r="WFQ230" s="514"/>
      <c r="WFR230" s="514"/>
      <c r="WFS230" s="514"/>
      <c r="WFT230" s="514"/>
      <c r="WFU230" s="514"/>
      <c r="WFV230" s="514"/>
      <c r="WFW230" s="514"/>
      <c r="WFX230" s="514"/>
      <c r="WFY230" s="514"/>
      <c r="WFZ230" s="514"/>
      <c r="WGA230" s="514"/>
      <c r="WGB230" s="514"/>
      <c r="WGC230" s="514"/>
      <c r="WGD230" s="514"/>
      <c r="WGE230" s="514"/>
      <c r="WGF230" s="514"/>
      <c r="WGG230" s="514"/>
      <c r="WGH230" s="514"/>
      <c r="WGI230" s="514"/>
      <c r="WGJ230" s="514"/>
      <c r="WGK230" s="514"/>
      <c r="WGL230" s="514"/>
      <c r="WGM230" s="514"/>
      <c r="WGN230" s="514"/>
      <c r="WGO230" s="514"/>
      <c r="WGP230" s="514"/>
      <c r="WGQ230" s="514"/>
      <c r="WGR230" s="514"/>
      <c r="WGS230" s="514"/>
      <c r="WGT230" s="514"/>
      <c r="WGU230" s="514"/>
      <c r="WGV230" s="514"/>
      <c r="WGW230" s="514"/>
      <c r="WGX230" s="514"/>
      <c r="WGY230" s="514"/>
      <c r="WGZ230" s="514"/>
      <c r="WHA230" s="514"/>
      <c r="WHB230" s="514"/>
      <c r="WHC230" s="514"/>
      <c r="WHD230" s="514"/>
      <c r="WHE230" s="514"/>
      <c r="WHF230" s="514"/>
      <c r="WHG230" s="514"/>
      <c r="WHH230" s="514"/>
      <c r="WHI230" s="514"/>
      <c r="WHJ230" s="514"/>
      <c r="WHK230" s="514"/>
      <c r="WHL230" s="514"/>
      <c r="WHM230" s="514"/>
      <c r="WHN230" s="514"/>
      <c r="WHO230" s="514"/>
      <c r="WHP230" s="514"/>
      <c r="WHQ230" s="514"/>
      <c r="WHR230" s="514"/>
      <c r="WHS230" s="514"/>
      <c r="WHT230" s="514"/>
      <c r="WHU230" s="514"/>
      <c r="WHV230" s="514"/>
      <c r="WHW230" s="514"/>
      <c r="WHX230" s="514"/>
      <c r="WHY230" s="514"/>
      <c r="WHZ230" s="514"/>
      <c r="WIA230" s="514"/>
      <c r="WIB230" s="514"/>
      <c r="WIC230" s="514"/>
      <c r="WID230" s="514"/>
      <c r="WIE230" s="514"/>
      <c r="WIF230" s="514"/>
      <c r="WIG230" s="514"/>
      <c r="WIH230" s="514"/>
      <c r="WII230" s="514"/>
      <c r="WIJ230" s="514"/>
      <c r="WIK230" s="514"/>
      <c r="WIL230" s="514"/>
      <c r="WIM230" s="514"/>
      <c r="WIN230" s="514"/>
      <c r="WIO230" s="514"/>
      <c r="WIP230" s="514"/>
      <c r="WIQ230" s="514"/>
      <c r="WIR230" s="514"/>
      <c r="WIS230" s="514"/>
      <c r="WIT230" s="514"/>
      <c r="WIU230" s="514"/>
      <c r="WIV230" s="514"/>
      <c r="WIW230" s="514"/>
      <c r="WIX230" s="514"/>
      <c r="WIY230" s="514"/>
      <c r="WIZ230" s="514"/>
      <c r="WJA230" s="514"/>
      <c r="WJB230" s="514"/>
      <c r="WJC230" s="514"/>
      <c r="WJD230" s="514"/>
      <c r="WJE230" s="514"/>
      <c r="WJF230" s="514"/>
      <c r="WJG230" s="514"/>
      <c r="WJH230" s="514"/>
      <c r="WJI230" s="514"/>
      <c r="WJJ230" s="514"/>
      <c r="WJK230" s="514"/>
      <c r="WJL230" s="514"/>
      <c r="WJM230" s="514"/>
      <c r="WJN230" s="514"/>
      <c r="WJO230" s="514"/>
      <c r="WJP230" s="514"/>
      <c r="WJQ230" s="514"/>
      <c r="WJR230" s="514"/>
      <c r="WJS230" s="514"/>
      <c r="WJT230" s="514"/>
      <c r="WJU230" s="514"/>
      <c r="WJV230" s="514"/>
      <c r="WJW230" s="514"/>
      <c r="WJX230" s="514"/>
      <c r="WJY230" s="514"/>
      <c r="WJZ230" s="514"/>
      <c r="WKA230" s="514"/>
      <c r="WKB230" s="514"/>
      <c r="WKC230" s="514"/>
      <c r="WKD230" s="514"/>
      <c r="WKE230" s="514"/>
      <c r="WKF230" s="514"/>
      <c r="WKG230" s="514"/>
      <c r="WKH230" s="514"/>
      <c r="WKI230" s="514"/>
      <c r="WKJ230" s="514"/>
      <c r="WKK230" s="514"/>
      <c r="WKL230" s="514"/>
      <c r="WKM230" s="514"/>
      <c r="WKN230" s="514"/>
      <c r="WKO230" s="514"/>
      <c r="WKP230" s="514"/>
      <c r="WKQ230" s="514"/>
      <c r="WKR230" s="514"/>
      <c r="WKS230" s="514"/>
      <c r="WKT230" s="514"/>
      <c r="WKU230" s="514"/>
      <c r="WKV230" s="514"/>
      <c r="WKW230" s="514"/>
      <c r="WKX230" s="514"/>
      <c r="WKY230" s="514"/>
      <c r="WKZ230" s="514"/>
      <c r="WLA230" s="514"/>
      <c r="WLB230" s="514"/>
      <c r="WLC230" s="514"/>
      <c r="WLD230" s="514"/>
      <c r="WLE230" s="514"/>
      <c r="WLF230" s="514"/>
      <c r="WLG230" s="514"/>
      <c r="WLH230" s="514"/>
      <c r="WLI230" s="514"/>
      <c r="WLJ230" s="514"/>
      <c r="WLK230" s="514"/>
      <c r="WLL230" s="514"/>
      <c r="WLM230" s="514"/>
      <c r="WLN230" s="514"/>
      <c r="WLO230" s="514"/>
      <c r="WLP230" s="514"/>
      <c r="WLQ230" s="514"/>
      <c r="WLR230" s="514"/>
      <c r="WLS230" s="514"/>
      <c r="WLT230" s="514"/>
      <c r="WLU230" s="514"/>
      <c r="WLV230" s="514"/>
      <c r="WLW230" s="514"/>
      <c r="WLX230" s="514"/>
      <c r="WLY230" s="514"/>
      <c r="WLZ230" s="514"/>
      <c r="WMA230" s="514"/>
      <c r="WMB230" s="514"/>
      <c r="WMC230" s="514"/>
      <c r="WMD230" s="514"/>
      <c r="WME230" s="514"/>
      <c r="WMF230" s="514"/>
      <c r="WMG230" s="514"/>
      <c r="WMH230" s="514"/>
      <c r="WMI230" s="514"/>
      <c r="WMJ230" s="514"/>
      <c r="WMK230" s="514"/>
      <c r="WML230" s="514"/>
      <c r="WMM230" s="514"/>
      <c r="WMN230" s="514"/>
      <c r="WMO230" s="514"/>
      <c r="WMP230" s="514"/>
      <c r="WMQ230" s="514"/>
      <c r="WMR230" s="514"/>
      <c r="WMS230" s="514"/>
      <c r="WMT230" s="514"/>
      <c r="WMU230" s="514"/>
      <c r="WMV230" s="514"/>
      <c r="WMW230" s="514"/>
      <c r="WMX230" s="514"/>
      <c r="WMY230" s="514"/>
      <c r="WMZ230" s="514"/>
      <c r="WNA230" s="514"/>
      <c r="WNB230" s="514"/>
      <c r="WNC230" s="514"/>
      <c r="WND230" s="514"/>
      <c r="WNE230" s="514"/>
      <c r="WNF230" s="514"/>
      <c r="WNG230" s="514"/>
      <c r="WNH230" s="514"/>
      <c r="WNI230" s="514"/>
      <c r="WNJ230" s="514"/>
      <c r="WNK230" s="514"/>
      <c r="WNL230" s="514"/>
      <c r="WNM230" s="514"/>
      <c r="WNN230" s="514"/>
      <c r="WNO230" s="514"/>
      <c r="WNP230" s="514"/>
      <c r="WNQ230" s="514"/>
      <c r="WNR230" s="514"/>
      <c r="WNS230" s="514"/>
      <c r="WNT230" s="514"/>
      <c r="WNU230" s="514"/>
      <c r="WNV230" s="514"/>
      <c r="WNW230" s="514"/>
      <c r="WNX230" s="514"/>
      <c r="WNY230" s="514"/>
      <c r="WNZ230" s="514"/>
      <c r="WOA230" s="514"/>
      <c r="WOB230" s="514"/>
      <c r="WOC230" s="514"/>
      <c r="WOD230" s="514"/>
      <c r="WOE230" s="514"/>
      <c r="WOF230" s="514"/>
      <c r="WOG230" s="514"/>
      <c r="WOH230" s="514"/>
      <c r="WOI230" s="514"/>
      <c r="WOJ230" s="514"/>
      <c r="WOK230" s="514"/>
      <c r="WOL230" s="514"/>
      <c r="WOM230" s="514"/>
      <c r="WON230" s="514"/>
      <c r="WOO230" s="514"/>
      <c r="WOP230" s="514"/>
      <c r="WOQ230" s="514"/>
      <c r="WOR230" s="514"/>
      <c r="WOS230" s="514"/>
      <c r="WOT230" s="514"/>
      <c r="WOU230" s="514"/>
      <c r="WOV230" s="514"/>
      <c r="WOW230" s="514"/>
      <c r="WOX230" s="514"/>
      <c r="WOY230" s="514"/>
      <c r="WOZ230" s="514"/>
      <c r="WPA230" s="514"/>
      <c r="WPB230" s="514"/>
      <c r="WPC230" s="514"/>
      <c r="WPD230" s="514"/>
      <c r="WPE230" s="514"/>
      <c r="WPF230" s="514"/>
      <c r="WPG230" s="514"/>
      <c r="WPH230" s="514"/>
      <c r="WPI230" s="514"/>
      <c r="WPJ230" s="514"/>
      <c r="WPK230" s="514"/>
      <c r="WPL230" s="514"/>
      <c r="WPM230" s="514"/>
      <c r="WPN230" s="514"/>
      <c r="WPO230" s="514"/>
      <c r="WPP230" s="514"/>
      <c r="WPQ230" s="514"/>
      <c r="WPR230" s="514"/>
      <c r="WPS230" s="514"/>
      <c r="WPT230" s="514"/>
      <c r="WPU230" s="514"/>
      <c r="WPV230" s="514"/>
      <c r="WPW230" s="514"/>
      <c r="WPX230" s="514"/>
      <c r="WPY230" s="514"/>
      <c r="WPZ230" s="514"/>
      <c r="WQA230" s="514"/>
      <c r="WQB230" s="514"/>
      <c r="WQC230" s="514"/>
      <c r="WQD230" s="514"/>
      <c r="WQE230" s="514"/>
      <c r="WQF230" s="514"/>
      <c r="WQG230" s="514"/>
      <c r="WQH230" s="514"/>
      <c r="WQI230" s="514"/>
      <c r="WQJ230" s="514"/>
      <c r="WQK230" s="514"/>
      <c r="WQL230" s="514"/>
      <c r="WQM230" s="514"/>
      <c r="WQN230" s="514"/>
      <c r="WQO230" s="514"/>
      <c r="WQP230" s="514"/>
      <c r="WQQ230" s="514"/>
      <c r="WQR230" s="514"/>
      <c r="WQS230" s="514"/>
      <c r="WQT230" s="514"/>
      <c r="WQU230" s="514"/>
      <c r="WQV230" s="514"/>
      <c r="WQW230" s="514"/>
      <c r="WQX230" s="514"/>
      <c r="WQY230" s="514"/>
      <c r="WQZ230" s="514"/>
      <c r="WRA230" s="514"/>
      <c r="WRB230" s="514"/>
      <c r="WRC230" s="514"/>
      <c r="WRD230" s="514"/>
      <c r="WRE230" s="514"/>
      <c r="WRF230" s="514"/>
      <c r="WRG230" s="514"/>
      <c r="WRH230" s="514"/>
      <c r="WRI230" s="514"/>
      <c r="WRJ230" s="514"/>
      <c r="WRK230" s="514"/>
      <c r="WRL230" s="514"/>
      <c r="WRM230" s="514"/>
      <c r="WRN230" s="514"/>
      <c r="WRO230" s="514"/>
      <c r="WRP230" s="514"/>
      <c r="WRQ230" s="514"/>
      <c r="WRR230" s="514"/>
      <c r="WRS230" s="514"/>
      <c r="WRT230" s="514"/>
      <c r="WRU230" s="514"/>
      <c r="WRV230" s="514"/>
      <c r="WRW230" s="514"/>
      <c r="WRX230" s="514"/>
      <c r="WRY230" s="514"/>
      <c r="WRZ230" s="514"/>
      <c r="WSA230" s="514"/>
      <c r="WSB230" s="514"/>
      <c r="WSC230" s="514"/>
      <c r="WSD230" s="514"/>
      <c r="WSE230" s="514"/>
      <c r="WSF230" s="514"/>
      <c r="WSG230" s="514"/>
      <c r="WSH230" s="514"/>
      <c r="WSI230" s="514"/>
      <c r="WSJ230" s="514"/>
      <c r="WSK230" s="514"/>
      <c r="WSL230" s="514"/>
      <c r="WSM230" s="514"/>
      <c r="WSN230" s="514"/>
      <c r="WSO230" s="514"/>
      <c r="WSP230" s="514"/>
      <c r="WSQ230" s="514"/>
      <c r="WSR230" s="514"/>
      <c r="WSS230" s="514"/>
      <c r="WST230" s="514"/>
      <c r="WSU230" s="514"/>
      <c r="WSV230" s="514"/>
      <c r="WSW230" s="514"/>
      <c r="WSX230" s="514"/>
      <c r="WSY230" s="514"/>
      <c r="WSZ230" s="514"/>
      <c r="WTA230" s="514"/>
      <c r="WTB230" s="514"/>
      <c r="WTC230" s="514"/>
      <c r="WTD230" s="514"/>
      <c r="WTE230" s="514"/>
      <c r="WTF230" s="514"/>
      <c r="WTG230" s="514"/>
      <c r="WTH230" s="514"/>
      <c r="WTI230" s="514"/>
      <c r="WTJ230" s="514"/>
      <c r="WTK230" s="514"/>
      <c r="WTL230" s="514"/>
      <c r="WTM230" s="514"/>
      <c r="WTN230" s="514"/>
      <c r="WTO230" s="514"/>
      <c r="WTP230" s="514"/>
      <c r="WTQ230" s="514"/>
      <c r="WTR230" s="514"/>
      <c r="WTS230" s="514"/>
      <c r="WTT230" s="514"/>
      <c r="WTU230" s="514"/>
      <c r="WTV230" s="514"/>
      <c r="WTW230" s="514"/>
      <c r="WTX230" s="514"/>
      <c r="WTY230" s="514"/>
      <c r="WTZ230" s="514"/>
      <c r="WUA230" s="514"/>
      <c r="WUB230" s="514"/>
      <c r="WUC230" s="514"/>
      <c r="WUD230" s="514"/>
      <c r="WUE230" s="514"/>
      <c r="WUF230" s="514"/>
      <c r="WUG230" s="514"/>
      <c r="WUH230" s="514"/>
      <c r="WUI230" s="514"/>
      <c r="WUJ230" s="514"/>
      <c r="WUK230" s="514"/>
      <c r="WUL230" s="514"/>
      <c r="WUM230" s="514"/>
      <c r="WUN230" s="514"/>
      <c r="WUO230" s="514"/>
      <c r="WUP230" s="514"/>
      <c r="WUQ230" s="514"/>
      <c r="WUR230" s="514"/>
      <c r="WUS230" s="514"/>
      <c r="WUT230" s="514"/>
      <c r="WUU230" s="514"/>
      <c r="WUV230" s="514"/>
      <c r="WUW230" s="514"/>
      <c r="WUX230" s="514"/>
      <c r="WUY230" s="514"/>
      <c r="WUZ230" s="514"/>
      <c r="WVA230" s="514"/>
      <c r="WVB230" s="514"/>
      <c r="WVC230" s="514"/>
      <c r="WVD230" s="514"/>
      <c r="WVE230" s="514"/>
      <c r="WVF230" s="514"/>
      <c r="WVG230" s="514"/>
      <c r="WVH230" s="514"/>
      <c r="WVI230" s="514"/>
      <c r="WVJ230" s="514"/>
      <c r="WVK230" s="514"/>
      <c r="WVL230" s="514"/>
      <c r="WVM230" s="514"/>
      <c r="WVN230" s="514"/>
      <c r="WVO230" s="514"/>
    </row>
    <row r="231" spans="1:16135" customFormat="1" x14ac:dyDescent="0.25">
      <c r="A231" s="514"/>
      <c r="B231" s="514"/>
      <c r="C231" s="514"/>
      <c r="D231" s="514"/>
      <c r="E231" s="514"/>
      <c r="F231" s="54"/>
      <c r="G231" s="54"/>
      <c r="I231" s="474"/>
      <c r="BY231" s="514"/>
      <c r="BZ231" s="514"/>
      <c r="CA231" s="514"/>
      <c r="CB231" s="514"/>
      <c r="CC231" s="514"/>
      <c r="CD231" s="514"/>
      <c r="CE231" s="514"/>
      <c r="CF231" s="514"/>
      <c r="CG231" s="514"/>
      <c r="CH231" s="514"/>
      <c r="CI231" s="514"/>
      <c r="CJ231" s="514"/>
      <c r="CK231" s="514"/>
      <c r="CL231" s="514"/>
      <c r="CM231" s="514"/>
      <c r="CN231" s="514"/>
      <c r="CO231" s="514"/>
      <c r="CP231" s="514"/>
      <c r="CQ231" s="514"/>
      <c r="CR231" s="514"/>
      <c r="CS231" s="514"/>
      <c r="CT231" s="514"/>
      <c r="CU231" s="514"/>
      <c r="CV231" s="514"/>
      <c r="CW231" s="514"/>
      <c r="CX231" s="514"/>
      <c r="CY231" s="514"/>
      <c r="CZ231" s="514"/>
      <c r="DA231" s="514"/>
      <c r="DB231" s="514"/>
      <c r="DC231" s="514"/>
      <c r="DD231" s="514"/>
      <c r="DE231" s="514"/>
      <c r="DF231" s="514"/>
      <c r="DG231" s="514"/>
      <c r="DH231" s="514"/>
      <c r="DI231" s="514"/>
      <c r="DJ231" s="514"/>
      <c r="DK231" s="514"/>
      <c r="DL231" s="514"/>
      <c r="DM231" s="514"/>
      <c r="DN231" s="514"/>
      <c r="DO231" s="514"/>
      <c r="DP231" s="514"/>
      <c r="DQ231" s="514"/>
      <c r="DR231" s="514"/>
      <c r="DS231" s="514"/>
      <c r="DT231" s="514"/>
      <c r="DU231" s="514"/>
      <c r="DV231" s="514"/>
      <c r="DW231" s="514"/>
      <c r="DX231" s="514"/>
      <c r="DY231" s="514"/>
      <c r="DZ231" s="514"/>
      <c r="EA231" s="514"/>
      <c r="EB231" s="514"/>
      <c r="EC231" s="514"/>
      <c r="ED231" s="514"/>
      <c r="EE231" s="514"/>
      <c r="EF231" s="514"/>
      <c r="EG231" s="514"/>
      <c r="EH231" s="514"/>
      <c r="EI231" s="514"/>
      <c r="EJ231" s="514"/>
      <c r="EK231" s="514"/>
      <c r="EL231" s="514"/>
      <c r="EM231" s="514"/>
      <c r="EN231" s="514"/>
      <c r="EO231" s="514"/>
      <c r="EP231" s="514"/>
      <c r="EQ231" s="514"/>
      <c r="ER231" s="514"/>
      <c r="ES231" s="514"/>
      <c r="ET231" s="514"/>
      <c r="EU231" s="514"/>
      <c r="EV231" s="514"/>
      <c r="EW231" s="514"/>
      <c r="EX231" s="514"/>
      <c r="EY231" s="514"/>
      <c r="EZ231" s="514"/>
      <c r="FA231" s="514"/>
      <c r="FB231" s="514"/>
      <c r="FC231" s="514"/>
      <c r="FD231" s="514"/>
      <c r="FE231" s="514"/>
      <c r="FF231" s="514"/>
      <c r="FG231" s="514"/>
      <c r="FH231" s="514"/>
      <c r="FI231" s="514"/>
      <c r="FJ231" s="514"/>
      <c r="FK231" s="514"/>
      <c r="FL231" s="514"/>
      <c r="FM231" s="514"/>
      <c r="FN231" s="514"/>
      <c r="FO231" s="514"/>
      <c r="FP231" s="514"/>
      <c r="FQ231" s="514"/>
      <c r="FR231" s="514"/>
      <c r="FS231" s="514"/>
      <c r="FT231" s="514"/>
      <c r="FU231" s="514"/>
      <c r="FV231" s="514"/>
      <c r="FW231" s="514"/>
      <c r="FX231" s="514"/>
      <c r="FY231" s="514"/>
      <c r="FZ231" s="514"/>
      <c r="GA231" s="514"/>
      <c r="GB231" s="514"/>
      <c r="GC231" s="514"/>
      <c r="GD231" s="514"/>
      <c r="GE231" s="514"/>
      <c r="GF231" s="514"/>
      <c r="GG231" s="514"/>
      <c r="GH231" s="514"/>
      <c r="GI231" s="514"/>
      <c r="GJ231" s="514"/>
      <c r="GK231" s="514"/>
      <c r="GL231" s="514"/>
      <c r="GM231" s="514"/>
      <c r="GN231" s="514"/>
      <c r="GO231" s="514"/>
      <c r="GP231" s="514"/>
      <c r="GQ231" s="514"/>
      <c r="GR231" s="514"/>
      <c r="GS231" s="514"/>
      <c r="GT231" s="514"/>
      <c r="GU231" s="514"/>
      <c r="GV231" s="514"/>
      <c r="GW231" s="514"/>
      <c r="GX231" s="514"/>
      <c r="GY231" s="514"/>
      <c r="GZ231" s="514"/>
      <c r="HA231" s="514"/>
      <c r="HB231" s="514"/>
      <c r="HC231" s="514"/>
      <c r="HD231" s="514"/>
      <c r="HE231" s="514"/>
      <c r="HF231" s="514"/>
      <c r="HG231" s="514"/>
      <c r="HH231" s="514"/>
      <c r="HI231" s="514"/>
      <c r="HJ231" s="514"/>
      <c r="HK231" s="514"/>
      <c r="HL231" s="514"/>
      <c r="HM231" s="514"/>
      <c r="HN231" s="514"/>
      <c r="HO231" s="514"/>
      <c r="HP231" s="514"/>
      <c r="HQ231" s="514"/>
      <c r="HR231" s="514"/>
      <c r="HS231" s="514"/>
      <c r="HT231" s="514"/>
      <c r="HU231" s="514"/>
      <c r="HV231" s="514"/>
      <c r="HW231" s="514"/>
      <c r="HX231" s="514"/>
      <c r="HY231" s="514"/>
      <c r="HZ231" s="514"/>
      <c r="IA231" s="514"/>
      <c r="IB231" s="514"/>
      <c r="IC231" s="514"/>
      <c r="ID231" s="514"/>
      <c r="IE231" s="514"/>
      <c r="IF231" s="514"/>
      <c r="IG231" s="514"/>
      <c r="IH231" s="514"/>
      <c r="II231" s="514"/>
      <c r="IJ231" s="514"/>
      <c r="IK231" s="514"/>
      <c r="IL231" s="514"/>
      <c r="IM231" s="514"/>
      <c r="IN231" s="514"/>
      <c r="IO231" s="514"/>
      <c r="IP231" s="514"/>
      <c r="IQ231" s="514"/>
      <c r="IR231" s="514"/>
      <c r="IS231" s="514"/>
      <c r="IT231" s="514"/>
      <c r="IU231" s="514"/>
      <c r="IV231" s="514"/>
      <c r="IW231" s="514"/>
      <c r="IX231" s="514"/>
      <c r="IY231" s="514"/>
      <c r="IZ231" s="514"/>
      <c r="JA231" s="514"/>
      <c r="JB231" s="514"/>
      <c r="JC231" s="514"/>
      <c r="JD231" s="514"/>
      <c r="JE231" s="514"/>
      <c r="JF231" s="514"/>
      <c r="JG231" s="514"/>
      <c r="JH231" s="514"/>
      <c r="JI231" s="514"/>
      <c r="JJ231" s="514"/>
      <c r="JK231" s="514"/>
      <c r="JL231" s="514"/>
      <c r="JM231" s="514"/>
      <c r="JN231" s="514"/>
      <c r="JO231" s="514"/>
      <c r="JP231" s="514"/>
      <c r="JQ231" s="514"/>
      <c r="JR231" s="514"/>
      <c r="JS231" s="514"/>
      <c r="JT231" s="514"/>
      <c r="JU231" s="514"/>
      <c r="JV231" s="514"/>
      <c r="JW231" s="514"/>
      <c r="JX231" s="514"/>
      <c r="JY231" s="514"/>
      <c r="JZ231" s="514"/>
      <c r="KA231" s="514"/>
      <c r="KB231" s="514"/>
      <c r="KC231" s="514"/>
      <c r="KD231" s="514"/>
      <c r="KE231" s="514"/>
      <c r="KF231" s="514"/>
      <c r="KG231" s="514"/>
      <c r="KH231" s="514"/>
      <c r="KI231" s="514"/>
      <c r="KJ231" s="514"/>
      <c r="KK231" s="514"/>
      <c r="KL231" s="514"/>
      <c r="KM231" s="514"/>
      <c r="KN231" s="514"/>
      <c r="KO231" s="514"/>
      <c r="KP231" s="514"/>
      <c r="KQ231" s="514"/>
      <c r="KR231" s="514"/>
      <c r="KS231" s="514"/>
      <c r="KT231" s="514"/>
      <c r="KU231" s="514"/>
      <c r="KV231" s="514"/>
      <c r="KW231" s="514"/>
      <c r="KX231" s="514"/>
      <c r="KY231" s="514"/>
      <c r="KZ231" s="514"/>
      <c r="LA231" s="514"/>
      <c r="LB231" s="514"/>
      <c r="LC231" s="514"/>
      <c r="LD231" s="514"/>
      <c r="LE231" s="514"/>
      <c r="LF231" s="514"/>
      <c r="LG231" s="514"/>
      <c r="LH231" s="514"/>
      <c r="LI231" s="514"/>
      <c r="LJ231" s="514"/>
      <c r="LK231" s="514"/>
      <c r="LL231" s="514"/>
      <c r="LM231" s="514"/>
      <c r="LN231" s="514"/>
      <c r="LO231" s="514"/>
      <c r="LP231" s="514"/>
      <c r="LQ231" s="514"/>
      <c r="LR231" s="514"/>
      <c r="LS231" s="514"/>
      <c r="LT231" s="514"/>
      <c r="LU231" s="514"/>
      <c r="LV231" s="514"/>
      <c r="LW231" s="514"/>
      <c r="LX231" s="514"/>
      <c r="LY231" s="514"/>
      <c r="LZ231" s="514"/>
      <c r="MA231" s="514"/>
      <c r="MB231" s="514"/>
      <c r="MC231" s="514"/>
      <c r="MD231" s="514"/>
      <c r="ME231" s="514"/>
      <c r="MF231" s="514"/>
      <c r="MG231" s="514"/>
      <c r="MH231" s="514"/>
      <c r="MI231" s="514"/>
      <c r="MJ231" s="514"/>
      <c r="MK231" s="514"/>
      <c r="ML231" s="514"/>
      <c r="MM231" s="514"/>
      <c r="MN231" s="514"/>
      <c r="MO231" s="514"/>
      <c r="MP231" s="514"/>
      <c r="MQ231" s="514"/>
      <c r="MR231" s="514"/>
      <c r="MS231" s="514"/>
      <c r="MT231" s="514"/>
      <c r="MU231" s="514"/>
      <c r="MV231" s="514"/>
      <c r="MW231" s="514"/>
      <c r="MX231" s="514"/>
      <c r="MY231" s="514"/>
      <c r="MZ231" s="514"/>
      <c r="NA231" s="514"/>
      <c r="NB231" s="514"/>
      <c r="NC231" s="514"/>
      <c r="ND231" s="514"/>
      <c r="NE231" s="514"/>
      <c r="NF231" s="514"/>
      <c r="NG231" s="514"/>
      <c r="NH231" s="514"/>
      <c r="NI231" s="514"/>
      <c r="NJ231" s="514"/>
      <c r="NK231" s="514"/>
      <c r="NL231" s="514"/>
      <c r="NM231" s="514"/>
      <c r="NN231" s="514"/>
      <c r="NO231" s="514"/>
      <c r="NP231" s="514"/>
      <c r="NQ231" s="514"/>
      <c r="NR231" s="514"/>
      <c r="NS231" s="514"/>
      <c r="NT231" s="514"/>
      <c r="NU231" s="514"/>
      <c r="NV231" s="514"/>
      <c r="NW231" s="514"/>
      <c r="NX231" s="514"/>
      <c r="NY231" s="514"/>
      <c r="NZ231" s="514"/>
      <c r="OA231" s="514"/>
      <c r="OB231" s="514"/>
      <c r="OC231" s="514"/>
      <c r="OD231" s="514"/>
      <c r="OE231" s="514"/>
      <c r="OF231" s="514"/>
      <c r="OG231" s="514"/>
      <c r="OH231" s="514"/>
      <c r="OI231" s="514"/>
      <c r="OJ231" s="514"/>
      <c r="OK231" s="514"/>
      <c r="OL231" s="514"/>
      <c r="OM231" s="514"/>
      <c r="ON231" s="514"/>
      <c r="OO231" s="514"/>
      <c r="OP231" s="514"/>
      <c r="OQ231" s="514"/>
      <c r="OR231" s="514"/>
      <c r="OS231" s="514"/>
      <c r="OT231" s="514"/>
      <c r="OU231" s="514"/>
      <c r="OV231" s="514"/>
      <c r="OW231" s="514"/>
      <c r="OX231" s="514"/>
      <c r="OY231" s="514"/>
      <c r="OZ231" s="514"/>
      <c r="PA231" s="514"/>
      <c r="PB231" s="514"/>
      <c r="PC231" s="514"/>
      <c r="PD231" s="514"/>
      <c r="PE231" s="514"/>
      <c r="PF231" s="514"/>
      <c r="PG231" s="514"/>
      <c r="PH231" s="514"/>
      <c r="PI231" s="514"/>
      <c r="PJ231" s="514"/>
      <c r="PK231" s="514"/>
      <c r="PL231" s="514"/>
      <c r="PM231" s="514"/>
      <c r="PN231" s="514"/>
      <c r="PO231" s="514"/>
      <c r="PP231" s="514"/>
      <c r="PQ231" s="514"/>
      <c r="PR231" s="514"/>
      <c r="PS231" s="514"/>
      <c r="PT231" s="514"/>
      <c r="PU231" s="514"/>
      <c r="PV231" s="514"/>
      <c r="PW231" s="514"/>
      <c r="PX231" s="514"/>
      <c r="PY231" s="514"/>
      <c r="PZ231" s="514"/>
      <c r="QA231" s="514"/>
      <c r="QB231" s="514"/>
      <c r="QC231" s="514"/>
      <c r="QD231" s="514"/>
      <c r="QE231" s="514"/>
      <c r="QF231" s="514"/>
      <c r="QG231" s="514"/>
      <c r="QH231" s="514"/>
      <c r="QI231" s="514"/>
      <c r="QJ231" s="514"/>
      <c r="QK231" s="514"/>
      <c r="QL231" s="514"/>
      <c r="QM231" s="514"/>
      <c r="QN231" s="514"/>
      <c r="QO231" s="514"/>
      <c r="QP231" s="514"/>
      <c r="QQ231" s="514"/>
      <c r="QR231" s="514"/>
      <c r="QS231" s="514"/>
      <c r="QT231" s="514"/>
      <c r="QU231" s="514"/>
      <c r="QV231" s="514"/>
      <c r="QW231" s="514"/>
      <c r="QX231" s="514"/>
      <c r="QY231" s="514"/>
      <c r="QZ231" s="514"/>
      <c r="RA231" s="514"/>
      <c r="RB231" s="514"/>
      <c r="RC231" s="514"/>
      <c r="RD231" s="514"/>
      <c r="RE231" s="514"/>
      <c r="RF231" s="514"/>
      <c r="RG231" s="514"/>
      <c r="RH231" s="514"/>
      <c r="RI231" s="514"/>
      <c r="RJ231" s="514"/>
      <c r="RK231" s="514"/>
      <c r="RL231" s="514"/>
      <c r="RM231" s="514"/>
      <c r="RN231" s="514"/>
      <c r="RO231" s="514"/>
      <c r="RP231" s="514"/>
      <c r="RQ231" s="514"/>
      <c r="RR231" s="514"/>
      <c r="RS231" s="514"/>
      <c r="RT231" s="514"/>
      <c r="RU231" s="514"/>
      <c r="RV231" s="514"/>
      <c r="RW231" s="514"/>
      <c r="RX231" s="514"/>
      <c r="RY231" s="514"/>
      <c r="RZ231" s="514"/>
      <c r="SA231" s="514"/>
      <c r="SB231" s="514"/>
      <c r="SC231" s="514"/>
      <c r="SD231" s="514"/>
      <c r="SE231" s="514"/>
      <c r="SF231" s="514"/>
      <c r="SG231" s="514"/>
      <c r="SH231" s="514"/>
      <c r="SI231" s="514"/>
      <c r="SJ231" s="514"/>
      <c r="SK231" s="514"/>
      <c r="SL231" s="514"/>
      <c r="SM231" s="514"/>
      <c r="SN231" s="514"/>
      <c r="SO231" s="514"/>
      <c r="SP231" s="514"/>
      <c r="SQ231" s="514"/>
      <c r="SR231" s="514"/>
      <c r="SS231" s="514"/>
      <c r="ST231" s="514"/>
      <c r="SU231" s="514"/>
      <c r="SV231" s="514"/>
      <c r="SW231" s="514"/>
      <c r="SX231" s="514"/>
      <c r="SY231" s="514"/>
      <c r="SZ231" s="514"/>
      <c r="TA231" s="514"/>
      <c r="TB231" s="514"/>
      <c r="TC231" s="514"/>
      <c r="TD231" s="514"/>
      <c r="TE231" s="514"/>
      <c r="TF231" s="514"/>
      <c r="TG231" s="514"/>
      <c r="TH231" s="514"/>
      <c r="TI231" s="514"/>
      <c r="TJ231" s="514"/>
      <c r="TK231" s="514"/>
      <c r="TL231" s="514"/>
      <c r="TM231" s="514"/>
      <c r="TN231" s="514"/>
      <c r="TO231" s="514"/>
      <c r="TP231" s="514"/>
      <c r="TQ231" s="514"/>
      <c r="TR231" s="514"/>
      <c r="TS231" s="514"/>
      <c r="TT231" s="514"/>
      <c r="TU231" s="514"/>
      <c r="TV231" s="514"/>
      <c r="TW231" s="514"/>
      <c r="TX231" s="514"/>
      <c r="TY231" s="514"/>
      <c r="TZ231" s="514"/>
      <c r="UA231" s="514"/>
      <c r="UB231" s="514"/>
      <c r="UC231" s="514"/>
      <c r="UD231" s="514"/>
      <c r="UE231" s="514"/>
      <c r="UF231" s="514"/>
      <c r="UG231" s="514"/>
      <c r="UH231" s="514"/>
      <c r="UI231" s="514"/>
      <c r="UJ231" s="514"/>
      <c r="UK231" s="514"/>
      <c r="UL231" s="514"/>
      <c r="UM231" s="514"/>
      <c r="UN231" s="514"/>
      <c r="UO231" s="514"/>
      <c r="UP231" s="514"/>
      <c r="UQ231" s="514"/>
      <c r="UR231" s="514"/>
      <c r="US231" s="514"/>
      <c r="UT231" s="514"/>
      <c r="UU231" s="514"/>
      <c r="UV231" s="514"/>
      <c r="UW231" s="514"/>
      <c r="UX231" s="514"/>
      <c r="UY231" s="514"/>
      <c r="UZ231" s="514"/>
      <c r="VA231" s="514"/>
      <c r="VB231" s="514"/>
      <c r="VC231" s="514"/>
      <c r="VD231" s="514"/>
      <c r="VE231" s="514"/>
      <c r="VF231" s="514"/>
      <c r="VG231" s="514"/>
      <c r="VH231" s="514"/>
      <c r="VI231" s="514"/>
      <c r="VJ231" s="514"/>
      <c r="VK231" s="514"/>
      <c r="VL231" s="514"/>
      <c r="VM231" s="514"/>
      <c r="VN231" s="514"/>
      <c r="VO231" s="514"/>
      <c r="VP231" s="514"/>
      <c r="VQ231" s="514"/>
      <c r="VR231" s="514"/>
      <c r="VS231" s="514"/>
      <c r="VT231" s="514"/>
      <c r="VU231" s="514"/>
      <c r="VV231" s="514"/>
      <c r="VW231" s="514"/>
      <c r="VX231" s="514"/>
      <c r="VY231" s="514"/>
      <c r="VZ231" s="514"/>
      <c r="WA231" s="514"/>
      <c r="WB231" s="514"/>
      <c r="WC231" s="514"/>
      <c r="WD231" s="514"/>
      <c r="WE231" s="514"/>
      <c r="WF231" s="514"/>
      <c r="WG231" s="514"/>
      <c r="WH231" s="514"/>
      <c r="WI231" s="514"/>
      <c r="WJ231" s="514"/>
      <c r="WK231" s="514"/>
      <c r="WL231" s="514"/>
      <c r="WM231" s="514"/>
      <c r="WN231" s="514"/>
      <c r="WO231" s="514"/>
      <c r="WP231" s="514"/>
      <c r="WQ231" s="514"/>
      <c r="WR231" s="514"/>
      <c r="WS231" s="514"/>
      <c r="WT231" s="514"/>
      <c r="WU231" s="514"/>
      <c r="WV231" s="514"/>
      <c r="WW231" s="514"/>
      <c r="WX231" s="514"/>
      <c r="WY231" s="514"/>
      <c r="WZ231" s="514"/>
      <c r="XA231" s="514"/>
      <c r="XB231" s="514"/>
      <c r="XC231" s="514"/>
      <c r="XD231" s="514"/>
      <c r="XE231" s="514"/>
      <c r="XF231" s="514"/>
      <c r="XG231" s="514"/>
      <c r="XH231" s="514"/>
      <c r="XI231" s="514"/>
      <c r="XJ231" s="514"/>
      <c r="XK231" s="514"/>
      <c r="XL231" s="514"/>
      <c r="XM231" s="514"/>
      <c r="XN231" s="514"/>
      <c r="XO231" s="514"/>
      <c r="XP231" s="514"/>
      <c r="XQ231" s="514"/>
      <c r="XR231" s="514"/>
      <c r="XS231" s="514"/>
      <c r="XT231" s="514"/>
      <c r="XU231" s="514"/>
      <c r="XV231" s="514"/>
      <c r="XW231" s="514"/>
      <c r="XX231" s="514"/>
      <c r="XY231" s="514"/>
      <c r="XZ231" s="514"/>
      <c r="YA231" s="514"/>
      <c r="YB231" s="514"/>
      <c r="YC231" s="514"/>
      <c r="YD231" s="514"/>
      <c r="YE231" s="514"/>
      <c r="YF231" s="514"/>
      <c r="YG231" s="514"/>
      <c r="YH231" s="514"/>
      <c r="YI231" s="514"/>
      <c r="YJ231" s="514"/>
      <c r="YK231" s="514"/>
      <c r="YL231" s="514"/>
      <c r="YM231" s="514"/>
      <c r="YN231" s="514"/>
      <c r="YO231" s="514"/>
      <c r="YP231" s="514"/>
      <c r="YQ231" s="514"/>
      <c r="YR231" s="514"/>
      <c r="YS231" s="514"/>
      <c r="YT231" s="514"/>
      <c r="YU231" s="514"/>
      <c r="YV231" s="514"/>
      <c r="YW231" s="514"/>
      <c r="YX231" s="514"/>
      <c r="YY231" s="514"/>
      <c r="YZ231" s="514"/>
      <c r="ZA231" s="514"/>
      <c r="ZB231" s="514"/>
      <c r="ZC231" s="514"/>
      <c r="ZD231" s="514"/>
      <c r="ZE231" s="514"/>
      <c r="ZF231" s="514"/>
      <c r="ZG231" s="514"/>
      <c r="ZH231" s="514"/>
      <c r="ZI231" s="514"/>
      <c r="ZJ231" s="514"/>
      <c r="ZK231" s="514"/>
      <c r="ZL231" s="514"/>
      <c r="ZM231" s="514"/>
      <c r="ZN231" s="514"/>
      <c r="ZO231" s="514"/>
      <c r="ZP231" s="514"/>
      <c r="ZQ231" s="514"/>
      <c r="ZR231" s="514"/>
      <c r="ZS231" s="514"/>
      <c r="ZT231" s="514"/>
      <c r="ZU231" s="514"/>
      <c r="ZV231" s="514"/>
      <c r="ZW231" s="514"/>
      <c r="ZX231" s="514"/>
      <c r="ZY231" s="514"/>
      <c r="ZZ231" s="514"/>
      <c r="AAA231" s="514"/>
      <c r="AAB231" s="514"/>
      <c r="AAC231" s="514"/>
      <c r="AAD231" s="514"/>
      <c r="AAE231" s="514"/>
      <c r="AAF231" s="514"/>
      <c r="AAG231" s="514"/>
      <c r="AAH231" s="514"/>
      <c r="AAI231" s="514"/>
      <c r="AAJ231" s="514"/>
      <c r="AAK231" s="514"/>
      <c r="AAL231" s="514"/>
      <c r="AAM231" s="514"/>
      <c r="AAN231" s="514"/>
      <c r="AAO231" s="514"/>
      <c r="AAP231" s="514"/>
      <c r="AAQ231" s="514"/>
      <c r="AAR231" s="514"/>
      <c r="AAS231" s="514"/>
      <c r="AAT231" s="514"/>
      <c r="AAU231" s="514"/>
      <c r="AAV231" s="514"/>
      <c r="AAW231" s="514"/>
      <c r="AAX231" s="514"/>
      <c r="AAY231" s="514"/>
      <c r="AAZ231" s="514"/>
      <c r="ABA231" s="514"/>
      <c r="ABB231" s="514"/>
      <c r="ABC231" s="514"/>
      <c r="ABD231" s="514"/>
      <c r="ABE231" s="514"/>
      <c r="ABF231" s="514"/>
      <c r="ABG231" s="514"/>
      <c r="ABH231" s="514"/>
      <c r="ABI231" s="514"/>
      <c r="ABJ231" s="514"/>
      <c r="ABK231" s="514"/>
      <c r="ABL231" s="514"/>
      <c r="ABM231" s="514"/>
      <c r="ABN231" s="514"/>
      <c r="ABO231" s="514"/>
      <c r="ABP231" s="514"/>
      <c r="ABQ231" s="514"/>
      <c r="ABR231" s="514"/>
      <c r="ABS231" s="514"/>
      <c r="ABT231" s="514"/>
      <c r="ABU231" s="514"/>
      <c r="ABV231" s="514"/>
      <c r="ABW231" s="514"/>
      <c r="ABX231" s="514"/>
      <c r="ABY231" s="514"/>
      <c r="ABZ231" s="514"/>
      <c r="ACA231" s="514"/>
      <c r="ACB231" s="514"/>
      <c r="ACC231" s="514"/>
      <c r="ACD231" s="514"/>
      <c r="ACE231" s="514"/>
      <c r="ACF231" s="514"/>
      <c r="ACG231" s="514"/>
      <c r="ACH231" s="514"/>
      <c r="ACI231" s="514"/>
      <c r="ACJ231" s="514"/>
      <c r="ACK231" s="514"/>
      <c r="ACL231" s="514"/>
      <c r="ACM231" s="514"/>
      <c r="ACN231" s="514"/>
      <c r="ACO231" s="514"/>
      <c r="ACP231" s="514"/>
      <c r="ACQ231" s="514"/>
      <c r="ACR231" s="514"/>
      <c r="ACS231" s="514"/>
      <c r="ACT231" s="514"/>
      <c r="ACU231" s="514"/>
      <c r="ACV231" s="514"/>
      <c r="ACW231" s="514"/>
      <c r="ACX231" s="514"/>
      <c r="ACY231" s="514"/>
      <c r="ACZ231" s="514"/>
      <c r="ADA231" s="514"/>
      <c r="ADB231" s="514"/>
      <c r="ADC231" s="514"/>
      <c r="ADD231" s="514"/>
      <c r="ADE231" s="514"/>
      <c r="ADF231" s="514"/>
      <c r="ADG231" s="514"/>
      <c r="ADH231" s="514"/>
      <c r="ADI231" s="514"/>
      <c r="ADJ231" s="514"/>
      <c r="ADK231" s="514"/>
      <c r="ADL231" s="514"/>
      <c r="ADM231" s="514"/>
      <c r="ADN231" s="514"/>
      <c r="ADO231" s="514"/>
      <c r="ADP231" s="514"/>
      <c r="ADQ231" s="514"/>
      <c r="ADR231" s="514"/>
      <c r="ADS231" s="514"/>
      <c r="ADT231" s="514"/>
      <c r="ADU231" s="514"/>
      <c r="ADV231" s="514"/>
      <c r="ADW231" s="514"/>
      <c r="ADX231" s="514"/>
      <c r="ADY231" s="514"/>
      <c r="ADZ231" s="514"/>
      <c r="AEA231" s="514"/>
      <c r="AEB231" s="514"/>
      <c r="AEC231" s="514"/>
      <c r="AED231" s="514"/>
      <c r="AEE231" s="514"/>
      <c r="AEF231" s="514"/>
      <c r="AEG231" s="514"/>
      <c r="AEH231" s="514"/>
      <c r="AEI231" s="514"/>
      <c r="AEJ231" s="514"/>
      <c r="AEK231" s="514"/>
      <c r="AEL231" s="514"/>
      <c r="AEM231" s="514"/>
      <c r="AEN231" s="514"/>
      <c r="AEO231" s="514"/>
      <c r="AEP231" s="514"/>
      <c r="AEQ231" s="514"/>
      <c r="AER231" s="514"/>
      <c r="AES231" s="514"/>
      <c r="AET231" s="514"/>
      <c r="AEU231" s="514"/>
      <c r="AEV231" s="514"/>
      <c r="AEW231" s="514"/>
      <c r="AEX231" s="514"/>
      <c r="AEY231" s="514"/>
      <c r="AEZ231" s="514"/>
      <c r="AFA231" s="514"/>
      <c r="AFB231" s="514"/>
      <c r="AFC231" s="514"/>
      <c r="AFD231" s="514"/>
      <c r="AFE231" s="514"/>
      <c r="AFF231" s="514"/>
      <c r="AFG231" s="514"/>
      <c r="AFH231" s="514"/>
      <c r="AFI231" s="514"/>
      <c r="AFJ231" s="514"/>
      <c r="AFK231" s="514"/>
      <c r="AFL231" s="514"/>
      <c r="AFM231" s="514"/>
      <c r="AFN231" s="514"/>
      <c r="AFO231" s="514"/>
      <c r="AFP231" s="514"/>
      <c r="AFQ231" s="514"/>
      <c r="AFR231" s="514"/>
      <c r="AFS231" s="514"/>
      <c r="AFT231" s="514"/>
      <c r="AFU231" s="514"/>
      <c r="AFV231" s="514"/>
      <c r="AFW231" s="514"/>
      <c r="AFX231" s="514"/>
      <c r="AFY231" s="514"/>
      <c r="AFZ231" s="514"/>
      <c r="AGA231" s="514"/>
      <c r="AGB231" s="514"/>
      <c r="AGC231" s="514"/>
      <c r="AGD231" s="514"/>
      <c r="AGE231" s="514"/>
      <c r="AGF231" s="514"/>
      <c r="AGG231" s="514"/>
      <c r="AGH231" s="514"/>
      <c r="AGI231" s="514"/>
      <c r="AGJ231" s="514"/>
      <c r="AGK231" s="514"/>
      <c r="AGL231" s="514"/>
      <c r="AGM231" s="514"/>
      <c r="AGN231" s="514"/>
      <c r="AGO231" s="514"/>
      <c r="AGP231" s="514"/>
      <c r="AGQ231" s="514"/>
      <c r="AGR231" s="514"/>
      <c r="AGS231" s="514"/>
      <c r="AGT231" s="514"/>
      <c r="AGU231" s="514"/>
      <c r="AGV231" s="514"/>
      <c r="AGW231" s="514"/>
      <c r="AGX231" s="514"/>
      <c r="AGY231" s="514"/>
      <c r="AGZ231" s="514"/>
      <c r="AHA231" s="514"/>
      <c r="AHB231" s="514"/>
      <c r="AHC231" s="514"/>
      <c r="AHD231" s="514"/>
      <c r="AHE231" s="514"/>
      <c r="AHF231" s="514"/>
      <c r="AHG231" s="514"/>
      <c r="AHH231" s="514"/>
      <c r="AHI231" s="514"/>
      <c r="AHJ231" s="514"/>
      <c r="AHK231" s="514"/>
      <c r="AHL231" s="514"/>
      <c r="AHM231" s="514"/>
      <c r="AHN231" s="514"/>
      <c r="AHO231" s="514"/>
      <c r="AHP231" s="514"/>
      <c r="AHQ231" s="514"/>
      <c r="AHR231" s="514"/>
      <c r="AHS231" s="514"/>
      <c r="AHT231" s="514"/>
      <c r="AHU231" s="514"/>
      <c r="AHV231" s="514"/>
      <c r="AHW231" s="514"/>
      <c r="AHX231" s="514"/>
      <c r="AHY231" s="514"/>
      <c r="AHZ231" s="514"/>
      <c r="AIA231" s="514"/>
      <c r="AIB231" s="514"/>
      <c r="AIC231" s="514"/>
      <c r="AID231" s="514"/>
      <c r="AIE231" s="514"/>
      <c r="AIF231" s="514"/>
      <c r="AIG231" s="514"/>
      <c r="AIH231" s="514"/>
      <c r="AII231" s="514"/>
      <c r="AIJ231" s="514"/>
      <c r="AIK231" s="514"/>
      <c r="AIL231" s="514"/>
      <c r="AIM231" s="514"/>
      <c r="AIN231" s="514"/>
      <c r="AIO231" s="514"/>
      <c r="AIP231" s="514"/>
      <c r="AIQ231" s="514"/>
      <c r="AIR231" s="514"/>
      <c r="AIS231" s="514"/>
      <c r="AIT231" s="514"/>
      <c r="AIU231" s="514"/>
      <c r="AIV231" s="514"/>
      <c r="AIW231" s="514"/>
      <c r="AIX231" s="514"/>
      <c r="AIY231" s="514"/>
      <c r="AIZ231" s="514"/>
      <c r="AJA231" s="514"/>
      <c r="AJB231" s="514"/>
      <c r="AJC231" s="514"/>
      <c r="AJD231" s="514"/>
      <c r="AJE231" s="514"/>
      <c r="AJF231" s="514"/>
      <c r="AJG231" s="514"/>
      <c r="AJH231" s="514"/>
      <c r="AJI231" s="514"/>
      <c r="AJJ231" s="514"/>
      <c r="AJK231" s="514"/>
      <c r="AJL231" s="514"/>
      <c r="AJM231" s="514"/>
      <c r="AJN231" s="514"/>
      <c r="AJO231" s="514"/>
      <c r="AJP231" s="514"/>
      <c r="AJQ231" s="514"/>
      <c r="AJR231" s="514"/>
      <c r="AJS231" s="514"/>
      <c r="AJT231" s="514"/>
      <c r="AJU231" s="514"/>
      <c r="AJV231" s="514"/>
      <c r="AJW231" s="514"/>
      <c r="AJX231" s="514"/>
      <c r="AJY231" s="514"/>
      <c r="AJZ231" s="514"/>
      <c r="AKA231" s="514"/>
      <c r="AKB231" s="514"/>
      <c r="AKC231" s="514"/>
      <c r="AKD231" s="514"/>
      <c r="AKE231" s="514"/>
      <c r="AKF231" s="514"/>
      <c r="AKG231" s="514"/>
      <c r="AKH231" s="514"/>
      <c r="AKI231" s="514"/>
      <c r="AKJ231" s="514"/>
      <c r="AKK231" s="514"/>
      <c r="AKL231" s="514"/>
      <c r="AKM231" s="514"/>
      <c r="AKN231" s="514"/>
      <c r="AKO231" s="514"/>
      <c r="AKP231" s="514"/>
      <c r="AKQ231" s="514"/>
      <c r="AKR231" s="514"/>
      <c r="AKS231" s="514"/>
      <c r="AKT231" s="514"/>
      <c r="AKU231" s="514"/>
      <c r="AKV231" s="514"/>
      <c r="AKW231" s="514"/>
      <c r="AKX231" s="514"/>
      <c r="AKY231" s="514"/>
      <c r="AKZ231" s="514"/>
      <c r="ALA231" s="514"/>
      <c r="ALB231" s="514"/>
      <c r="ALC231" s="514"/>
      <c r="ALD231" s="514"/>
      <c r="ALE231" s="514"/>
      <c r="ALF231" s="514"/>
      <c r="ALG231" s="514"/>
      <c r="ALH231" s="514"/>
      <c r="ALI231" s="514"/>
      <c r="ALJ231" s="514"/>
      <c r="ALK231" s="514"/>
      <c r="ALL231" s="514"/>
      <c r="ALM231" s="514"/>
      <c r="ALN231" s="514"/>
      <c r="ALO231" s="514"/>
      <c r="ALP231" s="514"/>
      <c r="ALQ231" s="514"/>
      <c r="ALR231" s="514"/>
      <c r="ALS231" s="514"/>
      <c r="ALT231" s="514"/>
      <c r="ALU231" s="514"/>
      <c r="ALV231" s="514"/>
      <c r="ALW231" s="514"/>
      <c r="ALX231" s="514"/>
      <c r="ALY231" s="514"/>
      <c r="ALZ231" s="514"/>
      <c r="AMA231" s="514"/>
      <c r="AMB231" s="514"/>
      <c r="AMC231" s="514"/>
      <c r="AMD231" s="514"/>
      <c r="AME231" s="514"/>
      <c r="AMF231" s="514"/>
      <c r="AMG231" s="514"/>
      <c r="AMH231" s="514"/>
      <c r="AMI231" s="514"/>
      <c r="AMJ231" s="514"/>
      <c r="AMK231" s="514"/>
      <c r="AML231" s="514"/>
      <c r="AMM231" s="514"/>
      <c r="AMN231" s="514"/>
      <c r="AMO231" s="514"/>
      <c r="AMP231" s="514"/>
      <c r="AMQ231" s="514"/>
      <c r="AMR231" s="514"/>
      <c r="AMS231" s="514"/>
      <c r="AMT231" s="514"/>
      <c r="AMU231" s="514"/>
      <c r="AMV231" s="514"/>
      <c r="AMW231" s="514"/>
      <c r="AMX231" s="514"/>
      <c r="AMY231" s="514"/>
      <c r="AMZ231" s="514"/>
      <c r="ANA231" s="514"/>
      <c r="ANB231" s="514"/>
      <c r="ANC231" s="514"/>
      <c r="AND231" s="514"/>
      <c r="ANE231" s="514"/>
      <c r="ANF231" s="514"/>
      <c r="ANG231" s="514"/>
      <c r="ANH231" s="514"/>
      <c r="ANI231" s="514"/>
      <c r="ANJ231" s="514"/>
      <c r="ANK231" s="514"/>
      <c r="ANL231" s="514"/>
      <c r="ANM231" s="514"/>
      <c r="ANN231" s="514"/>
      <c r="ANO231" s="514"/>
      <c r="ANP231" s="514"/>
      <c r="ANQ231" s="514"/>
      <c r="ANR231" s="514"/>
      <c r="ANS231" s="514"/>
      <c r="ANT231" s="514"/>
      <c r="ANU231" s="514"/>
      <c r="ANV231" s="514"/>
      <c r="ANW231" s="514"/>
      <c r="ANX231" s="514"/>
      <c r="ANY231" s="514"/>
      <c r="ANZ231" s="514"/>
      <c r="AOA231" s="514"/>
      <c r="AOB231" s="514"/>
      <c r="AOC231" s="514"/>
      <c r="AOD231" s="514"/>
      <c r="AOE231" s="514"/>
      <c r="AOF231" s="514"/>
      <c r="AOG231" s="514"/>
      <c r="AOH231" s="514"/>
      <c r="AOI231" s="514"/>
      <c r="AOJ231" s="514"/>
      <c r="AOK231" s="514"/>
      <c r="AOL231" s="514"/>
      <c r="AOM231" s="514"/>
      <c r="AON231" s="514"/>
      <c r="AOO231" s="514"/>
      <c r="AOP231" s="514"/>
      <c r="AOQ231" s="514"/>
      <c r="AOR231" s="514"/>
      <c r="AOS231" s="514"/>
      <c r="AOT231" s="514"/>
      <c r="AOU231" s="514"/>
      <c r="AOV231" s="514"/>
      <c r="AOW231" s="514"/>
      <c r="AOX231" s="514"/>
      <c r="AOY231" s="514"/>
      <c r="AOZ231" s="514"/>
      <c r="APA231" s="514"/>
      <c r="APB231" s="514"/>
      <c r="APC231" s="514"/>
      <c r="APD231" s="514"/>
      <c r="APE231" s="514"/>
      <c r="APF231" s="514"/>
      <c r="APG231" s="514"/>
      <c r="APH231" s="514"/>
      <c r="API231" s="514"/>
      <c r="APJ231" s="514"/>
      <c r="APK231" s="514"/>
      <c r="APL231" s="514"/>
      <c r="APM231" s="514"/>
      <c r="APN231" s="514"/>
      <c r="APO231" s="514"/>
      <c r="APP231" s="514"/>
      <c r="APQ231" s="514"/>
      <c r="APR231" s="514"/>
      <c r="APS231" s="514"/>
      <c r="APT231" s="514"/>
      <c r="APU231" s="514"/>
      <c r="APV231" s="514"/>
      <c r="APW231" s="514"/>
      <c r="APX231" s="514"/>
      <c r="APY231" s="514"/>
      <c r="APZ231" s="514"/>
      <c r="AQA231" s="514"/>
      <c r="AQB231" s="514"/>
      <c r="AQC231" s="514"/>
      <c r="AQD231" s="514"/>
      <c r="AQE231" s="514"/>
      <c r="AQF231" s="514"/>
      <c r="AQG231" s="514"/>
      <c r="AQH231" s="514"/>
      <c r="AQI231" s="514"/>
      <c r="AQJ231" s="514"/>
      <c r="AQK231" s="514"/>
      <c r="AQL231" s="514"/>
      <c r="AQM231" s="514"/>
      <c r="AQN231" s="514"/>
      <c r="AQO231" s="514"/>
      <c r="AQP231" s="514"/>
      <c r="AQQ231" s="514"/>
      <c r="AQR231" s="514"/>
      <c r="AQS231" s="514"/>
      <c r="AQT231" s="514"/>
      <c r="AQU231" s="514"/>
      <c r="AQV231" s="514"/>
      <c r="AQW231" s="514"/>
      <c r="AQX231" s="514"/>
      <c r="AQY231" s="514"/>
      <c r="AQZ231" s="514"/>
      <c r="ARA231" s="514"/>
      <c r="ARB231" s="514"/>
      <c r="ARC231" s="514"/>
      <c r="ARD231" s="514"/>
      <c r="ARE231" s="514"/>
      <c r="ARF231" s="514"/>
      <c r="ARG231" s="514"/>
      <c r="ARH231" s="514"/>
      <c r="ARI231" s="514"/>
      <c r="ARJ231" s="514"/>
      <c r="ARK231" s="514"/>
      <c r="ARL231" s="514"/>
      <c r="ARM231" s="514"/>
      <c r="ARN231" s="514"/>
      <c r="ARO231" s="514"/>
      <c r="ARP231" s="514"/>
      <c r="ARQ231" s="514"/>
      <c r="ARR231" s="514"/>
      <c r="ARS231" s="514"/>
      <c r="ART231" s="514"/>
      <c r="ARU231" s="514"/>
      <c r="ARV231" s="514"/>
      <c r="ARW231" s="514"/>
      <c r="ARX231" s="514"/>
      <c r="ARY231" s="514"/>
      <c r="ARZ231" s="514"/>
      <c r="ASA231" s="514"/>
      <c r="ASB231" s="514"/>
      <c r="ASC231" s="514"/>
      <c r="ASD231" s="514"/>
      <c r="ASE231" s="514"/>
      <c r="ASF231" s="514"/>
      <c r="ASG231" s="514"/>
      <c r="ASH231" s="514"/>
      <c r="ASI231" s="514"/>
      <c r="ASJ231" s="514"/>
      <c r="ASK231" s="514"/>
      <c r="ASL231" s="514"/>
      <c r="ASM231" s="514"/>
      <c r="ASN231" s="514"/>
      <c r="ASO231" s="514"/>
      <c r="ASP231" s="514"/>
      <c r="ASQ231" s="514"/>
      <c r="ASR231" s="514"/>
      <c r="ASS231" s="514"/>
      <c r="AST231" s="514"/>
      <c r="ASU231" s="514"/>
      <c r="ASV231" s="514"/>
      <c r="ASW231" s="514"/>
      <c r="ASX231" s="514"/>
      <c r="ASY231" s="514"/>
      <c r="ASZ231" s="514"/>
      <c r="ATA231" s="514"/>
      <c r="ATB231" s="514"/>
      <c r="ATC231" s="514"/>
      <c r="ATD231" s="514"/>
      <c r="ATE231" s="514"/>
      <c r="ATF231" s="514"/>
      <c r="ATG231" s="514"/>
      <c r="ATH231" s="514"/>
      <c r="ATI231" s="514"/>
      <c r="ATJ231" s="514"/>
      <c r="ATK231" s="514"/>
      <c r="ATL231" s="514"/>
      <c r="ATM231" s="514"/>
      <c r="ATN231" s="514"/>
      <c r="ATO231" s="514"/>
      <c r="ATP231" s="514"/>
      <c r="ATQ231" s="514"/>
      <c r="ATR231" s="514"/>
      <c r="ATS231" s="514"/>
      <c r="ATT231" s="514"/>
      <c r="ATU231" s="514"/>
      <c r="ATV231" s="514"/>
      <c r="ATW231" s="514"/>
      <c r="ATX231" s="514"/>
      <c r="ATY231" s="514"/>
      <c r="ATZ231" s="514"/>
      <c r="AUA231" s="514"/>
      <c r="AUB231" s="514"/>
      <c r="AUC231" s="514"/>
      <c r="AUD231" s="514"/>
      <c r="AUE231" s="514"/>
      <c r="AUF231" s="514"/>
      <c r="AUG231" s="514"/>
      <c r="AUH231" s="514"/>
      <c r="AUI231" s="514"/>
      <c r="AUJ231" s="514"/>
      <c r="AUK231" s="514"/>
      <c r="AUL231" s="514"/>
      <c r="AUM231" s="514"/>
      <c r="AUN231" s="514"/>
      <c r="AUO231" s="514"/>
      <c r="AUP231" s="514"/>
      <c r="AUQ231" s="514"/>
      <c r="AUR231" s="514"/>
      <c r="AUS231" s="514"/>
      <c r="AUT231" s="514"/>
      <c r="AUU231" s="514"/>
      <c r="AUV231" s="514"/>
      <c r="AUW231" s="514"/>
      <c r="AUX231" s="514"/>
      <c r="AUY231" s="514"/>
      <c r="AUZ231" s="514"/>
      <c r="AVA231" s="514"/>
      <c r="AVB231" s="514"/>
      <c r="AVC231" s="514"/>
      <c r="AVD231" s="514"/>
      <c r="AVE231" s="514"/>
      <c r="AVF231" s="514"/>
      <c r="AVG231" s="514"/>
      <c r="AVH231" s="514"/>
      <c r="AVI231" s="514"/>
      <c r="AVJ231" s="514"/>
      <c r="AVK231" s="514"/>
      <c r="AVL231" s="514"/>
      <c r="AVM231" s="514"/>
      <c r="AVN231" s="514"/>
      <c r="AVO231" s="514"/>
      <c r="AVP231" s="514"/>
      <c r="AVQ231" s="514"/>
      <c r="AVR231" s="514"/>
      <c r="AVS231" s="514"/>
      <c r="AVT231" s="514"/>
      <c r="AVU231" s="514"/>
      <c r="AVV231" s="514"/>
      <c r="AVW231" s="514"/>
      <c r="AVX231" s="514"/>
      <c r="AVY231" s="514"/>
      <c r="AVZ231" s="514"/>
      <c r="AWA231" s="514"/>
      <c r="AWB231" s="514"/>
      <c r="AWC231" s="514"/>
      <c r="AWD231" s="514"/>
      <c r="AWE231" s="514"/>
      <c r="AWF231" s="514"/>
      <c r="AWG231" s="514"/>
      <c r="AWH231" s="514"/>
      <c r="AWI231" s="514"/>
      <c r="AWJ231" s="514"/>
      <c r="AWK231" s="514"/>
      <c r="AWL231" s="514"/>
      <c r="AWM231" s="514"/>
      <c r="AWN231" s="514"/>
      <c r="AWO231" s="514"/>
      <c r="AWP231" s="514"/>
      <c r="AWQ231" s="514"/>
      <c r="AWR231" s="514"/>
      <c r="AWS231" s="514"/>
      <c r="AWT231" s="514"/>
      <c r="AWU231" s="514"/>
      <c r="AWV231" s="514"/>
      <c r="AWW231" s="514"/>
      <c r="AWX231" s="514"/>
      <c r="AWY231" s="514"/>
      <c r="AWZ231" s="514"/>
      <c r="AXA231" s="514"/>
      <c r="AXB231" s="514"/>
      <c r="AXC231" s="514"/>
      <c r="AXD231" s="514"/>
      <c r="AXE231" s="514"/>
      <c r="AXF231" s="514"/>
      <c r="AXG231" s="514"/>
      <c r="AXH231" s="514"/>
      <c r="AXI231" s="514"/>
      <c r="AXJ231" s="514"/>
      <c r="AXK231" s="514"/>
      <c r="AXL231" s="514"/>
      <c r="AXM231" s="514"/>
      <c r="AXN231" s="514"/>
      <c r="AXO231" s="514"/>
      <c r="AXP231" s="514"/>
      <c r="AXQ231" s="514"/>
      <c r="AXR231" s="514"/>
      <c r="AXS231" s="514"/>
      <c r="AXT231" s="514"/>
      <c r="AXU231" s="514"/>
      <c r="AXV231" s="514"/>
      <c r="AXW231" s="514"/>
      <c r="AXX231" s="514"/>
      <c r="AXY231" s="514"/>
      <c r="AXZ231" s="514"/>
      <c r="AYA231" s="514"/>
      <c r="AYB231" s="514"/>
      <c r="AYC231" s="514"/>
      <c r="AYD231" s="514"/>
      <c r="AYE231" s="514"/>
      <c r="AYF231" s="514"/>
      <c r="AYG231" s="514"/>
      <c r="AYH231" s="514"/>
      <c r="AYI231" s="514"/>
      <c r="AYJ231" s="514"/>
      <c r="AYK231" s="514"/>
      <c r="AYL231" s="514"/>
      <c r="AYM231" s="514"/>
      <c r="AYN231" s="514"/>
      <c r="AYO231" s="514"/>
      <c r="AYP231" s="514"/>
      <c r="AYQ231" s="514"/>
      <c r="AYR231" s="514"/>
      <c r="AYS231" s="514"/>
      <c r="AYT231" s="514"/>
      <c r="AYU231" s="514"/>
      <c r="AYV231" s="514"/>
      <c r="AYW231" s="514"/>
      <c r="AYX231" s="514"/>
      <c r="AYY231" s="514"/>
      <c r="AYZ231" s="514"/>
      <c r="AZA231" s="514"/>
      <c r="AZB231" s="514"/>
      <c r="AZC231" s="514"/>
      <c r="AZD231" s="514"/>
      <c r="AZE231" s="514"/>
      <c r="AZF231" s="514"/>
      <c r="AZG231" s="514"/>
      <c r="AZH231" s="514"/>
      <c r="AZI231" s="514"/>
      <c r="AZJ231" s="514"/>
      <c r="AZK231" s="514"/>
      <c r="AZL231" s="514"/>
      <c r="AZM231" s="514"/>
      <c r="AZN231" s="514"/>
      <c r="AZO231" s="514"/>
      <c r="AZP231" s="514"/>
      <c r="AZQ231" s="514"/>
      <c r="AZR231" s="514"/>
      <c r="AZS231" s="514"/>
      <c r="AZT231" s="514"/>
      <c r="AZU231" s="514"/>
      <c r="AZV231" s="514"/>
      <c r="AZW231" s="514"/>
      <c r="AZX231" s="514"/>
      <c r="AZY231" s="514"/>
      <c r="AZZ231" s="514"/>
      <c r="BAA231" s="514"/>
      <c r="BAB231" s="514"/>
      <c r="BAC231" s="514"/>
      <c r="BAD231" s="514"/>
      <c r="BAE231" s="514"/>
      <c r="BAF231" s="514"/>
      <c r="BAG231" s="514"/>
      <c r="BAH231" s="514"/>
      <c r="BAI231" s="514"/>
      <c r="BAJ231" s="514"/>
      <c r="BAK231" s="514"/>
      <c r="BAL231" s="514"/>
      <c r="BAM231" s="514"/>
      <c r="BAN231" s="514"/>
      <c r="BAO231" s="514"/>
      <c r="BAP231" s="514"/>
      <c r="BAQ231" s="514"/>
      <c r="BAR231" s="514"/>
      <c r="BAS231" s="514"/>
      <c r="BAT231" s="514"/>
      <c r="BAU231" s="514"/>
      <c r="BAV231" s="514"/>
      <c r="BAW231" s="514"/>
      <c r="BAX231" s="514"/>
      <c r="BAY231" s="514"/>
      <c r="BAZ231" s="514"/>
      <c r="BBA231" s="514"/>
      <c r="BBB231" s="514"/>
      <c r="BBC231" s="514"/>
      <c r="BBD231" s="514"/>
      <c r="BBE231" s="514"/>
      <c r="BBF231" s="514"/>
      <c r="BBG231" s="514"/>
      <c r="BBH231" s="514"/>
      <c r="BBI231" s="514"/>
      <c r="BBJ231" s="514"/>
      <c r="BBK231" s="514"/>
      <c r="BBL231" s="514"/>
      <c r="BBM231" s="514"/>
      <c r="BBN231" s="514"/>
      <c r="BBO231" s="514"/>
      <c r="BBP231" s="514"/>
      <c r="BBQ231" s="514"/>
      <c r="BBR231" s="514"/>
      <c r="BBS231" s="514"/>
      <c r="BBT231" s="514"/>
      <c r="BBU231" s="514"/>
      <c r="BBV231" s="514"/>
      <c r="BBW231" s="514"/>
      <c r="BBX231" s="514"/>
      <c r="BBY231" s="514"/>
      <c r="BBZ231" s="514"/>
      <c r="BCA231" s="514"/>
      <c r="BCB231" s="514"/>
      <c r="BCC231" s="514"/>
      <c r="BCD231" s="514"/>
      <c r="BCE231" s="514"/>
      <c r="BCF231" s="514"/>
      <c r="BCG231" s="514"/>
      <c r="BCH231" s="514"/>
      <c r="BCI231" s="514"/>
      <c r="BCJ231" s="514"/>
      <c r="BCK231" s="514"/>
      <c r="BCL231" s="514"/>
      <c r="BCM231" s="514"/>
      <c r="BCN231" s="514"/>
      <c r="BCO231" s="514"/>
      <c r="BCP231" s="514"/>
      <c r="BCQ231" s="514"/>
      <c r="BCR231" s="514"/>
      <c r="BCS231" s="514"/>
      <c r="BCT231" s="514"/>
      <c r="BCU231" s="514"/>
      <c r="BCV231" s="514"/>
      <c r="BCW231" s="514"/>
      <c r="BCX231" s="514"/>
      <c r="BCY231" s="514"/>
      <c r="BCZ231" s="514"/>
      <c r="BDA231" s="514"/>
      <c r="BDB231" s="514"/>
      <c r="BDC231" s="514"/>
      <c r="BDD231" s="514"/>
      <c r="BDE231" s="514"/>
      <c r="BDF231" s="514"/>
      <c r="BDG231" s="514"/>
      <c r="BDH231" s="514"/>
      <c r="BDI231" s="514"/>
      <c r="BDJ231" s="514"/>
      <c r="BDK231" s="514"/>
      <c r="BDL231" s="514"/>
      <c r="BDM231" s="514"/>
      <c r="BDN231" s="514"/>
      <c r="BDO231" s="514"/>
      <c r="BDP231" s="514"/>
      <c r="BDQ231" s="514"/>
      <c r="BDR231" s="514"/>
      <c r="BDS231" s="514"/>
      <c r="BDT231" s="514"/>
      <c r="BDU231" s="514"/>
      <c r="BDV231" s="514"/>
      <c r="BDW231" s="514"/>
      <c r="BDX231" s="514"/>
      <c r="BDY231" s="514"/>
      <c r="BDZ231" s="514"/>
      <c r="BEA231" s="514"/>
      <c r="BEB231" s="514"/>
      <c r="BEC231" s="514"/>
      <c r="BED231" s="514"/>
      <c r="BEE231" s="514"/>
      <c r="BEF231" s="514"/>
      <c r="BEG231" s="514"/>
      <c r="BEH231" s="514"/>
      <c r="BEI231" s="514"/>
      <c r="BEJ231" s="514"/>
      <c r="BEK231" s="514"/>
      <c r="BEL231" s="514"/>
      <c r="BEM231" s="514"/>
      <c r="BEN231" s="514"/>
      <c r="BEO231" s="514"/>
      <c r="BEP231" s="514"/>
      <c r="BEQ231" s="514"/>
      <c r="BER231" s="514"/>
      <c r="BES231" s="514"/>
      <c r="BET231" s="514"/>
      <c r="BEU231" s="514"/>
      <c r="BEV231" s="514"/>
      <c r="BEW231" s="514"/>
      <c r="BEX231" s="514"/>
      <c r="BEY231" s="514"/>
      <c r="BEZ231" s="514"/>
      <c r="BFA231" s="514"/>
      <c r="BFB231" s="514"/>
      <c r="BFC231" s="514"/>
      <c r="BFD231" s="514"/>
      <c r="BFE231" s="514"/>
      <c r="BFF231" s="514"/>
      <c r="BFG231" s="514"/>
      <c r="BFH231" s="514"/>
      <c r="BFI231" s="514"/>
      <c r="BFJ231" s="514"/>
      <c r="BFK231" s="514"/>
      <c r="BFL231" s="514"/>
      <c r="BFM231" s="514"/>
      <c r="BFN231" s="514"/>
      <c r="BFO231" s="514"/>
      <c r="BFP231" s="514"/>
      <c r="BFQ231" s="514"/>
      <c r="BFR231" s="514"/>
      <c r="BFS231" s="514"/>
      <c r="BFT231" s="514"/>
      <c r="BFU231" s="514"/>
      <c r="BFV231" s="514"/>
      <c r="BFW231" s="514"/>
      <c r="BFX231" s="514"/>
      <c r="BFY231" s="514"/>
      <c r="BFZ231" s="514"/>
      <c r="BGA231" s="514"/>
      <c r="BGB231" s="514"/>
      <c r="BGC231" s="514"/>
      <c r="BGD231" s="514"/>
      <c r="BGE231" s="514"/>
      <c r="BGF231" s="514"/>
      <c r="BGG231" s="514"/>
      <c r="BGH231" s="514"/>
      <c r="BGI231" s="514"/>
      <c r="BGJ231" s="514"/>
      <c r="BGK231" s="514"/>
      <c r="BGL231" s="514"/>
      <c r="BGM231" s="514"/>
      <c r="BGN231" s="514"/>
      <c r="BGO231" s="514"/>
      <c r="BGP231" s="514"/>
      <c r="BGQ231" s="514"/>
      <c r="BGR231" s="514"/>
      <c r="BGS231" s="514"/>
      <c r="BGT231" s="514"/>
      <c r="BGU231" s="514"/>
      <c r="BGV231" s="514"/>
      <c r="BGW231" s="514"/>
      <c r="BGX231" s="514"/>
      <c r="BGY231" s="514"/>
      <c r="BGZ231" s="514"/>
      <c r="BHA231" s="514"/>
      <c r="BHB231" s="514"/>
      <c r="BHC231" s="514"/>
      <c r="BHD231" s="514"/>
      <c r="BHE231" s="514"/>
      <c r="BHF231" s="514"/>
      <c r="BHG231" s="514"/>
      <c r="BHH231" s="514"/>
      <c r="BHI231" s="514"/>
      <c r="BHJ231" s="514"/>
      <c r="BHK231" s="514"/>
      <c r="BHL231" s="514"/>
      <c r="BHM231" s="514"/>
      <c r="BHN231" s="514"/>
      <c r="BHO231" s="514"/>
      <c r="BHP231" s="514"/>
      <c r="BHQ231" s="514"/>
      <c r="BHR231" s="514"/>
      <c r="BHS231" s="514"/>
      <c r="BHT231" s="514"/>
      <c r="BHU231" s="514"/>
      <c r="BHV231" s="514"/>
      <c r="BHW231" s="514"/>
      <c r="BHX231" s="514"/>
      <c r="BHY231" s="514"/>
      <c r="BHZ231" s="514"/>
      <c r="BIA231" s="514"/>
      <c r="BIB231" s="514"/>
      <c r="BIC231" s="514"/>
      <c r="BID231" s="514"/>
      <c r="BIE231" s="514"/>
      <c r="BIF231" s="514"/>
      <c r="BIG231" s="514"/>
      <c r="BIH231" s="514"/>
      <c r="BII231" s="514"/>
      <c r="BIJ231" s="514"/>
      <c r="BIK231" s="514"/>
      <c r="BIL231" s="514"/>
      <c r="BIM231" s="514"/>
      <c r="BIN231" s="514"/>
      <c r="BIO231" s="514"/>
      <c r="BIP231" s="514"/>
      <c r="BIQ231" s="514"/>
      <c r="BIR231" s="514"/>
      <c r="BIS231" s="514"/>
      <c r="BIT231" s="514"/>
      <c r="BIU231" s="514"/>
      <c r="BIV231" s="514"/>
      <c r="BIW231" s="514"/>
      <c r="BIX231" s="514"/>
      <c r="BIY231" s="514"/>
      <c r="BIZ231" s="514"/>
      <c r="BJA231" s="514"/>
      <c r="BJB231" s="514"/>
      <c r="BJC231" s="514"/>
      <c r="BJD231" s="514"/>
      <c r="BJE231" s="514"/>
      <c r="BJF231" s="514"/>
      <c r="BJG231" s="514"/>
      <c r="BJH231" s="514"/>
      <c r="BJI231" s="514"/>
      <c r="BJJ231" s="514"/>
      <c r="BJK231" s="514"/>
      <c r="BJL231" s="514"/>
      <c r="BJM231" s="514"/>
      <c r="BJN231" s="514"/>
      <c r="BJO231" s="514"/>
      <c r="BJP231" s="514"/>
      <c r="BJQ231" s="514"/>
      <c r="BJR231" s="514"/>
      <c r="BJS231" s="514"/>
      <c r="BJT231" s="514"/>
      <c r="BJU231" s="514"/>
      <c r="BJV231" s="514"/>
      <c r="BJW231" s="514"/>
      <c r="BJX231" s="514"/>
      <c r="BJY231" s="514"/>
      <c r="BJZ231" s="514"/>
      <c r="BKA231" s="514"/>
      <c r="BKB231" s="514"/>
      <c r="BKC231" s="514"/>
      <c r="BKD231" s="514"/>
      <c r="BKE231" s="514"/>
      <c r="BKF231" s="514"/>
      <c r="BKG231" s="514"/>
      <c r="BKH231" s="514"/>
      <c r="BKI231" s="514"/>
      <c r="BKJ231" s="514"/>
      <c r="BKK231" s="514"/>
      <c r="BKL231" s="514"/>
      <c r="BKM231" s="514"/>
      <c r="BKN231" s="514"/>
      <c r="BKO231" s="514"/>
      <c r="BKP231" s="514"/>
      <c r="BKQ231" s="514"/>
      <c r="BKR231" s="514"/>
      <c r="BKS231" s="514"/>
      <c r="BKT231" s="514"/>
      <c r="BKU231" s="514"/>
      <c r="BKV231" s="514"/>
      <c r="BKW231" s="514"/>
      <c r="BKX231" s="514"/>
      <c r="BKY231" s="514"/>
      <c r="BKZ231" s="514"/>
      <c r="BLA231" s="514"/>
      <c r="BLB231" s="514"/>
      <c r="BLC231" s="514"/>
      <c r="BLD231" s="514"/>
      <c r="BLE231" s="514"/>
      <c r="BLF231" s="514"/>
      <c r="BLG231" s="514"/>
      <c r="BLH231" s="514"/>
      <c r="BLI231" s="514"/>
      <c r="BLJ231" s="514"/>
      <c r="BLK231" s="514"/>
      <c r="BLL231" s="514"/>
      <c r="BLM231" s="514"/>
      <c r="BLN231" s="514"/>
      <c r="BLO231" s="514"/>
      <c r="BLP231" s="514"/>
      <c r="BLQ231" s="514"/>
      <c r="BLR231" s="514"/>
      <c r="BLS231" s="514"/>
      <c r="BLT231" s="514"/>
      <c r="BLU231" s="514"/>
      <c r="BLV231" s="514"/>
      <c r="BLW231" s="514"/>
      <c r="BLX231" s="514"/>
      <c r="BLY231" s="514"/>
      <c r="BLZ231" s="514"/>
      <c r="BMA231" s="514"/>
      <c r="BMB231" s="514"/>
      <c r="BMC231" s="514"/>
      <c r="BMD231" s="514"/>
      <c r="BME231" s="514"/>
      <c r="BMF231" s="514"/>
      <c r="BMG231" s="514"/>
      <c r="BMH231" s="514"/>
      <c r="BMI231" s="514"/>
      <c r="BMJ231" s="514"/>
      <c r="BMK231" s="514"/>
      <c r="BML231" s="514"/>
      <c r="BMM231" s="514"/>
      <c r="BMN231" s="514"/>
      <c r="BMO231" s="514"/>
      <c r="BMP231" s="514"/>
      <c r="BMQ231" s="514"/>
      <c r="BMR231" s="514"/>
      <c r="BMS231" s="514"/>
      <c r="BMT231" s="514"/>
      <c r="BMU231" s="514"/>
      <c r="BMV231" s="514"/>
      <c r="BMW231" s="514"/>
      <c r="BMX231" s="514"/>
      <c r="BMY231" s="514"/>
      <c r="BMZ231" s="514"/>
      <c r="BNA231" s="514"/>
      <c r="BNB231" s="514"/>
      <c r="BNC231" s="514"/>
      <c r="BND231" s="514"/>
      <c r="BNE231" s="514"/>
      <c r="BNF231" s="514"/>
      <c r="BNG231" s="514"/>
      <c r="BNH231" s="514"/>
      <c r="BNI231" s="514"/>
      <c r="BNJ231" s="514"/>
      <c r="BNK231" s="514"/>
      <c r="BNL231" s="514"/>
      <c r="BNM231" s="514"/>
      <c r="BNN231" s="514"/>
      <c r="BNO231" s="514"/>
      <c r="BNP231" s="514"/>
      <c r="BNQ231" s="514"/>
      <c r="BNR231" s="514"/>
      <c r="BNS231" s="514"/>
      <c r="BNT231" s="514"/>
      <c r="BNU231" s="514"/>
      <c r="BNV231" s="514"/>
      <c r="BNW231" s="514"/>
      <c r="BNX231" s="514"/>
      <c r="BNY231" s="514"/>
      <c r="BNZ231" s="514"/>
      <c r="BOA231" s="514"/>
      <c r="BOB231" s="514"/>
      <c r="BOC231" s="514"/>
      <c r="BOD231" s="514"/>
      <c r="BOE231" s="514"/>
      <c r="BOF231" s="514"/>
      <c r="BOG231" s="514"/>
      <c r="BOH231" s="514"/>
      <c r="BOI231" s="514"/>
      <c r="BOJ231" s="514"/>
      <c r="BOK231" s="514"/>
      <c r="BOL231" s="514"/>
      <c r="BOM231" s="514"/>
      <c r="BON231" s="514"/>
      <c r="BOO231" s="514"/>
      <c r="BOP231" s="514"/>
      <c r="BOQ231" s="514"/>
      <c r="BOR231" s="514"/>
      <c r="BOS231" s="514"/>
      <c r="BOT231" s="514"/>
      <c r="BOU231" s="514"/>
      <c r="BOV231" s="514"/>
      <c r="BOW231" s="514"/>
      <c r="BOX231" s="514"/>
      <c r="BOY231" s="514"/>
      <c r="BOZ231" s="514"/>
      <c r="BPA231" s="514"/>
      <c r="BPB231" s="514"/>
      <c r="BPC231" s="514"/>
      <c r="BPD231" s="514"/>
      <c r="BPE231" s="514"/>
      <c r="BPF231" s="514"/>
      <c r="BPG231" s="514"/>
      <c r="BPH231" s="514"/>
      <c r="BPI231" s="514"/>
      <c r="BPJ231" s="514"/>
      <c r="BPK231" s="514"/>
      <c r="BPL231" s="514"/>
      <c r="BPM231" s="514"/>
      <c r="BPN231" s="514"/>
      <c r="BPO231" s="514"/>
      <c r="BPP231" s="514"/>
      <c r="BPQ231" s="514"/>
      <c r="BPR231" s="514"/>
      <c r="BPS231" s="514"/>
      <c r="BPT231" s="514"/>
      <c r="BPU231" s="514"/>
      <c r="BPV231" s="514"/>
      <c r="BPW231" s="514"/>
      <c r="BPX231" s="514"/>
      <c r="BPY231" s="514"/>
      <c r="BPZ231" s="514"/>
      <c r="BQA231" s="514"/>
      <c r="BQB231" s="514"/>
      <c r="BQC231" s="514"/>
      <c r="BQD231" s="514"/>
      <c r="BQE231" s="514"/>
      <c r="BQF231" s="514"/>
      <c r="BQG231" s="514"/>
      <c r="BQH231" s="514"/>
      <c r="BQI231" s="514"/>
      <c r="BQJ231" s="514"/>
      <c r="BQK231" s="514"/>
      <c r="BQL231" s="514"/>
      <c r="BQM231" s="514"/>
      <c r="BQN231" s="514"/>
      <c r="BQO231" s="514"/>
      <c r="BQP231" s="514"/>
      <c r="BQQ231" s="514"/>
      <c r="BQR231" s="514"/>
      <c r="BQS231" s="514"/>
      <c r="BQT231" s="514"/>
      <c r="BQU231" s="514"/>
      <c r="BQV231" s="514"/>
      <c r="BQW231" s="514"/>
      <c r="BQX231" s="514"/>
      <c r="BQY231" s="514"/>
      <c r="BQZ231" s="514"/>
      <c r="BRA231" s="514"/>
      <c r="BRB231" s="514"/>
      <c r="BRC231" s="514"/>
      <c r="BRD231" s="514"/>
      <c r="BRE231" s="514"/>
      <c r="BRF231" s="514"/>
      <c r="BRG231" s="514"/>
      <c r="BRH231" s="514"/>
      <c r="BRI231" s="514"/>
      <c r="BRJ231" s="514"/>
      <c r="BRK231" s="514"/>
      <c r="BRL231" s="514"/>
      <c r="BRM231" s="514"/>
      <c r="BRN231" s="514"/>
      <c r="BRO231" s="514"/>
      <c r="BRP231" s="514"/>
      <c r="BRQ231" s="514"/>
      <c r="BRR231" s="514"/>
      <c r="BRS231" s="514"/>
      <c r="BRT231" s="514"/>
      <c r="BRU231" s="514"/>
      <c r="BRV231" s="514"/>
      <c r="BRW231" s="514"/>
      <c r="BRX231" s="514"/>
      <c r="BRY231" s="514"/>
      <c r="BRZ231" s="514"/>
      <c r="BSA231" s="514"/>
      <c r="BSB231" s="514"/>
      <c r="BSC231" s="514"/>
      <c r="BSD231" s="514"/>
      <c r="BSE231" s="514"/>
      <c r="BSF231" s="514"/>
      <c r="BSG231" s="514"/>
      <c r="BSH231" s="514"/>
      <c r="BSI231" s="514"/>
      <c r="BSJ231" s="514"/>
      <c r="BSK231" s="514"/>
      <c r="BSL231" s="514"/>
      <c r="BSM231" s="514"/>
      <c r="BSN231" s="514"/>
      <c r="BSO231" s="514"/>
      <c r="BSP231" s="514"/>
      <c r="BSQ231" s="514"/>
      <c r="BSR231" s="514"/>
      <c r="BSS231" s="514"/>
      <c r="BST231" s="514"/>
      <c r="BSU231" s="514"/>
      <c r="BSV231" s="514"/>
      <c r="BSW231" s="514"/>
      <c r="BSX231" s="514"/>
      <c r="BSY231" s="514"/>
      <c r="BSZ231" s="514"/>
      <c r="BTA231" s="514"/>
      <c r="BTB231" s="514"/>
      <c r="BTC231" s="514"/>
      <c r="BTD231" s="514"/>
      <c r="BTE231" s="514"/>
      <c r="BTF231" s="514"/>
      <c r="BTG231" s="514"/>
      <c r="BTH231" s="514"/>
      <c r="BTI231" s="514"/>
      <c r="BTJ231" s="514"/>
      <c r="BTK231" s="514"/>
      <c r="BTL231" s="514"/>
      <c r="BTM231" s="514"/>
      <c r="BTN231" s="514"/>
      <c r="BTO231" s="514"/>
      <c r="BTP231" s="514"/>
      <c r="BTQ231" s="514"/>
      <c r="BTR231" s="514"/>
      <c r="BTS231" s="514"/>
      <c r="BTT231" s="514"/>
      <c r="BTU231" s="514"/>
      <c r="BTV231" s="514"/>
      <c r="BTW231" s="514"/>
      <c r="BTX231" s="514"/>
      <c r="BTY231" s="514"/>
      <c r="BTZ231" s="514"/>
      <c r="BUA231" s="514"/>
      <c r="BUB231" s="514"/>
      <c r="BUC231" s="514"/>
      <c r="BUD231" s="514"/>
      <c r="BUE231" s="514"/>
      <c r="BUF231" s="514"/>
      <c r="BUG231" s="514"/>
      <c r="BUH231" s="514"/>
      <c r="BUI231" s="514"/>
      <c r="BUJ231" s="514"/>
      <c r="BUK231" s="514"/>
      <c r="BUL231" s="514"/>
      <c r="BUM231" s="514"/>
      <c r="BUN231" s="514"/>
      <c r="BUO231" s="514"/>
      <c r="BUP231" s="514"/>
      <c r="BUQ231" s="514"/>
      <c r="BUR231" s="514"/>
      <c r="BUS231" s="514"/>
      <c r="BUT231" s="514"/>
      <c r="BUU231" s="514"/>
      <c r="BUV231" s="514"/>
      <c r="BUW231" s="514"/>
      <c r="BUX231" s="514"/>
      <c r="BUY231" s="514"/>
      <c r="BUZ231" s="514"/>
      <c r="BVA231" s="514"/>
      <c r="BVB231" s="514"/>
      <c r="BVC231" s="514"/>
      <c r="BVD231" s="514"/>
      <c r="BVE231" s="514"/>
      <c r="BVF231" s="514"/>
      <c r="BVG231" s="514"/>
      <c r="BVH231" s="514"/>
      <c r="BVI231" s="514"/>
      <c r="BVJ231" s="514"/>
      <c r="BVK231" s="514"/>
      <c r="BVL231" s="514"/>
      <c r="BVM231" s="514"/>
      <c r="BVN231" s="514"/>
      <c r="BVO231" s="514"/>
      <c r="BVP231" s="514"/>
      <c r="BVQ231" s="514"/>
      <c r="BVR231" s="514"/>
      <c r="BVS231" s="514"/>
      <c r="BVT231" s="514"/>
      <c r="BVU231" s="514"/>
      <c r="BVV231" s="514"/>
      <c r="BVW231" s="514"/>
      <c r="BVX231" s="514"/>
      <c r="BVY231" s="514"/>
      <c r="BVZ231" s="514"/>
      <c r="BWA231" s="514"/>
      <c r="BWB231" s="514"/>
      <c r="BWC231" s="514"/>
      <c r="BWD231" s="514"/>
      <c r="BWE231" s="514"/>
      <c r="BWF231" s="514"/>
      <c r="BWG231" s="514"/>
      <c r="BWH231" s="514"/>
      <c r="BWI231" s="514"/>
      <c r="BWJ231" s="514"/>
      <c r="BWK231" s="514"/>
      <c r="BWL231" s="514"/>
      <c r="BWM231" s="514"/>
      <c r="BWN231" s="514"/>
      <c r="BWO231" s="514"/>
      <c r="BWP231" s="514"/>
      <c r="BWQ231" s="514"/>
      <c r="BWR231" s="514"/>
      <c r="BWS231" s="514"/>
      <c r="BWT231" s="514"/>
      <c r="BWU231" s="514"/>
      <c r="BWV231" s="514"/>
      <c r="BWW231" s="514"/>
      <c r="BWX231" s="514"/>
      <c r="BWY231" s="514"/>
      <c r="BWZ231" s="514"/>
      <c r="BXA231" s="514"/>
      <c r="BXB231" s="514"/>
      <c r="BXC231" s="514"/>
      <c r="BXD231" s="514"/>
      <c r="BXE231" s="514"/>
      <c r="BXF231" s="514"/>
      <c r="BXG231" s="514"/>
      <c r="BXH231" s="514"/>
      <c r="BXI231" s="514"/>
      <c r="BXJ231" s="514"/>
      <c r="BXK231" s="514"/>
      <c r="BXL231" s="514"/>
      <c r="BXM231" s="514"/>
      <c r="BXN231" s="514"/>
      <c r="BXO231" s="514"/>
      <c r="BXP231" s="514"/>
      <c r="BXQ231" s="514"/>
      <c r="BXR231" s="514"/>
      <c r="BXS231" s="514"/>
      <c r="BXT231" s="514"/>
      <c r="BXU231" s="514"/>
      <c r="BXV231" s="514"/>
      <c r="BXW231" s="514"/>
      <c r="BXX231" s="514"/>
      <c r="BXY231" s="514"/>
      <c r="BXZ231" s="514"/>
      <c r="BYA231" s="514"/>
      <c r="BYB231" s="514"/>
      <c r="BYC231" s="514"/>
      <c r="BYD231" s="514"/>
      <c r="BYE231" s="514"/>
      <c r="BYF231" s="514"/>
      <c r="BYG231" s="514"/>
      <c r="BYH231" s="514"/>
      <c r="BYI231" s="514"/>
      <c r="BYJ231" s="514"/>
      <c r="BYK231" s="514"/>
      <c r="BYL231" s="514"/>
      <c r="BYM231" s="514"/>
      <c r="BYN231" s="514"/>
      <c r="BYO231" s="514"/>
      <c r="BYP231" s="514"/>
      <c r="BYQ231" s="514"/>
      <c r="BYR231" s="514"/>
      <c r="BYS231" s="514"/>
      <c r="BYT231" s="514"/>
      <c r="BYU231" s="514"/>
      <c r="BYV231" s="514"/>
      <c r="BYW231" s="514"/>
      <c r="BYX231" s="514"/>
      <c r="BYY231" s="514"/>
      <c r="BYZ231" s="514"/>
      <c r="BZA231" s="514"/>
      <c r="BZB231" s="514"/>
      <c r="BZC231" s="514"/>
      <c r="BZD231" s="514"/>
      <c r="BZE231" s="514"/>
      <c r="BZF231" s="514"/>
      <c r="BZG231" s="514"/>
      <c r="BZH231" s="514"/>
      <c r="BZI231" s="514"/>
      <c r="BZJ231" s="514"/>
      <c r="BZK231" s="514"/>
      <c r="BZL231" s="514"/>
      <c r="BZM231" s="514"/>
      <c r="BZN231" s="514"/>
      <c r="BZO231" s="514"/>
      <c r="BZP231" s="514"/>
      <c r="BZQ231" s="514"/>
      <c r="BZR231" s="514"/>
      <c r="BZS231" s="514"/>
      <c r="BZT231" s="514"/>
      <c r="BZU231" s="514"/>
      <c r="BZV231" s="514"/>
      <c r="BZW231" s="514"/>
      <c r="BZX231" s="514"/>
      <c r="BZY231" s="514"/>
      <c r="BZZ231" s="514"/>
      <c r="CAA231" s="514"/>
      <c r="CAB231" s="514"/>
      <c r="CAC231" s="514"/>
      <c r="CAD231" s="514"/>
      <c r="CAE231" s="514"/>
      <c r="CAF231" s="514"/>
      <c r="CAG231" s="514"/>
      <c r="CAH231" s="514"/>
      <c r="CAI231" s="514"/>
      <c r="CAJ231" s="514"/>
      <c r="CAK231" s="514"/>
      <c r="CAL231" s="514"/>
      <c r="CAM231" s="514"/>
      <c r="CAN231" s="514"/>
      <c r="CAO231" s="514"/>
      <c r="CAP231" s="514"/>
      <c r="CAQ231" s="514"/>
      <c r="CAR231" s="514"/>
      <c r="CAS231" s="514"/>
      <c r="CAT231" s="514"/>
      <c r="CAU231" s="514"/>
      <c r="CAV231" s="514"/>
      <c r="CAW231" s="514"/>
      <c r="CAX231" s="514"/>
      <c r="CAY231" s="514"/>
      <c r="CAZ231" s="514"/>
      <c r="CBA231" s="514"/>
      <c r="CBB231" s="514"/>
      <c r="CBC231" s="514"/>
      <c r="CBD231" s="514"/>
      <c r="CBE231" s="514"/>
      <c r="CBF231" s="514"/>
      <c r="CBG231" s="514"/>
      <c r="CBH231" s="514"/>
      <c r="CBI231" s="514"/>
      <c r="CBJ231" s="514"/>
      <c r="CBK231" s="514"/>
      <c r="CBL231" s="514"/>
      <c r="CBM231" s="514"/>
      <c r="CBN231" s="514"/>
      <c r="CBO231" s="514"/>
      <c r="CBP231" s="514"/>
      <c r="CBQ231" s="514"/>
      <c r="CBR231" s="514"/>
      <c r="CBS231" s="514"/>
      <c r="CBT231" s="514"/>
      <c r="CBU231" s="514"/>
      <c r="CBV231" s="514"/>
      <c r="CBW231" s="514"/>
      <c r="CBX231" s="514"/>
      <c r="CBY231" s="514"/>
      <c r="CBZ231" s="514"/>
      <c r="CCA231" s="514"/>
      <c r="CCB231" s="514"/>
      <c r="CCC231" s="514"/>
      <c r="CCD231" s="514"/>
      <c r="CCE231" s="514"/>
      <c r="CCF231" s="514"/>
      <c r="CCG231" s="514"/>
      <c r="CCH231" s="514"/>
      <c r="CCI231" s="514"/>
      <c r="CCJ231" s="514"/>
      <c r="CCK231" s="514"/>
      <c r="CCL231" s="514"/>
      <c r="CCM231" s="514"/>
      <c r="CCN231" s="514"/>
      <c r="CCO231" s="514"/>
      <c r="CCP231" s="514"/>
      <c r="CCQ231" s="514"/>
      <c r="CCR231" s="514"/>
      <c r="CCS231" s="514"/>
      <c r="CCT231" s="514"/>
      <c r="CCU231" s="514"/>
      <c r="CCV231" s="514"/>
      <c r="CCW231" s="514"/>
      <c r="CCX231" s="514"/>
      <c r="CCY231" s="514"/>
      <c r="CCZ231" s="514"/>
      <c r="CDA231" s="514"/>
      <c r="CDB231" s="514"/>
      <c r="CDC231" s="514"/>
      <c r="CDD231" s="514"/>
      <c r="CDE231" s="514"/>
      <c r="CDF231" s="514"/>
      <c r="CDG231" s="514"/>
      <c r="CDH231" s="514"/>
      <c r="CDI231" s="514"/>
      <c r="CDJ231" s="514"/>
      <c r="CDK231" s="514"/>
      <c r="CDL231" s="514"/>
      <c r="CDM231" s="514"/>
      <c r="CDN231" s="514"/>
      <c r="CDO231" s="514"/>
      <c r="CDP231" s="514"/>
      <c r="CDQ231" s="514"/>
      <c r="CDR231" s="514"/>
      <c r="CDS231" s="514"/>
      <c r="CDT231" s="514"/>
      <c r="CDU231" s="514"/>
      <c r="CDV231" s="514"/>
      <c r="CDW231" s="514"/>
      <c r="CDX231" s="514"/>
      <c r="CDY231" s="514"/>
      <c r="CDZ231" s="514"/>
      <c r="CEA231" s="514"/>
      <c r="CEB231" s="514"/>
      <c r="CEC231" s="514"/>
      <c r="CED231" s="514"/>
      <c r="CEE231" s="514"/>
      <c r="CEF231" s="514"/>
      <c r="CEG231" s="514"/>
      <c r="CEH231" s="514"/>
      <c r="CEI231" s="514"/>
      <c r="CEJ231" s="514"/>
      <c r="CEK231" s="514"/>
      <c r="CEL231" s="514"/>
      <c r="CEM231" s="514"/>
      <c r="CEN231" s="514"/>
      <c r="CEO231" s="514"/>
      <c r="CEP231" s="514"/>
      <c r="CEQ231" s="514"/>
      <c r="CER231" s="514"/>
      <c r="CES231" s="514"/>
      <c r="CET231" s="514"/>
      <c r="CEU231" s="514"/>
      <c r="CEV231" s="514"/>
      <c r="CEW231" s="514"/>
      <c r="CEX231" s="514"/>
      <c r="CEY231" s="514"/>
      <c r="CEZ231" s="514"/>
      <c r="CFA231" s="514"/>
      <c r="CFB231" s="514"/>
      <c r="CFC231" s="514"/>
      <c r="CFD231" s="514"/>
      <c r="CFE231" s="514"/>
      <c r="CFF231" s="514"/>
      <c r="CFG231" s="514"/>
      <c r="CFH231" s="514"/>
      <c r="CFI231" s="514"/>
      <c r="CFJ231" s="514"/>
      <c r="CFK231" s="514"/>
      <c r="CFL231" s="514"/>
      <c r="CFM231" s="514"/>
      <c r="CFN231" s="514"/>
      <c r="CFO231" s="514"/>
      <c r="CFP231" s="514"/>
      <c r="CFQ231" s="514"/>
      <c r="CFR231" s="514"/>
      <c r="CFS231" s="514"/>
      <c r="CFT231" s="514"/>
      <c r="CFU231" s="514"/>
      <c r="CFV231" s="514"/>
      <c r="CFW231" s="514"/>
      <c r="CFX231" s="514"/>
      <c r="CFY231" s="514"/>
      <c r="CFZ231" s="514"/>
      <c r="CGA231" s="514"/>
      <c r="CGB231" s="514"/>
      <c r="CGC231" s="514"/>
      <c r="CGD231" s="514"/>
      <c r="CGE231" s="514"/>
      <c r="CGF231" s="514"/>
      <c r="CGG231" s="514"/>
      <c r="CGH231" s="514"/>
      <c r="CGI231" s="514"/>
      <c r="CGJ231" s="514"/>
      <c r="CGK231" s="514"/>
      <c r="CGL231" s="514"/>
      <c r="CGM231" s="514"/>
      <c r="CGN231" s="514"/>
      <c r="CGO231" s="514"/>
      <c r="CGP231" s="514"/>
      <c r="CGQ231" s="514"/>
      <c r="CGR231" s="514"/>
      <c r="CGS231" s="514"/>
      <c r="CGT231" s="514"/>
      <c r="CGU231" s="514"/>
      <c r="CGV231" s="514"/>
      <c r="CGW231" s="514"/>
      <c r="CGX231" s="514"/>
      <c r="CGY231" s="514"/>
      <c r="CGZ231" s="514"/>
      <c r="CHA231" s="514"/>
      <c r="CHB231" s="514"/>
      <c r="CHC231" s="514"/>
      <c r="CHD231" s="514"/>
      <c r="CHE231" s="514"/>
      <c r="CHF231" s="514"/>
      <c r="CHG231" s="514"/>
      <c r="CHH231" s="514"/>
      <c r="CHI231" s="514"/>
      <c r="CHJ231" s="514"/>
      <c r="CHK231" s="514"/>
      <c r="CHL231" s="514"/>
      <c r="CHM231" s="514"/>
      <c r="CHN231" s="514"/>
      <c r="CHO231" s="514"/>
      <c r="CHP231" s="514"/>
      <c r="CHQ231" s="514"/>
      <c r="CHR231" s="514"/>
      <c r="CHS231" s="514"/>
      <c r="CHT231" s="514"/>
      <c r="CHU231" s="514"/>
      <c r="CHV231" s="514"/>
      <c r="CHW231" s="514"/>
      <c r="CHX231" s="514"/>
      <c r="CHY231" s="514"/>
      <c r="CHZ231" s="514"/>
      <c r="CIA231" s="514"/>
      <c r="CIB231" s="514"/>
      <c r="CIC231" s="514"/>
      <c r="CID231" s="514"/>
      <c r="CIE231" s="514"/>
      <c r="CIF231" s="514"/>
      <c r="CIG231" s="514"/>
      <c r="CIH231" s="514"/>
      <c r="CII231" s="514"/>
      <c r="CIJ231" s="514"/>
      <c r="CIK231" s="514"/>
      <c r="CIL231" s="514"/>
      <c r="CIM231" s="514"/>
      <c r="CIN231" s="514"/>
      <c r="CIO231" s="514"/>
      <c r="CIP231" s="514"/>
      <c r="CIQ231" s="514"/>
      <c r="CIR231" s="514"/>
      <c r="CIS231" s="514"/>
      <c r="CIT231" s="514"/>
      <c r="CIU231" s="514"/>
      <c r="CIV231" s="514"/>
      <c r="CIW231" s="514"/>
      <c r="CIX231" s="514"/>
      <c r="CIY231" s="514"/>
      <c r="CIZ231" s="514"/>
      <c r="CJA231" s="514"/>
      <c r="CJB231" s="514"/>
      <c r="CJC231" s="514"/>
      <c r="CJD231" s="514"/>
      <c r="CJE231" s="514"/>
      <c r="CJF231" s="514"/>
      <c r="CJG231" s="514"/>
      <c r="CJH231" s="514"/>
      <c r="CJI231" s="514"/>
      <c r="CJJ231" s="514"/>
      <c r="CJK231" s="514"/>
      <c r="CJL231" s="514"/>
      <c r="CJM231" s="514"/>
      <c r="CJN231" s="514"/>
      <c r="CJO231" s="514"/>
      <c r="CJP231" s="514"/>
      <c r="CJQ231" s="514"/>
      <c r="CJR231" s="514"/>
      <c r="CJS231" s="514"/>
      <c r="CJT231" s="514"/>
      <c r="CJU231" s="514"/>
      <c r="CJV231" s="514"/>
      <c r="CJW231" s="514"/>
      <c r="CJX231" s="514"/>
      <c r="CJY231" s="514"/>
      <c r="CJZ231" s="514"/>
      <c r="CKA231" s="514"/>
      <c r="CKB231" s="514"/>
      <c r="CKC231" s="514"/>
      <c r="CKD231" s="514"/>
      <c r="CKE231" s="514"/>
      <c r="CKF231" s="514"/>
      <c r="CKG231" s="514"/>
      <c r="CKH231" s="514"/>
      <c r="CKI231" s="514"/>
      <c r="CKJ231" s="514"/>
      <c r="CKK231" s="514"/>
      <c r="CKL231" s="514"/>
      <c r="CKM231" s="514"/>
      <c r="CKN231" s="514"/>
      <c r="CKO231" s="514"/>
      <c r="CKP231" s="514"/>
      <c r="CKQ231" s="514"/>
      <c r="CKR231" s="514"/>
      <c r="CKS231" s="514"/>
      <c r="CKT231" s="514"/>
      <c r="CKU231" s="514"/>
      <c r="CKV231" s="514"/>
      <c r="CKW231" s="514"/>
      <c r="CKX231" s="514"/>
      <c r="CKY231" s="514"/>
      <c r="CKZ231" s="514"/>
      <c r="CLA231" s="514"/>
      <c r="CLB231" s="514"/>
      <c r="CLC231" s="514"/>
      <c r="CLD231" s="514"/>
      <c r="CLE231" s="514"/>
      <c r="CLF231" s="514"/>
      <c r="CLG231" s="514"/>
      <c r="CLH231" s="514"/>
      <c r="CLI231" s="514"/>
      <c r="CLJ231" s="514"/>
      <c r="CLK231" s="514"/>
      <c r="CLL231" s="514"/>
      <c r="CLM231" s="514"/>
      <c r="CLN231" s="514"/>
      <c r="CLO231" s="514"/>
      <c r="CLP231" s="514"/>
      <c r="CLQ231" s="514"/>
      <c r="CLR231" s="514"/>
      <c r="CLS231" s="514"/>
      <c r="CLT231" s="514"/>
      <c r="CLU231" s="514"/>
      <c r="CLV231" s="514"/>
      <c r="CLW231" s="514"/>
      <c r="CLX231" s="514"/>
      <c r="CLY231" s="514"/>
      <c r="CLZ231" s="514"/>
      <c r="CMA231" s="514"/>
      <c r="CMB231" s="514"/>
      <c r="CMC231" s="514"/>
      <c r="CMD231" s="514"/>
      <c r="CME231" s="514"/>
      <c r="CMF231" s="514"/>
      <c r="CMG231" s="514"/>
      <c r="CMH231" s="514"/>
      <c r="CMI231" s="514"/>
      <c r="CMJ231" s="514"/>
      <c r="CMK231" s="514"/>
      <c r="CML231" s="514"/>
      <c r="CMM231" s="514"/>
      <c r="CMN231" s="514"/>
      <c r="CMO231" s="514"/>
      <c r="CMP231" s="514"/>
      <c r="CMQ231" s="514"/>
      <c r="CMR231" s="514"/>
      <c r="CMS231" s="514"/>
      <c r="CMT231" s="514"/>
      <c r="CMU231" s="514"/>
      <c r="CMV231" s="514"/>
      <c r="CMW231" s="514"/>
      <c r="CMX231" s="514"/>
      <c r="CMY231" s="514"/>
      <c r="CMZ231" s="514"/>
      <c r="CNA231" s="514"/>
      <c r="CNB231" s="514"/>
      <c r="CNC231" s="514"/>
      <c r="CND231" s="514"/>
      <c r="CNE231" s="514"/>
      <c r="CNF231" s="514"/>
      <c r="CNG231" s="514"/>
      <c r="CNH231" s="514"/>
      <c r="CNI231" s="514"/>
      <c r="CNJ231" s="514"/>
      <c r="CNK231" s="514"/>
      <c r="CNL231" s="514"/>
      <c r="CNM231" s="514"/>
      <c r="CNN231" s="514"/>
      <c r="CNO231" s="514"/>
      <c r="CNP231" s="514"/>
      <c r="CNQ231" s="514"/>
      <c r="CNR231" s="514"/>
      <c r="CNS231" s="514"/>
      <c r="CNT231" s="514"/>
      <c r="CNU231" s="514"/>
      <c r="CNV231" s="514"/>
      <c r="CNW231" s="514"/>
      <c r="CNX231" s="514"/>
      <c r="CNY231" s="514"/>
      <c r="CNZ231" s="514"/>
      <c r="COA231" s="514"/>
      <c r="COB231" s="514"/>
      <c r="COC231" s="514"/>
      <c r="COD231" s="514"/>
      <c r="COE231" s="514"/>
      <c r="COF231" s="514"/>
      <c r="COG231" s="514"/>
      <c r="COH231" s="514"/>
      <c r="COI231" s="514"/>
      <c r="COJ231" s="514"/>
      <c r="COK231" s="514"/>
      <c r="COL231" s="514"/>
      <c r="COM231" s="514"/>
      <c r="CON231" s="514"/>
      <c r="COO231" s="514"/>
      <c r="COP231" s="514"/>
      <c r="COQ231" s="514"/>
      <c r="COR231" s="514"/>
      <c r="COS231" s="514"/>
      <c r="COT231" s="514"/>
      <c r="COU231" s="514"/>
      <c r="COV231" s="514"/>
      <c r="COW231" s="514"/>
      <c r="COX231" s="514"/>
      <c r="COY231" s="514"/>
      <c r="COZ231" s="514"/>
      <c r="CPA231" s="514"/>
      <c r="CPB231" s="514"/>
      <c r="CPC231" s="514"/>
      <c r="CPD231" s="514"/>
      <c r="CPE231" s="514"/>
      <c r="CPF231" s="514"/>
      <c r="CPG231" s="514"/>
      <c r="CPH231" s="514"/>
      <c r="CPI231" s="514"/>
      <c r="CPJ231" s="514"/>
      <c r="CPK231" s="514"/>
      <c r="CPL231" s="514"/>
      <c r="CPM231" s="514"/>
      <c r="CPN231" s="514"/>
      <c r="CPO231" s="514"/>
      <c r="CPP231" s="514"/>
      <c r="CPQ231" s="514"/>
      <c r="CPR231" s="514"/>
      <c r="CPS231" s="514"/>
      <c r="CPT231" s="514"/>
      <c r="CPU231" s="514"/>
      <c r="CPV231" s="514"/>
      <c r="CPW231" s="514"/>
      <c r="CPX231" s="514"/>
      <c r="CPY231" s="514"/>
      <c r="CPZ231" s="514"/>
      <c r="CQA231" s="514"/>
      <c r="CQB231" s="514"/>
      <c r="CQC231" s="514"/>
      <c r="CQD231" s="514"/>
      <c r="CQE231" s="514"/>
      <c r="CQF231" s="514"/>
      <c r="CQG231" s="514"/>
      <c r="CQH231" s="514"/>
      <c r="CQI231" s="514"/>
      <c r="CQJ231" s="514"/>
      <c r="CQK231" s="514"/>
      <c r="CQL231" s="514"/>
      <c r="CQM231" s="514"/>
      <c r="CQN231" s="514"/>
      <c r="CQO231" s="514"/>
      <c r="CQP231" s="514"/>
      <c r="CQQ231" s="514"/>
      <c r="CQR231" s="514"/>
      <c r="CQS231" s="514"/>
      <c r="CQT231" s="514"/>
      <c r="CQU231" s="514"/>
      <c r="CQV231" s="514"/>
      <c r="CQW231" s="514"/>
      <c r="CQX231" s="514"/>
      <c r="CQY231" s="514"/>
      <c r="CQZ231" s="514"/>
      <c r="CRA231" s="514"/>
      <c r="CRB231" s="514"/>
      <c r="CRC231" s="514"/>
      <c r="CRD231" s="514"/>
      <c r="CRE231" s="514"/>
      <c r="CRF231" s="514"/>
      <c r="CRG231" s="514"/>
      <c r="CRH231" s="514"/>
      <c r="CRI231" s="514"/>
      <c r="CRJ231" s="514"/>
      <c r="CRK231" s="514"/>
      <c r="CRL231" s="514"/>
      <c r="CRM231" s="514"/>
      <c r="CRN231" s="514"/>
      <c r="CRO231" s="514"/>
      <c r="CRP231" s="514"/>
      <c r="CRQ231" s="514"/>
      <c r="CRR231" s="514"/>
      <c r="CRS231" s="514"/>
      <c r="CRT231" s="514"/>
      <c r="CRU231" s="514"/>
      <c r="CRV231" s="514"/>
      <c r="CRW231" s="514"/>
      <c r="CRX231" s="514"/>
      <c r="CRY231" s="514"/>
      <c r="CRZ231" s="514"/>
      <c r="CSA231" s="514"/>
      <c r="CSB231" s="514"/>
      <c r="CSC231" s="514"/>
      <c r="CSD231" s="514"/>
      <c r="CSE231" s="514"/>
      <c r="CSF231" s="514"/>
      <c r="CSG231" s="514"/>
      <c r="CSH231" s="514"/>
      <c r="CSI231" s="514"/>
      <c r="CSJ231" s="514"/>
      <c r="CSK231" s="514"/>
      <c r="CSL231" s="514"/>
      <c r="CSM231" s="514"/>
      <c r="CSN231" s="514"/>
      <c r="CSO231" s="514"/>
      <c r="CSP231" s="514"/>
      <c r="CSQ231" s="514"/>
      <c r="CSR231" s="514"/>
      <c r="CSS231" s="514"/>
      <c r="CST231" s="514"/>
      <c r="CSU231" s="514"/>
      <c r="CSV231" s="514"/>
      <c r="CSW231" s="514"/>
      <c r="CSX231" s="514"/>
      <c r="CSY231" s="514"/>
      <c r="CSZ231" s="514"/>
      <c r="CTA231" s="514"/>
      <c r="CTB231" s="514"/>
      <c r="CTC231" s="514"/>
      <c r="CTD231" s="514"/>
      <c r="CTE231" s="514"/>
      <c r="CTF231" s="514"/>
      <c r="CTG231" s="514"/>
      <c r="CTH231" s="514"/>
      <c r="CTI231" s="514"/>
      <c r="CTJ231" s="514"/>
      <c r="CTK231" s="514"/>
      <c r="CTL231" s="514"/>
      <c r="CTM231" s="514"/>
      <c r="CTN231" s="514"/>
      <c r="CTO231" s="514"/>
      <c r="CTP231" s="514"/>
      <c r="CTQ231" s="514"/>
      <c r="CTR231" s="514"/>
      <c r="CTS231" s="514"/>
      <c r="CTT231" s="514"/>
      <c r="CTU231" s="514"/>
      <c r="CTV231" s="514"/>
      <c r="CTW231" s="514"/>
      <c r="CTX231" s="514"/>
      <c r="CTY231" s="514"/>
      <c r="CTZ231" s="514"/>
      <c r="CUA231" s="514"/>
      <c r="CUB231" s="514"/>
      <c r="CUC231" s="514"/>
      <c r="CUD231" s="514"/>
      <c r="CUE231" s="514"/>
      <c r="CUF231" s="514"/>
      <c r="CUG231" s="514"/>
      <c r="CUH231" s="514"/>
      <c r="CUI231" s="514"/>
      <c r="CUJ231" s="514"/>
      <c r="CUK231" s="514"/>
      <c r="CUL231" s="514"/>
      <c r="CUM231" s="514"/>
      <c r="CUN231" s="514"/>
      <c r="CUO231" s="514"/>
      <c r="CUP231" s="514"/>
      <c r="CUQ231" s="514"/>
      <c r="CUR231" s="514"/>
      <c r="CUS231" s="514"/>
      <c r="CUT231" s="514"/>
      <c r="CUU231" s="514"/>
      <c r="CUV231" s="514"/>
      <c r="CUW231" s="514"/>
      <c r="CUX231" s="514"/>
      <c r="CUY231" s="514"/>
      <c r="CUZ231" s="514"/>
      <c r="CVA231" s="514"/>
      <c r="CVB231" s="514"/>
      <c r="CVC231" s="514"/>
      <c r="CVD231" s="514"/>
      <c r="CVE231" s="514"/>
      <c r="CVF231" s="514"/>
      <c r="CVG231" s="514"/>
      <c r="CVH231" s="514"/>
      <c r="CVI231" s="514"/>
      <c r="CVJ231" s="514"/>
      <c r="CVK231" s="514"/>
      <c r="CVL231" s="514"/>
      <c r="CVM231" s="514"/>
      <c r="CVN231" s="514"/>
      <c r="CVO231" s="514"/>
      <c r="CVP231" s="514"/>
      <c r="CVQ231" s="514"/>
      <c r="CVR231" s="514"/>
      <c r="CVS231" s="514"/>
      <c r="CVT231" s="514"/>
      <c r="CVU231" s="514"/>
      <c r="CVV231" s="514"/>
      <c r="CVW231" s="514"/>
      <c r="CVX231" s="514"/>
      <c r="CVY231" s="514"/>
      <c r="CVZ231" s="514"/>
      <c r="CWA231" s="514"/>
      <c r="CWB231" s="514"/>
      <c r="CWC231" s="514"/>
      <c r="CWD231" s="514"/>
      <c r="CWE231" s="514"/>
      <c r="CWF231" s="514"/>
      <c r="CWG231" s="514"/>
      <c r="CWH231" s="514"/>
      <c r="CWI231" s="514"/>
      <c r="CWJ231" s="514"/>
      <c r="CWK231" s="514"/>
      <c r="CWL231" s="514"/>
      <c r="CWM231" s="514"/>
      <c r="CWN231" s="514"/>
      <c r="CWO231" s="514"/>
      <c r="CWP231" s="514"/>
      <c r="CWQ231" s="514"/>
      <c r="CWR231" s="514"/>
      <c r="CWS231" s="514"/>
      <c r="CWT231" s="514"/>
      <c r="CWU231" s="514"/>
      <c r="CWV231" s="514"/>
      <c r="CWW231" s="514"/>
      <c r="CWX231" s="514"/>
      <c r="CWY231" s="514"/>
      <c r="CWZ231" s="514"/>
      <c r="CXA231" s="514"/>
      <c r="CXB231" s="514"/>
      <c r="CXC231" s="514"/>
      <c r="CXD231" s="514"/>
      <c r="CXE231" s="514"/>
      <c r="CXF231" s="514"/>
      <c r="CXG231" s="514"/>
      <c r="CXH231" s="514"/>
      <c r="CXI231" s="514"/>
      <c r="CXJ231" s="514"/>
      <c r="CXK231" s="514"/>
      <c r="CXL231" s="514"/>
      <c r="CXM231" s="514"/>
      <c r="CXN231" s="514"/>
      <c r="CXO231" s="514"/>
      <c r="CXP231" s="514"/>
      <c r="CXQ231" s="514"/>
      <c r="CXR231" s="514"/>
      <c r="CXS231" s="514"/>
      <c r="CXT231" s="514"/>
      <c r="CXU231" s="514"/>
      <c r="CXV231" s="514"/>
      <c r="CXW231" s="514"/>
      <c r="CXX231" s="514"/>
      <c r="CXY231" s="514"/>
      <c r="CXZ231" s="514"/>
      <c r="CYA231" s="514"/>
      <c r="CYB231" s="514"/>
      <c r="CYC231" s="514"/>
      <c r="CYD231" s="514"/>
      <c r="CYE231" s="514"/>
      <c r="CYF231" s="514"/>
      <c r="CYG231" s="514"/>
      <c r="CYH231" s="514"/>
      <c r="CYI231" s="514"/>
      <c r="CYJ231" s="514"/>
      <c r="CYK231" s="514"/>
      <c r="CYL231" s="514"/>
      <c r="CYM231" s="514"/>
      <c r="CYN231" s="514"/>
      <c r="CYO231" s="514"/>
      <c r="CYP231" s="514"/>
      <c r="CYQ231" s="514"/>
      <c r="CYR231" s="514"/>
      <c r="CYS231" s="514"/>
      <c r="CYT231" s="514"/>
      <c r="CYU231" s="514"/>
      <c r="CYV231" s="514"/>
      <c r="CYW231" s="514"/>
      <c r="CYX231" s="514"/>
      <c r="CYY231" s="514"/>
      <c r="CYZ231" s="514"/>
      <c r="CZA231" s="514"/>
      <c r="CZB231" s="514"/>
      <c r="CZC231" s="514"/>
      <c r="CZD231" s="514"/>
      <c r="CZE231" s="514"/>
      <c r="CZF231" s="514"/>
      <c r="CZG231" s="514"/>
      <c r="CZH231" s="514"/>
      <c r="CZI231" s="514"/>
      <c r="CZJ231" s="514"/>
      <c r="CZK231" s="514"/>
      <c r="CZL231" s="514"/>
      <c r="CZM231" s="514"/>
      <c r="CZN231" s="514"/>
      <c r="CZO231" s="514"/>
      <c r="CZP231" s="514"/>
      <c r="CZQ231" s="514"/>
      <c r="CZR231" s="514"/>
      <c r="CZS231" s="514"/>
      <c r="CZT231" s="514"/>
      <c r="CZU231" s="514"/>
      <c r="CZV231" s="514"/>
      <c r="CZW231" s="514"/>
      <c r="CZX231" s="514"/>
      <c r="CZY231" s="514"/>
      <c r="CZZ231" s="514"/>
      <c r="DAA231" s="514"/>
      <c r="DAB231" s="514"/>
      <c r="DAC231" s="514"/>
      <c r="DAD231" s="514"/>
      <c r="DAE231" s="514"/>
      <c r="DAF231" s="514"/>
      <c r="DAG231" s="514"/>
      <c r="DAH231" s="514"/>
      <c r="DAI231" s="514"/>
      <c r="DAJ231" s="514"/>
      <c r="DAK231" s="514"/>
      <c r="DAL231" s="514"/>
      <c r="DAM231" s="514"/>
      <c r="DAN231" s="514"/>
      <c r="DAO231" s="514"/>
      <c r="DAP231" s="514"/>
      <c r="DAQ231" s="514"/>
      <c r="DAR231" s="514"/>
      <c r="DAS231" s="514"/>
      <c r="DAT231" s="514"/>
      <c r="DAU231" s="514"/>
      <c r="DAV231" s="514"/>
      <c r="DAW231" s="514"/>
      <c r="DAX231" s="514"/>
      <c r="DAY231" s="514"/>
      <c r="DAZ231" s="514"/>
      <c r="DBA231" s="514"/>
      <c r="DBB231" s="514"/>
      <c r="DBC231" s="514"/>
      <c r="DBD231" s="514"/>
      <c r="DBE231" s="514"/>
      <c r="DBF231" s="514"/>
      <c r="DBG231" s="514"/>
      <c r="DBH231" s="514"/>
      <c r="DBI231" s="514"/>
      <c r="DBJ231" s="514"/>
      <c r="DBK231" s="514"/>
      <c r="DBL231" s="514"/>
      <c r="DBM231" s="514"/>
      <c r="DBN231" s="514"/>
      <c r="DBO231" s="514"/>
      <c r="DBP231" s="514"/>
      <c r="DBQ231" s="514"/>
      <c r="DBR231" s="514"/>
      <c r="DBS231" s="514"/>
      <c r="DBT231" s="514"/>
      <c r="DBU231" s="514"/>
      <c r="DBV231" s="514"/>
      <c r="DBW231" s="514"/>
      <c r="DBX231" s="514"/>
      <c r="DBY231" s="514"/>
      <c r="DBZ231" s="514"/>
      <c r="DCA231" s="514"/>
      <c r="DCB231" s="514"/>
      <c r="DCC231" s="514"/>
      <c r="DCD231" s="514"/>
      <c r="DCE231" s="514"/>
      <c r="DCF231" s="514"/>
      <c r="DCG231" s="514"/>
      <c r="DCH231" s="514"/>
      <c r="DCI231" s="514"/>
      <c r="DCJ231" s="514"/>
      <c r="DCK231" s="514"/>
      <c r="DCL231" s="514"/>
      <c r="DCM231" s="514"/>
      <c r="DCN231" s="514"/>
      <c r="DCO231" s="514"/>
      <c r="DCP231" s="514"/>
      <c r="DCQ231" s="514"/>
      <c r="DCR231" s="514"/>
      <c r="DCS231" s="514"/>
      <c r="DCT231" s="514"/>
      <c r="DCU231" s="514"/>
      <c r="DCV231" s="514"/>
      <c r="DCW231" s="514"/>
      <c r="DCX231" s="514"/>
      <c r="DCY231" s="514"/>
      <c r="DCZ231" s="514"/>
      <c r="DDA231" s="514"/>
      <c r="DDB231" s="514"/>
      <c r="DDC231" s="514"/>
      <c r="DDD231" s="514"/>
      <c r="DDE231" s="514"/>
      <c r="DDF231" s="514"/>
      <c r="DDG231" s="514"/>
      <c r="DDH231" s="514"/>
      <c r="DDI231" s="514"/>
      <c r="DDJ231" s="514"/>
      <c r="DDK231" s="514"/>
      <c r="DDL231" s="514"/>
      <c r="DDM231" s="514"/>
      <c r="DDN231" s="514"/>
      <c r="DDO231" s="514"/>
      <c r="DDP231" s="514"/>
      <c r="DDQ231" s="514"/>
      <c r="DDR231" s="514"/>
      <c r="DDS231" s="514"/>
      <c r="DDT231" s="514"/>
      <c r="DDU231" s="514"/>
      <c r="DDV231" s="514"/>
      <c r="DDW231" s="514"/>
      <c r="DDX231" s="514"/>
      <c r="DDY231" s="514"/>
      <c r="DDZ231" s="514"/>
      <c r="DEA231" s="514"/>
      <c r="DEB231" s="514"/>
      <c r="DEC231" s="514"/>
      <c r="DED231" s="514"/>
      <c r="DEE231" s="514"/>
      <c r="DEF231" s="514"/>
      <c r="DEG231" s="514"/>
      <c r="DEH231" s="514"/>
      <c r="DEI231" s="514"/>
      <c r="DEJ231" s="514"/>
      <c r="DEK231" s="514"/>
      <c r="DEL231" s="514"/>
      <c r="DEM231" s="514"/>
      <c r="DEN231" s="514"/>
      <c r="DEO231" s="514"/>
      <c r="DEP231" s="514"/>
      <c r="DEQ231" s="514"/>
      <c r="DER231" s="514"/>
      <c r="DES231" s="514"/>
      <c r="DET231" s="514"/>
      <c r="DEU231" s="514"/>
      <c r="DEV231" s="514"/>
      <c r="DEW231" s="514"/>
      <c r="DEX231" s="514"/>
      <c r="DEY231" s="514"/>
      <c r="DEZ231" s="514"/>
      <c r="DFA231" s="514"/>
      <c r="DFB231" s="514"/>
      <c r="DFC231" s="514"/>
      <c r="DFD231" s="514"/>
      <c r="DFE231" s="514"/>
      <c r="DFF231" s="514"/>
      <c r="DFG231" s="514"/>
      <c r="DFH231" s="514"/>
      <c r="DFI231" s="514"/>
      <c r="DFJ231" s="514"/>
      <c r="DFK231" s="514"/>
      <c r="DFL231" s="514"/>
      <c r="DFM231" s="514"/>
      <c r="DFN231" s="514"/>
      <c r="DFO231" s="514"/>
      <c r="DFP231" s="514"/>
      <c r="DFQ231" s="514"/>
      <c r="DFR231" s="514"/>
      <c r="DFS231" s="514"/>
      <c r="DFT231" s="514"/>
      <c r="DFU231" s="514"/>
      <c r="DFV231" s="514"/>
      <c r="DFW231" s="514"/>
      <c r="DFX231" s="514"/>
      <c r="DFY231" s="514"/>
      <c r="DFZ231" s="514"/>
      <c r="DGA231" s="514"/>
      <c r="DGB231" s="514"/>
      <c r="DGC231" s="514"/>
      <c r="DGD231" s="514"/>
      <c r="DGE231" s="514"/>
      <c r="DGF231" s="514"/>
      <c r="DGG231" s="514"/>
      <c r="DGH231" s="514"/>
      <c r="DGI231" s="514"/>
      <c r="DGJ231" s="514"/>
      <c r="DGK231" s="514"/>
      <c r="DGL231" s="514"/>
      <c r="DGM231" s="514"/>
      <c r="DGN231" s="514"/>
      <c r="DGO231" s="514"/>
      <c r="DGP231" s="514"/>
      <c r="DGQ231" s="514"/>
      <c r="DGR231" s="514"/>
      <c r="DGS231" s="514"/>
      <c r="DGT231" s="514"/>
      <c r="DGU231" s="514"/>
      <c r="DGV231" s="514"/>
      <c r="DGW231" s="514"/>
      <c r="DGX231" s="514"/>
      <c r="DGY231" s="514"/>
      <c r="DGZ231" s="514"/>
      <c r="DHA231" s="514"/>
      <c r="DHB231" s="514"/>
      <c r="DHC231" s="514"/>
      <c r="DHD231" s="514"/>
      <c r="DHE231" s="514"/>
      <c r="DHF231" s="514"/>
      <c r="DHG231" s="514"/>
      <c r="DHH231" s="514"/>
      <c r="DHI231" s="514"/>
      <c r="DHJ231" s="514"/>
      <c r="DHK231" s="514"/>
      <c r="DHL231" s="514"/>
      <c r="DHM231" s="514"/>
      <c r="DHN231" s="514"/>
      <c r="DHO231" s="514"/>
      <c r="DHP231" s="514"/>
      <c r="DHQ231" s="514"/>
      <c r="DHR231" s="514"/>
      <c r="DHS231" s="514"/>
      <c r="DHT231" s="514"/>
      <c r="DHU231" s="514"/>
      <c r="DHV231" s="514"/>
      <c r="DHW231" s="514"/>
      <c r="DHX231" s="514"/>
      <c r="DHY231" s="514"/>
      <c r="DHZ231" s="514"/>
      <c r="DIA231" s="514"/>
      <c r="DIB231" s="514"/>
      <c r="DIC231" s="514"/>
      <c r="DID231" s="514"/>
      <c r="DIE231" s="514"/>
      <c r="DIF231" s="514"/>
      <c r="DIG231" s="514"/>
      <c r="DIH231" s="514"/>
      <c r="DII231" s="514"/>
      <c r="DIJ231" s="514"/>
      <c r="DIK231" s="514"/>
      <c r="DIL231" s="514"/>
      <c r="DIM231" s="514"/>
      <c r="DIN231" s="514"/>
      <c r="DIO231" s="514"/>
      <c r="DIP231" s="514"/>
      <c r="DIQ231" s="514"/>
      <c r="DIR231" s="514"/>
      <c r="DIS231" s="514"/>
      <c r="DIT231" s="514"/>
      <c r="DIU231" s="514"/>
      <c r="DIV231" s="514"/>
      <c r="DIW231" s="514"/>
      <c r="DIX231" s="514"/>
      <c r="DIY231" s="514"/>
      <c r="DIZ231" s="514"/>
      <c r="DJA231" s="514"/>
      <c r="DJB231" s="514"/>
      <c r="DJC231" s="514"/>
      <c r="DJD231" s="514"/>
      <c r="DJE231" s="514"/>
      <c r="DJF231" s="514"/>
      <c r="DJG231" s="514"/>
      <c r="DJH231" s="514"/>
      <c r="DJI231" s="514"/>
      <c r="DJJ231" s="514"/>
      <c r="DJK231" s="514"/>
      <c r="DJL231" s="514"/>
      <c r="DJM231" s="514"/>
      <c r="DJN231" s="514"/>
      <c r="DJO231" s="514"/>
      <c r="DJP231" s="514"/>
      <c r="DJQ231" s="514"/>
      <c r="DJR231" s="514"/>
      <c r="DJS231" s="514"/>
      <c r="DJT231" s="514"/>
      <c r="DJU231" s="514"/>
      <c r="DJV231" s="514"/>
      <c r="DJW231" s="514"/>
      <c r="DJX231" s="514"/>
      <c r="DJY231" s="514"/>
      <c r="DJZ231" s="514"/>
      <c r="DKA231" s="514"/>
      <c r="DKB231" s="514"/>
      <c r="DKC231" s="514"/>
      <c r="DKD231" s="514"/>
      <c r="DKE231" s="514"/>
      <c r="DKF231" s="514"/>
      <c r="DKG231" s="514"/>
      <c r="DKH231" s="514"/>
      <c r="DKI231" s="514"/>
      <c r="DKJ231" s="514"/>
      <c r="DKK231" s="514"/>
      <c r="DKL231" s="514"/>
      <c r="DKM231" s="514"/>
      <c r="DKN231" s="514"/>
      <c r="DKO231" s="514"/>
      <c r="DKP231" s="514"/>
      <c r="DKQ231" s="514"/>
      <c r="DKR231" s="514"/>
      <c r="DKS231" s="514"/>
      <c r="DKT231" s="514"/>
      <c r="DKU231" s="514"/>
      <c r="DKV231" s="514"/>
      <c r="DKW231" s="514"/>
      <c r="DKX231" s="514"/>
      <c r="DKY231" s="514"/>
      <c r="DKZ231" s="514"/>
      <c r="DLA231" s="514"/>
      <c r="DLB231" s="514"/>
      <c r="DLC231" s="514"/>
      <c r="DLD231" s="514"/>
      <c r="DLE231" s="514"/>
      <c r="DLF231" s="514"/>
      <c r="DLG231" s="514"/>
      <c r="DLH231" s="514"/>
      <c r="DLI231" s="514"/>
      <c r="DLJ231" s="514"/>
      <c r="DLK231" s="514"/>
      <c r="DLL231" s="514"/>
      <c r="DLM231" s="514"/>
      <c r="DLN231" s="514"/>
      <c r="DLO231" s="514"/>
      <c r="DLP231" s="514"/>
      <c r="DLQ231" s="514"/>
      <c r="DLR231" s="514"/>
      <c r="DLS231" s="514"/>
      <c r="DLT231" s="514"/>
      <c r="DLU231" s="514"/>
      <c r="DLV231" s="514"/>
      <c r="DLW231" s="514"/>
      <c r="DLX231" s="514"/>
      <c r="DLY231" s="514"/>
      <c r="DLZ231" s="514"/>
      <c r="DMA231" s="514"/>
      <c r="DMB231" s="514"/>
      <c r="DMC231" s="514"/>
      <c r="DMD231" s="514"/>
      <c r="DME231" s="514"/>
      <c r="DMF231" s="514"/>
      <c r="DMG231" s="514"/>
      <c r="DMH231" s="514"/>
      <c r="DMI231" s="514"/>
      <c r="DMJ231" s="514"/>
      <c r="DMK231" s="514"/>
      <c r="DML231" s="514"/>
      <c r="DMM231" s="514"/>
      <c r="DMN231" s="514"/>
      <c r="DMO231" s="514"/>
      <c r="DMP231" s="514"/>
      <c r="DMQ231" s="514"/>
      <c r="DMR231" s="514"/>
      <c r="DMS231" s="514"/>
      <c r="DMT231" s="514"/>
      <c r="DMU231" s="514"/>
      <c r="DMV231" s="514"/>
      <c r="DMW231" s="514"/>
      <c r="DMX231" s="514"/>
      <c r="DMY231" s="514"/>
      <c r="DMZ231" s="514"/>
      <c r="DNA231" s="514"/>
      <c r="DNB231" s="514"/>
      <c r="DNC231" s="514"/>
      <c r="DND231" s="514"/>
      <c r="DNE231" s="514"/>
      <c r="DNF231" s="514"/>
      <c r="DNG231" s="514"/>
      <c r="DNH231" s="514"/>
      <c r="DNI231" s="514"/>
      <c r="DNJ231" s="514"/>
      <c r="DNK231" s="514"/>
      <c r="DNL231" s="514"/>
      <c r="DNM231" s="514"/>
      <c r="DNN231" s="514"/>
      <c r="DNO231" s="514"/>
      <c r="DNP231" s="514"/>
      <c r="DNQ231" s="514"/>
      <c r="DNR231" s="514"/>
      <c r="DNS231" s="514"/>
      <c r="DNT231" s="514"/>
      <c r="DNU231" s="514"/>
      <c r="DNV231" s="514"/>
      <c r="DNW231" s="514"/>
      <c r="DNX231" s="514"/>
      <c r="DNY231" s="514"/>
      <c r="DNZ231" s="514"/>
      <c r="DOA231" s="514"/>
      <c r="DOB231" s="514"/>
      <c r="DOC231" s="514"/>
      <c r="DOD231" s="514"/>
      <c r="DOE231" s="514"/>
      <c r="DOF231" s="514"/>
      <c r="DOG231" s="514"/>
      <c r="DOH231" s="514"/>
      <c r="DOI231" s="514"/>
      <c r="DOJ231" s="514"/>
      <c r="DOK231" s="514"/>
      <c r="DOL231" s="514"/>
      <c r="DOM231" s="514"/>
      <c r="DON231" s="514"/>
      <c r="DOO231" s="514"/>
      <c r="DOP231" s="514"/>
      <c r="DOQ231" s="514"/>
      <c r="DOR231" s="514"/>
      <c r="DOS231" s="514"/>
      <c r="DOT231" s="514"/>
      <c r="DOU231" s="514"/>
      <c r="DOV231" s="514"/>
      <c r="DOW231" s="514"/>
      <c r="DOX231" s="514"/>
      <c r="DOY231" s="514"/>
      <c r="DOZ231" s="514"/>
      <c r="DPA231" s="514"/>
      <c r="DPB231" s="514"/>
      <c r="DPC231" s="514"/>
      <c r="DPD231" s="514"/>
      <c r="DPE231" s="514"/>
      <c r="DPF231" s="514"/>
      <c r="DPG231" s="514"/>
      <c r="DPH231" s="514"/>
      <c r="DPI231" s="514"/>
      <c r="DPJ231" s="514"/>
      <c r="DPK231" s="514"/>
      <c r="DPL231" s="514"/>
      <c r="DPM231" s="514"/>
      <c r="DPN231" s="514"/>
      <c r="DPO231" s="514"/>
      <c r="DPP231" s="514"/>
      <c r="DPQ231" s="514"/>
      <c r="DPR231" s="514"/>
      <c r="DPS231" s="514"/>
      <c r="DPT231" s="514"/>
      <c r="DPU231" s="514"/>
      <c r="DPV231" s="514"/>
      <c r="DPW231" s="514"/>
      <c r="DPX231" s="514"/>
      <c r="DPY231" s="514"/>
      <c r="DPZ231" s="514"/>
      <c r="DQA231" s="514"/>
      <c r="DQB231" s="514"/>
      <c r="DQC231" s="514"/>
      <c r="DQD231" s="514"/>
      <c r="DQE231" s="514"/>
      <c r="DQF231" s="514"/>
      <c r="DQG231" s="514"/>
      <c r="DQH231" s="514"/>
      <c r="DQI231" s="514"/>
      <c r="DQJ231" s="514"/>
      <c r="DQK231" s="514"/>
      <c r="DQL231" s="514"/>
      <c r="DQM231" s="514"/>
      <c r="DQN231" s="514"/>
      <c r="DQO231" s="514"/>
      <c r="DQP231" s="514"/>
      <c r="DQQ231" s="514"/>
      <c r="DQR231" s="514"/>
      <c r="DQS231" s="514"/>
      <c r="DQT231" s="514"/>
      <c r="DQU231" s="514"/>
      <c r="DQV231" s="514"/>
      <c r="DQW231" s="514"/>
      <c r="DQX231" s="514"/>
      <c r="DQY231" s="514"/>
      <c r="DQZ231" s="514"/>
      <c r="DRA231" s="514"/>
      <c r="DRB231" s="514"/>
      <c r="DRC231" s="514"/>
      <c r="DRD231" s="514"/>
      <c r="DRE231" s="514"/>
      <c r="DRF231" s="514"/>
      <c r="DRG231" s="514"/>
      <c r="DRH231" s="514"/>
      <c r="DRI231" s="514"/>
      <c r="DRJ231" s="514"/>
      <c r="DRK231" s="514"/>
      <c r="DRL231" s="514"/>
      <c r="DRM231" s="514"/>
      <c r="DRN231" s="514"/>
      <c r="DRO231" s="514"/>
      <c r="DRP231" s="514"/>
      <c r="DRQ231" s="514"/>
      <c r="DRR231" s="514"/>
      <c r="DRS231" s="514"/>
      <c r="DRT231" s="514"/>
      <c r="DRU231" s="514"/>
      <c r="DRV231" s="514"/>
      <c r="DRW231" s="514"/>
      <c r="DRX231" s="514"/>
      <c r="DRY231" s="514"/>
      <c r="DRZ231" s="514"/>
      <c r="DSA231" s="514"/>
      <c r="DSB231" s="514"/>
      <c r="DSC231" s="514"/>
      <c r="DSD231" s="514"/>
      <c r="DSE231" s="514"/>
      <c r="DSF231" s="514"/>
      <c r="DSG231" s="514"/>
      <c r="DSH231" s="514"/>
      <c r="DSI231" s="514"/>
      <c r="DSJ231" s="514"/>
      <c r="DSK231" s="514"/>
      <c r="DSL231" s="514"/>
      <c r="DSM231" s="514"/>
      <c r="DSN231" s="514"/>
      <c r="DSO231" s="514"/>
      <c r="DSP231" s="514"/>
      <c r="DSQ231" s="514"/>
      <c r="DSR231" s="514"/>
      <c r="DSS231" s="514"/>
      <c r="DST231" s="514"/>
      <c r="DSU231" s="514"/>
      <c r="DSV231" s="514"/>
      <c r="DSW231" s="514"/>
      <c r="DSX231" s="514"/>
      <c r="DSY231" s="514"/>
      <c r="DSZ231" s="514"/>
      <c r="DTA231" s="514"/>
      <c r="DTB231" s="514"/>
      <c r="DTC231" s="514"/>
      <c r="DTD231" s="514"/>
      <c r="DTE231" s="514"/>
      <c r="DTF231" s="514"/>
      <c r="DTG231" s="514"/>
      <c r="DTH231" s="514"/>
      <c r="DTI231" s="514"/>
      <c r="DTJ231" s="514"/>
      <c r="DTK231" s="514"/>
      <c r="DTL231" s="514"/>
      <c r="DTM231" s="514"/>
      <c r="DTN231" s="514"/>
      <c r="DTO231" s="514"/>
      <c r="DTP231" s="514"/>
      <c r="DTQ231" s="514"/>
      <c r="DTR231" s="514"/>
      <c r="DTS231" s="514"/>
      <c r="DTT231" s="514"/>
      <c r="DTU231" s="514"/>
      <c r="DTV231" s="514"/>
      <c r="DTW231" s="514"/>
      <c r="DTX231" s="514"/>
      <c r="DTY231" s="514"/>
      <c r="DTZ231" s="514"/>
      <c r="DUA231" s="514"/>
      <c r="DUB231" s="514"/>
      <c r="DUC231" s="514"/>
      <c r="DUD231" s="514"/>
      <c r="DUE231" s="514"/>
      <c r="DUF231" s="514"/>
      <c r="DUG231" s="514"/>
      <c r="DUH231" s="514"/>
      <c r="DUI231" s="514"/>
      <c r="DUJ231" s="514"/>
      <c r="DUK231" s="514"/>
      <c r="DUL231" s="514"/>
      <c r="DUM231" s="514"/>
      <c r="DUN231" s="514"/>
      <c r="DUO231" s="514"/>
      <c r="DUP231" s="514"/>
      <c r="DUQ231" s="514"/>
      <c r="DUR231" s="514"/>
      <c r="DUS231" s="514"/>
      <c r="DUT231" s="514"/>
      <c r="DUU231" s="514"/>
      <c r="DUV231" s="514"/>
      <c r="DUW231" s="514"/>
      <c r="DUX231" s="514"/>
      <c r="DUY231" s="514"/>
      <c r="DUZ231" s="514"/>
      <c r="DVA231" s="514"/>
      <c r="DVB231" s="514"/>
      <c r="DVC231" s="514"/>
      <c r="DVD231" s="514"/>
      <c r="DVE231" s="514"/>
      <c r="DVF231" s="514"/>
      <c r="DVG231" s="514"/>
      <c r="DVH231" s="514"/>
      <c r="DVI231" s="514"/>
      <c r="DVJ231" s="514"/>
      <c r="DVK231" s="514"/>
      <c r="DVL231" s="514"/>
      <c r="DVM231" s="514"/>
      <c r="DVN231" s="514"/>
      <c r="DVO231" s="514"/>
      <c r="DVP231" s="514"/>
      <c r="DVQ231" s="514"/>
      <c r="DVR231" s="514"/>
      <c r="DVS231" s="514"/>
      <c r="DVT231" s="514"/>
      <c r="DVU231" s="514"/>
      <c r="DVV231" s="514"/>
      <c r="DVW231" s="514"/>
      <c r="DVX231" s="514"/>
      <c r="DVY231" s="514"/>
      <c r="DVZ231" s="514"/>
      <c r="DWA231" s="514"/>
      <c r="DWB231" s="514"/>
      <c r="DWC231" s="514"/>
      <c r="DWD231" s="514"/>
      <c r="DWE231" s="514"/>
      <c r="DWF231" s="514"/>
      <c r="DWG231" s="514"/>
      <c r="DWH231" s="514"/>
      <c r="DWI231" s="514"/>
      <c r="DWJ231" s="514"/>
      <c r="DWK231" s="514"/>
      <c r="DWL231" s="514"/>
      <c r="DWM231" s="514"/>
      <c r="DWN231" s="514"/>
      <c r="DWO231" s="514"/>
      <c r="DWP231" s="514"/>
      <c r="DWQ231" s="514"/>
      <c r="DWR231" s="514"/>
      <c r="DWS231" s="514"/>
      <c r="DWT231" s="514"/>
      <c r="DWU231" s="514"/>
      <c r="DWV231" s="514"/>
      <c r="DWW231" s="514"/>
      <c r="DWX231" s="514"/>
      <c r="DWY231" s="514"/>
      <c r="DWZ231" s="514"/>
      <c r="DXA231" s="514"/>
      <c r="DXB231" s="514"/>
      <c r="DXC231" s="514"/>
      <c r="DXD231" s="514"/>
      <c r="DXE231" s="514"/>
      <c r="DXF231" s="514"/>
      <c r="DXG231" s="514"/>
      <c r="DXH231" s="514"/>
      <c r="DXI231" s="514"/>
      <c r="DXJ231" s="514"/>
      <c r="DXK231" s="514"/>
      <c r="DXL231" s="514"/>
      <c r="DXM231" s="514"/>
      <c r="DXN231" s="514"/>
      <c r="DXO231" s="514"/>
      <c r="DXP231" s="514"/>
      <c r="DXQ231" s="514"/>
      <c r="DXR231" s="514"/>
      <c r="DXS231" s="514"/>
      <c r="DXT231" s="514"/>
      <c r="DXU231" s="514"/>
      <c r="DXV231" s="514"/>
      <c r="DXW231" s="514"/>
      <c r="DXX231" s="514"/>
      <c r="DXY231" s="514"/>
      <c r="DXZ231" s="514"/>
      <c r="DYA231" s="514"/>
      <c r="DYB231" s="514"/>
      <c r="DYC231" s="514"/>
      <c r="DYD231" s="514"/>
      <c r="DYE231" s="514"/>
      <c r="DYF231" s="514"/>
      <c r="DYG231" s="514"/>
      <c r="DYH231" s="514"/>
      <c r="DYI231" s="514"/>
      <c r="DYJ231" s="514"/>
      <c r="DYK231" s="514"/>
      <c r="DYL231" s="514"/>
      <c r="DYM231" s="514"/>
      <c r="DYN231" s="514"/>
      <c r="DYO231" s="514"/>
      <c r="DYP231" s="514"/>
      <c r="DYQ231" s="514"/>
      <c r="DYR231" s="514"/>
      <c r="DYS231" s="514"/>
      <c r="DYT231" s="514"/>
      <c r="DYU231" s="514"/>
      <c r="DYV231" s="514"/>
      <c r="DYW231" s="514"/>
      <c r="DYX231" s="514"/>
      <c r="DYY231" s="514"/>
      <c r="DYZ231" s="514"/>
      <c r="DZA231" s="514"/>
      <c r="DZB231" s="514"/>
      <c r="DZC231" s="514"/>
      <c r="DZD231" s="514"/>
      <c r="DZE231" s="514"/>
      <c r="DZF231" s="514"/>
      <c r="DZG231" s="514"/>
      <c r="DZH231" s="514"/>
      <c r="DZI231" s="514"/>
      <c r="DZJ231" s="514"/>
      <c r="DZK231" s="514"/>
      <c r="DZL231" s="514"/>
      <c r="DZM231" s="514"/>
      <c r="DZN231" s="514"/>
      <c r="DZO231" s="514"/>
      <c r="DZP231" s="514"/>
      <c r="DZQ231" s="514"/>
      <c r="DZR231" s="514"/>
      <c r="DZS231" s="514"/>
      <c r="DZT231" s="514"/>
      <c r="DZU231" s="514"/>
      <c r="DZV231" s="514"/>
      <c r="DZW231" s="514"/>
      <c r="DZX231" s="514"/>
      <c r="DZY231" s="514"/>
      <c r="DZZ231" s="514"/>
      <c r="EAA231" s="514"/>
      <c r="EAB231" s="514"/>
      <c r="EAC231" s="514"/>
      <c r="EAD231" s="514"/>
      <c r="EAE231" s="514"/>
      <c r="EAF231" s="514"/>
      <c r="EAG231" s="514"/>
      <c r="EAH231" s="514"/>
      <c r="EAI231" s="514"/>
      <c r="EAJ231" s="514"/>
      <c r="EAK231" s="514"/>
      <c r="EAL231" s="514"/>
      <c r="EAM231" s="514"/>
      <c r="EAN231" s="514"/>
      <c r="EAO231" s="514"/>
      <c r="EAP231" s="514"/>
      <c r="EAQ231" s="514"/>
      <c r="EAR231" s="514"/>
      <c r="EAS231" s="514"/>
      <c r="EAT231" s="514"/>
      <c r="EAU231" s="514"/>
      <c r="EAV231" s="514"/>
      <c r="EAW231" s="514"/>
      <c r="EAX231" s="514"/>
      <c r="EAY231" s="514"/>
      <c r="EAZ231" s="514"/>
      <c r="EBA231" s="514"/>
      <c r="EBB231" s="514"/>
      <c r="EBC231" s="514"/>
      <c r="EBD231" s="514"/>
      <c r="EBE231" s="514"/>
      <c r="EBF231" s="514"/>
      <c r="EBG231" s="514"/>
      <c r="EBH231" s="514"/>
      <c r="EBI231" s="514"/>
      <c r="EBJ231" s="514"/>
      <c r="EBK231" s="514"/>
      <c r="EBL231" s="514"/>
      <c r="EBM231" s="514"/>
      <c r="EBN231" s="514"/>
      <c r="EBO231" s="514"/>
      <c r="EBP231" s="514"/>
      <c r="EBQ231" s="514"/>
      <c r="EBR231" s="514"/>
      <c r="EBS231" s="514"/>
      <c r="EBT231" s="514"/>
      <c r="EBU231" s="514"/>
      <c r="EBV231" s="514"/>
      <c r="EBW231" s="514"/>
      <c r="EBX231" s="514"/>
      <c r="EBY231" s="514"/>
      <c r="EBZ231" s="514"/>
      <c r="ECA231" s="514"/>
      <c r="ECB231" s="514"/>
      <c r="ECC231" s="514"/>
      <c r="ECD231" s="514"/>
      <c r="ECE231" s="514"/>
      <c r="ECF231" s="514"/>
      <c r="ECG231" s="514"/>
      <c r="ECH231" s="514"/>
      <c r="ECI231" s="514"/>
      <c r="ECJ231" s="514"/>
      <c r="ECK231" s="514"/>
      <c r="ECL231" s="514"/>
      <c r="ECM231" s="514"/>
      <c r="ECN231" s="514"/>
      <c r="ECO231" s="514"/>
      <c r="ECP231" s="514"/>
      <c r="ECQ231" s="514"/>
      <c r="ECR231" s="514"/>
      <c r="ECS231" s="514"/>
      <c r="ECT231" s="514"/>
      <c r="ECU231" s="514"/>
      <c r="ECV231" s="514"/>
      <c r="ECW231" s="514"/>
      <c r="ECX231" s="514"/>
      <c r="ECY231" s="514"/>
      <c r="ECZ231" s="514"/>
      <c r="EDA231" s="514"/>
      <c r="EDB231" s="514"/>
      <c r="EDC231" s="514"/>
      <c r="EDD231" s="514"/>
      <c r="EDE231" s="514"/>
      <c r="EDF231" s="514"/>
      <c r="EDG231" s="514"/>
      <c r="EDH231" s="514"/>
      <c r="EDI231" s="514"/>
      <c r="EDJ231" s="514"/>
      <c r="EDK231" s="514"/>
      <c r="EDL231" s="514"/>
      <c r="EDM231" s="514"/>
      <c r="EDN231" s="514"/>
      <c r="EDO231" s="514"/>
      <c r="EDP231" s="514"/>
      <c r="EDQ231" s="514"/>
      <c r="EDR231" s="514"/>
      <c r="EDS231" s="514"/>
      <c r="EDT231" s="514"/>
      <c r="EDU231" s="514"/>
      <c r="EDV231" s="514"/>
      <c r="EDW231" s="514"/>
      <c r="EDX231" s="514"/>
      <c r="EDY231" s="514"/>
      <c r="EDZ231" s="514"/>
      <c r="EEA231" s="514"/>
      <c r="EEB231" s="514"/>
      <c r="EEC231" s="514"/>
      <c r="EED231" s="514"/>
      <c r="EEE231" s="514"/>
      <c r="EEF231" s="514"/>
      <c r="EEG231" s="514"/>
      <c r="EEH231" s="514"/>
      <c r="EEI231" s="514"/>
      <c r="EEJ231" s="514"/>
      <c r="EEK231" s="514"/>
      <c r="EEL231" s="514"/>
      <c r="EEM231" s="514"/>
      <c r="EEN231" s="514"/>
      <c r="EEO231" s="514"/>
      <c r="EEP231" s="514"/>
      <c r="EEQ231" s="514"/>
      <c r="EER231" s="514"/>
      <c r="EES231" s="514"/>
      <c r="EET231" s="514"/>
      <c r="EEU231" s="514"/>
      <c r="EEV231" s="514"/>
      <c r="EEW231" s="514"/>
      <c r="EEX231" s="514"/>
      <c r="EEY231" s="514"/>
      <c r="EEZ231" s="514"/>
      <c r="EFA231" s="514"/>
      <c r="EFB231" s="514"/>
      <c r="EFC231" s="514"/>
      <c r="EFD231" s="514"/>
      <c r="EFE231" s="514"/>
      <c r="EFF231" s="514"/>
      <c r="EFG231" s="514"/>
      <c r="EFH231" s="514"/>
      <c r="EFI231" s="514"/>
      <c r="EFJ231" s="514"/>
      <c r="EFK231" s="514"/>
      <c r="EFL231" s="514"/>
      <c r="EFM231" s="514"/>
      <c r="EFN231" s="514"/>
      <c r="EFO231" s="514"/>
      <c r="EFP231" s="514"/>
      <c r="EFQ231" s="514"/>
      <c r="EFR231" s="514"/>
      <c r="EFS231" s="514"/>
      <c r="EFT231" s="514"/>
      <c r="EFU231" s="514"/>
      <c r="EFV231" s="514"/>
      <c r="EFW231" s="514"/>
      <c r="EFX231" s="514"/>
      <c r="EFY231" s="514"/>
      <c r="EFZ231" s="514"/>
      <c r="EGA231" s="514"/>
      <c r="EGB231" s="514"/>
      <c r="EGC231" s="514"/>
      <c r="EGD231" s="514"/>
      <c r="EGE231" s="514"/>
      <c r="EGF231" s="514"/>
      <c r="EGG231" s="514"/>
      <c r="EGH231" s="514"/>
      <c r="EGI231" s="514"/>
      <c r="EGJ231" s="514"/>
      <c r="EGK231" s="514"/>
      <c r="EGL231" s="514"/>
      <c r="EGM231" s="514"/>
      <c r="EGN231" s="514"/>
      <c r="EGO231" s="514"/>
      <c r="EGP231" s="514"/>
      <c r="EGQ231" s="514"/>
      <c r="EGR231" s="514"/>
      <c r="EGS231" s="514"/>
      <c r="EGT231" s="514"/>
      <c r="EGU231" s="514"/>
      <c r="EGV231" s="514"/>
      <c r="EGW231" s="514"/>
      <c r="EGX231" s="514"/>
      <c r="EGY231" s="514"/>
      <c r="EGZ231" s="514"/>
      <c r="EHA231" s="514"/>
      <c r="EHB231" s="514"/>
      <c r="EHC231" s="514"/>
      <c r="EHD231" s="514"/>
      <c r="EHE231" s="514"/>
      <c r="EHF231" s="514"/>
      <c r="EHG231" s="514"/>
      <c r="EHH231" s="514"/>
      <c r="EHI231" s="514"/>
      <c r="EHJ231" s="514"/>
      <c r="EHK231" s="514"/>
      <c r="EHL231" s="514"/>
      <c r="EHM231" s="514"/>
      <c r="EHN231" s="514"/>
      <c r="EHO231" s="514"/>
      <c r="EHP231" s="514"/>
      <c r="EHQ231" s="514"/>
      <c r="EHR231" s="514"/>
      <c r="EHS231" s="514"/>
      <c r="EHT231" s="514"/>
      <c r="EHU231" s="514"/>
      <c r="EHV231" s="514"/>
      <c r="EHW231" s="514"/>
      <c r="EHX231" s="514"/>
      <c r="EHY231" s="514"/>
      <c r="EHZ231" s="514"/>
      <c r="EIA231" s="514"/>
      <c r="EIB231" s="514"/>
      <c r="EIC231" s="514"/>
      <c r="EID231" s="514"/>
      <c r="EIE231" s="514"/>
      <c r="EIF231" s="514"/>
      <c r="EIG231" s="514"/>
      <c r="EIH231" s="514"/>
      <c r="EII231" s="514"/>
      <c r="EIJ231" s="514"/>
      <c r="EIK231" s="514"/>
      <c r="EIL231" s="514"/>
      <c r="EIM231" s="514"/>
      <c r="EIN231" s="514"/>
      <c r="EIO231" s="514"/>
      <c r="EIP231" s="514"/>
      <c r="EIQ231" s="514"/>
      <c r="EIR231" s="514"/>
      <c r="EIS231" s="514"/>
      <c r="EIT231" s="514"/>
      <c r="EIU231" s="514"/>
      <c r="EIV231" s="514"/>
      <c r="EIW231" s="514"/>
      <c r="EIX231" s="514"/>
      <c r="EIY231" s="514"/>
      <c r="EIZ231" s="514"/>
      <c r="EJA231" s="514"/>
      <c r="EJB231" s="514"/>
      <c r="EJC231" s="514"/>
      <c r="EJD231" s="514"/>
      <c r="EJE231" s="514"/>
      <c r="EJF231" s="514"/>
      <c r="EJG231" s="514"/>
      <c r="EJH231" s="514"/>
      <c r="EJI231" s="514"/>
      <c r="EJJ231" s="514"/>
      <c r="EJK231" s="514"/>
      <c r="EJL231" s="514"/>
      <c r="EJM231" s="514"/>
      <c r="EJN231" s="514"/>
      <c r="EJO231" s="514"/>
      <c r="EJP231" s="514"/>
      <c r="EJQ231" s="514"/>
      <c r="EJR231" s="514"/>
      <c r="EJS231" s="514"/>
      <c r="EJT231" s="514"/>
      <c r="EJU231" s="514"/>
      <c r="EJV231" s="514"/>
      <c r="EJW231" s="514"/>
      <c r="EJX231" s="514"/>
      <c r="EJY231" s="514"/>
      <c r="EJZ231" s="514"/>
      <c r="EKA231" s="514"/>
      <c r="EKB231" s="514"/>
      <c r="EKC231" s="514"/>
      <c r="EKD231" s="514"/>
      <c r="EKE231" s="514"/>
      <c r="EKF231" s="514"/>
      <c r="EKG231" s="514"/>
      <c r="EKH231" s="514"/>
      <c r="EKI231" s="514"/>
      <c r="EKJ231" s="514"/>
      <c r="EKK231" s="514"/>
      <c r="EKL231" s="514"/>
      <c r="EKM231" s="514"/>
      <c r="EKN231" s="514"/>
      <c r="EKO231" s="514"/>
      <c r="EKP231" s="514"/>
      <c r="EKQ231" s="514"/>
      <c r="EKR231" s="514"/>
      <c r="EKS231" s="514"/>
      <c r="EKT231" s="514"/>
      <c r="EKU231" s="514"/>
      <c r="EKV231" s="514"/>
      <c r="EKW231" s="514"/>
      <c r="EKX231" s="514"/>
      <c r="EKY231" s="514"/>
      <c r="EKZ231" s="514"/>
      <c r="ELA231" s="514"/>
      <c r="ELB231" s="514"/>
      <c r="ELC231" s="514"/>
      <c r="ELD231" s="514"/>
      <c r="ELE231" s="514"/>
      <c r="ELF231" s="514"/>
      <c r="ELG231" s="514"/>
      <c r="ELH231" s="514"/>
      <c r="ELI231" s="514"/>
      <c r="ELJ231" s="514"/>
      <c r="ELK231" s="514"/>
      <c r="ELL231" s="514"/>
      <c r="ELM231" s="514"/>
      <c r="ELN231" s="514"/>
      <c r="ELO231" s="514"/>
      <c r="ELP231" s="514"/>
      <c r="ELQ231" s="514"/>
      <c r="ELR231" s="514"/>
      <c r="ELS231" s="514"/>
      <c r="ELT231" s="514"/>
      <c r="ELU231" s="514"/>
      <c r="ELV231" s="514"/>
      <c r="ELW231" s="514"/>
      <c r="ELX231" s="514"/>
      <c r="ELY231" s="514"/>
      <c r="ELZ231" s="514"/>
      <c r="EMA231" s="514"/>
      <c r="EMB231" s="514"/>
      <c r="EMC231" s="514"/>
      <c r="EMD231" s="514"/>
      <c r="EME231" s="514"/>
      <c r="EMF231" s="514"/>
      <c r="EMG231" s="514"/>
      <c r="EMH231" s="514"/>
      <c r="EMI231" s="514"/>
      <c r="EMJ231" s="514"/>
      <c r="EMK231" s="514"/>
      <c r="EML231" s="514"/>
      <c r="EMM231" s="514"/>
      <c r="EMN231" s="514"/>
      <c r="EMO231" s="514"/>
      <c r="EMP231" s="514"/>
      <c r="EMQ231" s="514"/>
      <c r="EMR231" s="514"/>
      <c r="EMS231" s="514"/>
      <c r="EMT231" s="514"/>
      <c r="EMU231" s="514"/>
      <c r="EMV231" s="514"/>
      <c r="EMW231" s="514"/>
      <c r="EMX231" s="514"/>
      <c r="EMY231" s="514"/>
      <c r="EMZ231" s="514"/>
      <c r="ENA231" s="514"/>
      <c r="ENB231" s="514"/>
      <c r="ENC231" s="514"/>
      <c r="END231" s="514"/>
      <c r="ENE231" s="514"/>
      <c r="ENF231" s="514"/>
      <c r="ENG231" s="514"/>
      <c r="ENH231" s="514"/>
      <c r="ENI231" s="514"/>
      <c r="ENJ231" s="514"/>
      <c r="ENK231" s="514"/>
      <c r="ENL231" s="514"/>
      <c r="ENM231" s="514"/>
      <c r="ENN231" s="514"/>
      <c r="ENO231" s="514"/>
      <c r="ENP231" s="514"/>
      <c r="ENQ231" s="514"/>
      <c r="ENR231" s="514"/>
      <c r="ENS231" s="514"/>
      <c r="ENT231" s="514"/>
      <c r="ENU231" s="514"/>
      <c r="ENV231" s="514"/>
      <c r="ENW231" s="514"/>
      <c r="ENX231" s="514"/>
      <c r="ENY231" s="514"/>
      <c r="ENZ231" s="514"/>
      <c r="EOA231" s="514"/>
      <c r="EOB231" s="514"/>
      <c r="EOC231" s="514"/>
      <c r="EOD231" s="514"/>
      <c r="EOE231" s="514"/>
      <c r="EOF231" s="514"/>
      <c r="EOG231" s="514"/>
      <c r="EOH231" s="514"/>
      <c r="EOI231" s="514"/>
      <c r="EOJ231" s="514"/>
      <c r="EOK231" s="514"/>
      <c r="EOL231" s="514"/>
      <c r="EOM231" s="514"/>
      <c r="EON231" s="514"/>
      <c r="EOO231" s="514"/>
      <c r="EOP231" s="514"/>
      <c r="EOQ231" s="514"/>
      <c r="EOR231" s="514"/>
      <c r="EOS231" s="514"/>
      <c r="EOT231" s="514"/>
      <c r="EOU231" s="514"/>
      <c r="EOV231" s="514"/>
      <c r="EOW231" s="514"/>
      <c r="EOX231" s="514"/>
      <c r="EOY231" s="514"/>
      <c r="EOZ231" s="514"/>
      <c r="EPA231" s="514"/>
      <c r="EPB231" s="514"/>
      <c r="EPC231" s="514"/>
      <c r="EPD231" s="514"/>
      <c r="EPE231" s="514"/>
      <c r="EPF231" s="514"/>
      <c r="EPG231" s="514"/>
      <c r="EPH231" s="514"/>
      <c r="EPI231" s="514"/>
      <c r="EPJ231" s="514"/>
      <c r="EPK231" s="514"/>
      <c r="EPL231" s="514"/>
      <c r="EPM231" s="514"/>
      <c r="EPN231" s="514"/>
      <c r="EPO231" s="514"/>
      <c r="EPP231" s="514"/>
      <c r="EPQ231" s="514"/>
      <c r="EPR231" s="514"/>
      <c r="EPS231" s="514"/>
      <c r="EPT231" s="514"/>
      <c r="EPU231" s="514"/>
      <c r="EPV231" s="514"/>
      <c r="EPW231" s="514"/>
      <c r="EPX231" s="514"/>
      <c r="EPY231" s="514"/>
      <c r="EPZ231" s="514"/>
      <c r="EQA231" s="514"/>
      <c r="EQB231" s="514"/>
      <c r="EQC231" s="514"/>
      <c r="EQD231" s="514"/>
      <c r="EQE231" s="514"/>
      <c r="EQF231" s="514"/>
      <c r="EQG231" s="514"/>
      <c r="EQH231" s="514"/>
      <c r="EQI231" s="514"/>
      <c r="EQJ231" s="514"/>
      <c r="EQK231" s="514"/>
      <c r="EQL231" s="514"/>
      <c r="EQM231" s="514"/>
      <c r="EQN231" s="514"/>
      <c r="EQO231" s="514"/>
      <c r="EQP231" s="514"/>
      <c r="EQQ231" s="514"/>
      <c r="EQR231" s="514"/>
      <c r="EQS231" s="514"/>
      <c r="EQT231" s="514"/>
      <c r="EQU231" s="514"/>
      <c r="EQV231" s="514"/>
      <c r="EQW231" s="514"/>
      <c r="EQX231" s="514"/>
      <c r="EQY231" s="514"/>
      <c r="EQZ231" s="514"/>
      <c r="ERA231" s="514"/>
      <c r="ERB231" s="514"/>
      <c r="ERC231" s="514"/>
      <c r="ERD231" s="514"/>
      <c r="ERE231" s="514"/>
      <c r="ERF231" s="514"/>
      <c r="ERG231" s="514"/>
      <c r="ERH231" s="514"/>
      <c r="ERI231" s="514"/>
      <c r="ERJ231" s="514"/>
      <c r="ERK231" s="514"/>
      <c r="ERL231" s="514"/>
      <c r="ERM231" s="514"/>
      <c r="ERN231" s="514"/>
      <c r="ERO231" s="514"/>
      <c r="ERP231" s="514"/>
      <c r="ERQ231" s="514"/>
      <c r="ERR231" s="514"/>
      <c r="ERS231" s="514"/>
      <c r="ERT231" s="514"/>
      <c r="ERU231" s="514"/>
      <c r="ERV231" s="514"/>
      <c r="ERW231" s="514"/>
      <c r="ERX231" s="514"/>
      <c r="ERY231" s="514"/>
      <c r="ERZ231" s="514"/>
      <c r="ESA231" s="514"/>
      <c r="ESB231" s="514"/>
      <c r="ESC231" s="514"/>
      <c r="ESD231" s="514"/>
      <c r="ESE231" s="514"/>
      <c r="ESF231" s="514"/>
      <c r="ESG231" s="514"/>
      <c r="ESH231" s="514"/>
      <c r="ESI231" s="514"/>
      <c r="ESJ231" s="514"/>
      <c r="ESK231" s="514"/>
      <c r="ESL231" s="514"/>
      <c r="ESM231" s="514"/>
      <c r="ESN231" s="514"/>
      <c r="ESO231" s="514"/>
      <c r="ESP231" s="514"/>
      <c r="ESQ231" s="514"/>
      <c r="ESR231" s="514"/>
      <c r="ESS231" s="514"/>
      <c r="EST231" s="514"/>
      <c r="ESU231" s="514"/>
      <c r="ESV231" s="514"/>
      <c r="ESW231" s="514"/>
      <c r="ESX231" s="514"/>
      <c r="ESY231" s="514"/>
      <c r="ESZ231" s="514"/>
      <c r="ETA231" s="514"/>
      <c r="ETB231" s="514"/>
      <c r="ETC231" s="514"/>
      <c r="ETD231" s="514"/>
      <c r="ETE231" s="514"/>
      <c r="ETF231" s="514"/>
      <c r="ETG231" s="514"/>
      <c r="ETH231" s="514"/>
      <c r="ETI231" s="514"/>
      <c r="ETJ231" s="514"/>
      <c r="ETK231" s="514"/>
      <c r="ETL231" s="514"/>
      <c r="ETM231" s="514"/>
      <c r="ETN231" s="514"/>
      <c r="ETO231" s="514"/>
      <c r="ETP231" s="514"/>
      <c r="ETQ231" s="514"/>
      <c r="ETR231" s="514"/>
      <c r="ETS231" s="514"/>
      <c r="ETT231" s="514"/>
      <c r="ETU231" s="514"/>
      <c r="ETV231" s="514"/>
      <c r="ETW231" s="514"/>
      <c r="ETX231" s="514"/>
      <c r="ETY231" s="514"/>
      <c r="ETZ231" s="514"/>
      <c r="EUA231" s="514"/>
      <c r="EUB231" s="514"/>
      <c r="EUC231" s="514"/>
      <c r="EUD231" s="514"/>
      <c r="EUE231" s="514"/>
      <c r="EUF231" s="514"/>
      <c r="EUG231" s="514"/>
      <c r="EUH231" s="514"/>
      <c r="EUI231" s="514"/>
      <c r="EUJ231" s="514"/>
      <c r="EUK231" s="514"/>
      <c r="EUL231" s="514"/>
      <c r="EUM231" s="514"/>
      <c r="EUN231" s="514"/>
      <c r="EUO231" s="514"/>
      <c r="EUP231" s="514"/>
      <c r="EUQ231" s="514"/>
      <c r="EUR231" s="514"/>
      <c r="EUS231" s="514"/>
      <c r="EUT231" s="514"/>
      <c r="EUU231" s="514"/>
      <c r="EUV231" s="514"/>
      <c r="EUW231" s="514"/>
      <c r="EUX231" s="514"/>
      <c r="EUY231" s="514"/>
      <c r="EUZ231" s="514"/>
      <c r="EVA231" s="514"/>
      <c r="EVB231" s="514"/>
      <c r="EVC231" s="514"/>
      <c r="EVD231" s="514"/>
      <c r="EVE231" s="514"/>
      <c r="EVF231" s="514"/>
      <c r="EVG231" s="514"/>
      <c r="EVH231" s="514"/>
      <c r="EVI231" s="514"/>
      <c r="EVJ231" s="514"/>
      <c r="EVK231" s="514"/>
      <c r="EVL231" s="514"/>
      <c r="EVM231" s="514"/>
      <c r="EVN231" s="514"/>
      <c r="EVO231" s="514"/>
      <c r="EVP231" s="514"/>
      <c r="EVQ231" s="514"/>
      <c r="EVR231" s="514"/>
      <c r="EVS231" s="514"/>
      <c r="EVT231" s="514"/>
      <c r="EVU231" s="514"/>
      <c r="EVV231" s="514"/>
      <c r="EVW231" s="514"/>
      <c r="EVX231" s="514"/>
      <c r="EVY231" s="514"/>
      <c r="EVZ231" s="514"/>
      <c r="EWA231" s="514"/>
      <c r="EWB231" s="514"/>
      <c r="EWC231" s="514"/>
      <c r="EWD231" s="514"/>
      <c r="EWE231" s="514"/>
      <c r="EWF231" s="514"/>
      <c r="EWG231" s="514"/>
      <c r="EWH231" s="514"/>
      <c r="EWI231" s="514"/>
      <c r="EWJ231" s="514"/>
      <c r="EWK231" s="514"/>
      <c r="EWL231" s="514"/>
      <c r="EWM231" s="514"/>
      <c r="EWN231" s="514"/>
      <c r="EWO231" s="514"/>
      <c r="EWP231" s="514"/>
      <c r="EWQ231" s="514"/>
      <c r="EWR231" s="514"/>
      <c r="EWS231" s="514"/>
      <c r="EWT231" s="514"/>
      <c r="EWU231" s="514"/>
      <c r="EWV231" s="514"/>
      <c r="EWW231" s="514"/>
      <c r="EWX231" s="514"/>
      <c r="EWY231" s="514"/>
      <c r="EWZ231" s="514"/>
      <c r="EXA231" s="514"/>
      <c r="EXB231" s="514"/>
      <c r="EXC231" s="514"/>
      <c r="EXD231" s="514"/>
      <c r="EXE231" s="514"/>
      <c r="EXF231" s="514"/>
      <c r="EXG231" s="514"/>
      <c r="EXH231" s="514"/>
      <c r="EXI231" s="514"/>
      <c r="EXJ231" s="514"/>
      <c r="EXK231" s="514"/>
      <c r="EXL231" s="514"/>
      <c r="EXM231" s="514"/>
      <c r="EXN231" s="514"/>
      <c r="EXO231" s="514"/>
      <c r="EXP231" s="514"/>
      <c r="EXQ231" s="514"/>
      <c r="EXR231" s="514"/>
      <c r="EXS231" s="514"/>
      <c r="EXT231" s="514"/>
      <c r="EXU231" s="514"/>
      <c r="EXV231" s="514"/>
      <c r="EXW231" s="514"/>
      <c r="EXX231" s="514"/>
      <c r="EXY231" s="514"/>
      <c r="EXZ231" s="514"/>
      <c r="EYA231" s="514"/>
      <c r="EYB231" s="514"/>
      <c r="EYC231" s="514"/>
      <c r="EYD231" s="514"/>
      <c r="EYE231" s="514"/>
      <c r="EYF231" s="514"/>
      <c r="EYG231" s="514"/>
      <c r="EYH231" s="514"/>
      <c r="EYI231" s="514"/>
      <c r="EYJ231" s="514"/>
      <c r="EYK231" s="514"/>
      <c r="EYL231" s="514"/>
      <c r="EYM231" s="514"/>
      <c r="EYN231" s="514"/>
      <c r="EYO231" s="514"/>
      <c r="EYP231" s="514"/>
      <c r="EYQ231" s="514"/>
      <c r="EYR231" s="514"/>
      <c r="EYS231" s="514"/>
      <c r="EYT231" s="514"/>
      <c r="EYU231" s="514"/>
      <c r="EYV231" s="514"/>
      <c r="EYW231" s="514"/>
      <c r="EYX231" s="514"/>
      <c r="EYY231" s="514"/>
      <c r="EYZ231" s="514"/>
      <c r="EZA231" s="514"/>
      <c r="EZB231" s="514"/>
      <c r="EZC231" s="514"/>
      <c r="EZD231" s="514"/>
      <c r="EZE231" s="514"/>
      <c r="EZF231" s="514"/>
      <c r="EZG231" s="514"/>
      <c r="EZH231" s="514"/>
      <c r="EZI231" s="514"/>
      <c r="EZJ231" s="514"/>
      <c r="EZK231" s="514"/>
      <c r="EZL231" s="514"/>
      <c r="EZM231" s="514"/>
      <c r="EZN231" s="514"/>
      <c r="EZO231" s="514"/>
      <c r="EZP231" s="514"/>
      <c r="EZQ231" s="514"/>
      <c r="EZR231" s="514"/>
      <c r="EZS231" s="514"/>
      <c r="EZT231" s="514"/>
      <c r="EZU231" s="514"/>
      <c r="EZV231" s="514"/>
      <c r="EZW231" s="514"/>
      <c r="EZX231" s="514"/>
      <c r="EZY231" s="514"/>
      <c r="EZZ231" s="514"/>
      <c r="FAA231" s="514"/>
      <c r="FAB231" s="514"/>
      <c r="FAC231" s="514"/>
      <c r="FAD231" s="514"/>
      <c r="FAE231" s="514"/>
      <c r="FAF231" s="514"/>
      <c r="FAG231" s="514"/>
      <c r="FAH231" s="514"/>
      <c r="FAI231" s="514"/>
      <c r="FAJ231" s="514"/>
      <c r="FAK231" s="514"/>
      <c r="FAL231" s="514"/>
      <c r="FAM231" s="514"/>
      <c r="FAN231" s="514"/>
      <c r="FAO231" s="514"/>
      <c r="FAP231" s="514"/>
      <c r="FAQ231" s="514"/>
      <c r="FAR231" s="514"/>
      <c r="FAS231" s="514"/>
      <c r="FAT231" s="514"/>
      <c r="FAU231" s="514"/>
      <c r="FAV231" s="514"/>
      <c r="FAW231" s="514"/>
      <c r="FAX231" s="514"/>
      <c r="FAY231" s="514"/>
      <c r="FAZ231" s="514"/>
      <c r="FBA231" s="514"/>
      <c r="FBB231" s="514"/>
      <c r="FBC231" s="514"/>
      <c r="FBD231" s="514"/>
      <c r="FBE231" s="514"/>
      <c r="FBF231" s="514"/>
      <c r="FBG231" s="514"/>
      <c r="FBH231" s="514"/>
      <c r="FBI231" s="514"/>
      <c r="FBJ231" s="514"/>
      <c r="FBK231" s="514"/>
      <c r="FBL231" s="514"/>
      <c r="FBM231" s="514"/>
      <c r="FBN231" s="514"/>
      <c r="FBO231" s="514"/>
      <c r="FBP231" s="514"/>
      <c r="FBQ231" s="514"/>
      <c r="FBR231" s="514"/>
      <c r="FBS231" s="514"/>
      <c r="FBT231" s="514"/>
      <c r="FBU231" s="514"/>
      <c r="FBV231" s="514"/>
      <c r="FBW231" s="514"/>
      <c r="FBX231" s="514"/>
      <c r="FBY231" s="514"/>
      <c r="FBZ231" s="514"/>
      <c r="FCA231" s="514"/>
      <c r="FCB231" s="514"/>
      <c r="FCC231" s="514"/>
      <c r="FCD231" s="514"/>
      <c r="FCE231" s="514"/>
      <c r="FCF231" s="514"/>
      <c r="FCG231" s="514"/>
      <c r="FCH231" s="514"/>
      <c r="FCI231" s="514"/>
      <c r="FCJ231" s="514"/>
      <c r="FCK231" s="514"/>
      <c r="FCL231" s="514"/>
      <c r="FCM231" s="514"/>
      <c r="FCN231" s="514"/>
      <c r="FCO231" s="514"/>
      <c r="FCP231" s="514"/>
      <c r="FCQ231" s="514"/>
      <c r="FCR231" s="514"/>
      <c r="FCS231" s="514"/>
      <c r="FCT231" s="514"/>
      <c r="FCU231" s="514"/>
      <c r="FCV231" s="514"/>
      <c r="FCW231" s="514"/>
      <c r="FCX231" s="514"/>
      <c r="FCY231" s="514"/>
      <c r="FCZ231" s="514"/>
      <c r="FDA231" s="514"/>
      <c r="FDB231" s="514"/>
      <c r="FDC231" s="514"/>
      <c r="FDD231" s="514"/>
      <c r="FDE231" s="514"/>
      <c r="FDF231" s="514"/>
      <c r="FDG231" s="514"/>
      <c r="FDH231" s="514"/>
      <c r="FDI231" s="514"/>
      <c r="FDJ231" s="514"/>
      <c r="FDK231" s="514"/>
      <c r="FDL231" s="514"/>
      <c r="FDM231" s="514"/>
      <c r="FDN231" s="514"/>
      <c r="FDO231" s="514"/>
      <c r="FDP231" s="514"/>
      <c r="FDQ231" s="514"/>
      <c r="FDR231" s="514"/>
      <c r="FDS231" s="514"/>
      <c r="FDT231" s="514"/>
      <c r="FDU231" s="514"/>
      <c r="FDV231" s="514"/>
      <c r="FDW231" s="514"/>
      <c r="FDX231" s="514"/>
      <c r="FDY231" s="514"/>
      <c r="FDZ231" s="514"/>
      <c r="FEA231" s="514"/>
      <c r="FEB231" s="514"/>
      <c r="FEC231" s="514"/>
      <c r="FED231" s="514"/>
      <c r="FEE231" s="514"/>
      <c r="FEF231" s="514"/>
      <c r="FEG231" s="514"/>
      <c r="FEH231" s="514"/>
      <c r="FEI231" s="514"/>
      <c r="FEJ231" s="514"/>
      <c r="FEK231" s="514"/>
      <c r="FEL231" s="514"/>
      <c r="FEM231" s="514"/>
      <c r="FEN231" s="514"/>
      <c r="FEO231" s="514"/>
      <c r="FEP231" s="514"/>
      <c r="FEQ231" s="514"/>
      <c r="FER231" s="514"/>
      <c r="FES231" s="514"/>
      <c r="FET231" s="514"/>
      <c r="FEU231" s="514"/>
      <c r="FEV231" s="514"/>
      <c r="FEW231" s="514"/>
      <c r="FEX231" s="514"/>
      <c r="FEY231" s="514"/>
      <c r="FEZ231" s="514"/>
      <c r="FFA231" s="514"/>
      <c r="FFB231" s="514"/>
      <c r="FFC231" s="514"/>
      <c r="FFD231" s="514"/>
      <c r="FFE231" s="514"/>
      <c r="FFF231" s="514"/>
      <c r="FFG231" s="514"/>
      <c r="FFH231" s="514"/>
      <c r="FFI231" s="514"/>
      <c r="FFJ231" s="514"/>
      <c r="FFK231" s="514"/>
      <c r="FFL231" s="514"/>
      <c r="FFM231" s="514"/>
      <c r="FFN231" s="514"/>
      <c r="FFO231" s="514"/>
      <c r="FFP231" s="514"/>
      <c r="FFQ231" s="514"/>
      <c r="FFR231" s="514"/>
      <c r="FFS231" s="514"/>
      <c r="FFT231" s="514"/>
      <c r="FFU231" s="514"/>
      <c r="FFV231" s="514"/>
      <c r="FFW231" s="514"/>
      <c r="FFX231" s="514"/>
      <c r="FFY231" s="514"/>
      <c r="FFZ231" s="514"/>
      <c r="FGA231" s="514"/>
      <c r="FGB231" s="514"/>
      <c r="FGC231" s="514"/>
      <c r="FGD231" s="514"/>
      <c r="FGE231" s="514"/>
      <c r="FGF231" s="514"/>
      <c r="FGG231" s="514"/>
      <c r="FGH231" s="514"/>
      <c r="FGI231" s="514"/>
      <c r="FGJ231" s="514"/>
      <c r="FGK231" s="514"/>
      <c r="FGL231" s="514"/>
      <c r="FGM231" s="514"/>
      <c r="FGN231" s="514"/>
      <c r="FGO231" s="514"/>
      <c r="FGP231" s="514"/>
      <c r="FGQ231" s="514"/>
      <c r="FGR231" s="514"/>
      <c r="FGS231" s="514"/>
      <c r="FGT231" s="514"/>
      <c r="FGU231" s="514"/>
      <c r="FGV231" s="514"/>
      <c r="FGW231" s="514"/>
      <c r="FGX231" s="514"/>
      <c r="FGY231" s="514"/>
      <c r="FGZ231" s="514"/>
      <c r="FHA231" s="514"/>
      <c r="FHB231" s="514"/>
      <c r="FHC231" s="514"/>
      <c r="FHD231" s="514"/>
      <c r="FHE231" s="514"/>
      <c r="FHF231" s="514"/>
      <c r="FHG231" s="514"/>
      <c r="FHH231" s="514"/>
      <c r="FHI231" s="514"/>
      <c r="FHJ231" s="514"/>
      <c r="FHK231" s="514"/>
      <c r="FHL231" s="514"/>
      <c r="FHM231" s="514"/>
      <c r="FHN231" s="514"/>
      <c r="FHO231" s="514"/>
      <c r="FHP231" s="514"/>
      <c r="FHQ231" s="514"/>
      <c r="FHR231" s="514"/>
      <c r="FHS231" s="514"/>
      <c r="FHT231" s="514"/>
      <c r="FHU231" s="514"/>
      <c r="FHV231" s="514"/>
      <c r="FHW231" s="514"/>
      <c r="FHX231" s="514"/>
      <c r="FHY231" s="514"/>
      <c r="FHZ231" s="514"/>
      <c r="FIA231" s="514"/>
      <c r="FIB231" s="514"/>
      <c r="FIC231" s="514"/>
      <c r="FID231" s="514"/>
      <c r="FIE231" s="514"/>
      <c r="FIF231" s="514"/>
      <c r="FIG231" s="514"/>
      <c r="FIH231" s="514"/>
      <c r="FII231" s="514"/>
      <c r="FIJ231" s="514"/>
      <c r="FIK231" s="514"/>
      <c r="FIL231" s="514"/>
      <c r="FIM231" s="514"/>
      <c r="FIN231" s="514"/>
      <c r="FIO231" s="514"/>
      <c r="FIP231" s="514"/>
      <c r="FIQ231" s="514"/>
      <c r="FIR231" s="514"/>
      <c r="FIS231" s="514"/>
      <c r="FIT231" s="514"/>
      <c r="FIU231" s="514"/>
      <c r="FIV231" s="514"/>
      <c r="FIW231" s="514"/>
      <c r="FIX231" s="514"/>
      <c r="FIY231" s="514"/>
      <c r="FIZ231" s="514"/>
      <c r="FJA231" s="514"/>
      <c r="FJB231" s="514"/>
      <c r="FJC231" s="514"/>
      <c r="FJD231" s="514"/>
      <c r="FJE231" s="514"/>
      <c r="FJF231" s="514"/>
      <c r="FJG231" s="514"/>
      <c r="FJH231" s="514"/>
      <c r="FJI231" s="514"/>
      <c r="FJJ231" s="514"/>
      <c r="FJK231" s="514"/>
      <c r="FJL231" s="514"/>
      <c r="FJM231" s="514"/>
      <c r="FJN231" s="514"/>
      <c r="FJO231" s="514"/>
      <c r="FJP231" s="514"/>
      <c r="FJQ231" s="514"/>
      <c r="FJR231" s="514"/>
      <c r="FJS231" s="514"/>
      <c r="FJT231" s="514"/>
      <c r="FJU231" s="514"/>
      <c r="FJV231" s="514"/>
      <c r="FJW231" s="514"/>
      <c r="FJX231" s="514"/>
      <c r="FJY231" s="514"/>
      <c r="FJZ231" s="514"/>
      <c r="FKA231" s="514"/>
      <c r="FKB231" s="514"/>
      <c r="FKC231" s="514"/>
      <c r="FKD231" s="514"/>
      <c r="FKE231" s="514"/>
      <c r="FKF231" s="514"/>
      <c r="FKG231" s="514"/>
      <c r="FKH231" s="514"/>
      <c r="FKI231" s="514"/>
      <c r="FKJ231" s="514"/>
      <c r="FKK231" s="514"/>
      <c r="FKL231" s="514"/>
      <c r="FKM231" s="514"/>
      <c r="FKN231" s="514"/>
      <c r="FKO231" s="514"/>
      <c r="FKP231" s="514"/>
      <c r="FKQ231" s="514"/>
      <c r="FKR231" s="514"/>
      <c r="FKS231" s="514"/>
      <c r="FKT231" s="514"/>
      <c r="FKU231" s="514"/>
      <c r="FKV231" s="514"/>
      <c r="FKW231" s="514"/>
      <c r="FKX231" s="514"/>
      <c r="FKY231" s="514"/>
      <c r="FKZ231" s="514"/>
      <c r="FLA231" s="514"/>
      <c r="FLB231" s="514"/>
      <c r="FLC231" s="514"/>
      <c r="FLD231" s="514"/>
      <c r="FLE231" s="514"/>
      <c r="FLF231" s="514"/>
      <c r="FLG231" s="514"/>
      <c r="FLH231" s="514"/>
      <c r="FLI231" s="514"/>
      <c r="FLJ231" s="514"/>
      <c r="FLK231" s="514"/>
      <c r="FLL231" s="514"/>
      <c r="FLM231" s="514"/>
      <c r="FLN231" s="514"/>
      <c r="FLO231" s="514"/>
      <c r="FLP231" s="514"/>
      <c r="FLQ231" s="514"/>
      <c r="FLR231" s="514"/>
      <c r="FLS231" s="514"/>
      <c r="FLT231" s="514"/>
      <c r="FLU231" s="514"/>
      <c r="FLV231" s="514"/>
      <c r="FLW231" s="514"/>
      <c r="FLX231" s="514"/>
      <c r="FLY231" s="514"/>
      <c r="FLZ231" s="514"/>
      <c r="FMA231" s="514"/>
      <c r="FMB231" s="514"/>
      <c r="FMC231" s="514"/>
      <c r="FMD231" s="514"/>
      <c r="FME231" s="514"/>
      <c r="FMF231" s="514"/>
      <c r="FMG231" s="514"/>
      <c r="FMH231" s="514"/>
      <c r="FMI231" s="514"/>
      <c r="FMJ231" s="514"/>
      <c r="FMK231" s="514"/>
      <c r="FML231" s="514"/>
      <c r="FMM231" s="514"/>
      <c r="FMN231" s="514"/>
      <c r="FMO231" s="514"/>
      <c r="FMP231" s="514"/>
      <c r="FMQ231" s="514"/>
      <c r="FMR231" s="514"/>
      <c r="FMS231" s="514"/>
      <c r="FMT231" s="514"/>
      <c r="FMU231" s="514"/>
      <c r="FMV231" s="514"/>
      <c r="FMW231" s="514"/>
      <c r="FMX231" s="514"/>
      <c r="FMY231" s="514"/>
      <c r="FMZ231" s="514"/>
      <c r="FNA231" s="514"/>
      <c r="FNB231" s="514"/>
      <c r="FNC231" s="514"/>
      <c r="FND231" s="514"/>
      <c r="FNE231" s="514"/>
      <c r="FNF231" s="514"/>
      <c r="FNG231" s="514"/>
      <c r="FNH231" s="514"/>
      <c r="FNI231" s="514"/>
      <c r="FNJ231" s="514"/>
      <c r="FNK231" s="514"/>
      <c r="FNL231" s="514"/>
      <c r="FNM231" s="514"/>
      <c r="FNN231" s="514"/>
      <c r="FNO231" s="514"/>
      <c r="FNP231" s="514"/>
      <c r="FNQ231" s="514"/>
      <c r="FNR231" s="514"/>
      <c r="FNS231" s="514"/>
      <c r="FNT231" s="514"/>
      <c r="FNU231" s="514"/>
      <c r="FNV231" s="514"/>
      <c r="FNW231" s="514"/>
      <c r="FNX231" s="514"/>
      <c r="FNY231" s="514"/>
      <c r="FNZ231" s="514"/>
      <c r="FOA231" s="514"/>
      <c r="FOB231" s="514"/>
      <c r="FOC231" s="514"/>
      <c r="FOD231" s="514"/>
      <c r="FOE231" s="514"/>
      <c r="FOF231" s="514"/>
      <c r="FOG231" s="514"/>
      <c r="FOH231" s="514"/>
      <c r="FOI231" s="514"/>
      <c r="FOJ231" s="514"/>
      <c r="FOK231" s="514"/>
      <c r="FOL231" s="514"/>
      <c r="FOM231" s="514"/>
      <c r="FON231" s="514"/>
      <c r="FOO231" s="514"/>
      <c r="FOP231" s="514"/>
      <c r="FOQ231" s="514"/>
      <c r="FOR231" s="514"/>
      <c r="FOS231" s="514"/>
      <c r="FOT231" s="514"/>
      <c r="FOU231" s="514"/>
      <c r="FOV231" s="514"/>
      <c r="FOW231" s="514"/>
      <c r="FOX231" s="514"/>
      <c r="FOY231" s="514"/>
      <c r="FOZ231" s="514"/>
      <c r="FPA231" s="514"/>
      <c r="FPB231" s="514"/>
      <c r="FPC231" s="514"/>
      <c r="FPD231" s="514"/>
      <c r="FPE231" s="514"/>
      <c r="FPF231" s="514"/>
      <c r="FPG231" s="514"/>
      <c r="FPH231" s="514"/>
      <c r="FPI231" s="514"/>
      <c r="FPJ231" s="514"/>
      <c r="FPK231" s="514"/>
      <c r="FPL231" s="514"/>
      <c r="FPM231" s="514"/>
      <c r="FPN231" s="514"/>
      <c r="FPO231" s="514"/>
      <c r="FPP231" s="514"/>
      <c r="FPQ231" s="514"/>
      <c r="FPR231" s="514"/>
      <c r="FPS231" s="514"/>
      <c r="FPT231" s="514"/>
      <c r="FPU231" s="514"/>
      <c r="FPV231" s="514"/>
      <c r="FPW231" s="514"/>
      <c r="FPX231" s="514"/>
      <c r="FPY231" s="514"/>
      <c r="FPZ231" s="514"/>
      <c r="FQA231" s="514"/>
      <c r="FQB231" s="514"/>
      <c r="FQC231" s="514"/>
      <c r="FQD231" s="514"/>
      <c r="FQE231" s="514"/>
      <c r="FQF231" s="514"/>
      <c r="FQG231" s="514"/>
      <c r="FQH231" s="514"/>
      <c r="FQI231" s="514"/>
      <c r="FQJ231" s="514"/>
      <c r="FQK231" s="514"/>
      <c r="FQL231" s="514"/>
      <c r="FQM231" s="514"/>
      <c r="FQN231" s="514"/>
      <c r="FQO231" s="514"/>
      <c r="FQP231" s="514"/>
      <c r="FQQ231" s="514"/>
      <c r="FQR231" s="514"/>
      <c r="FQS231" s="514"/>
      <c r="FQT231" s="514"/>
      <c r="FQU231" s="514"/>
      <c r="FQV231" s="514"/>
      <c r="FQW231" s="514"/>
      <c r="FQX231" s="514"/>
      <c r="FQY231" s="514"/>
      <c r="FQZ231" s="514"/>
      <c r="FRA231" s="514"/>
      <c r="FRB231" s="514"/>
      <c r="FRC231" s="514"/>
      <c r="FRD231" s="514"/>
      <c r="FRE231" s="514"/>
      <c r="FRF231" s="514"/>
      <c r="FRG231" s="514"/>
      <c r="FRH231" s="514"/>
      <c r="FRI231" s="514"/>
      <c r="FRJ231" s="514"/>
      <c r="FRK231" s="514"/>
      <c r="FRL231" s="514"/>
      <c r="FRM231" s="514"/>
      <c r="FRN231" s="514"/>
      <c r="FRO231" s="514"/>
      <c r="FRP231" s="514"/>
      <c r="FRQ231" s="514"/>
      <c r="FRR231" s="514"/>
      <c r="FRS231" s="514"/>
      <c r="FRT231" s="514"/>
      <c r="FRU231" s="514"/>
      <c r="FRV231" s="514"/>
      <c r="FRW231" s="514"/>
      <c r="FRX231" s="514"/>
      <c r="FRY231" s="514"/>
      <c r="FRZ231" s="514"/>
      <c r="FSA231" s="514"/>
      <c r="FSB231" s="514"/>
      <c r="FSC231" s="514"/>
      <c r="FSD231" s="514"/>
      <c r="FSE231" s="514"/>
      <c r="FSF231" s="514"/>
      <c r="FSG231" s="514"/>
      <c r="FSH231" s="514"/>
      <c r="FSI231" s="514"/>
      <c r="FSJ231" s="514"/>
      <c r="FSK231" s="514"/>
      <c r="FSL231" s="514"/>
      <c r="FSM231" s="514"/>
      <c r="FSN231" s="514"/>
      <c r="FSO231" s="514"/>
      <c r="FSP231" s="514"/>
      <c r="FSQ231" s="514"/>
      <c r="FSR231" s="514"/>
      <c r="FSS231" s="514"/>
      <c r="FST231" s="514"/>
      <c r="FSU231" s="514"/>
      <c r="FSV231" s="514"/>
      <c r="FSW231" s="514"/>
      <c r="FSX231" s="514"/>
      <c r="FSY231" s="514"/>
      <c r="FSZ231" s="514"/>
      <c r="FTA231" s="514"/>
      <c r="FTB231" s="514"/>
      <c r="FTC231" s="514"/>
      <c r="FTD231" s="514"/>
      <c r="FTE231" s="514"/>
      <c r="FTF231" s="514"/>
      <c r="FTG231" s="514"/>
      <c r="FTH231" s="514"/>
      <c r="FTI231" s="514"/>
      <c r="FTJ231" s="514"/>
      <c r="FTK231" s="514"/>
      <c r="FTL231" s="514"/>
      <c r="FTM231" s="514"/>
      <c r="FTN231" s="514"/>
      <c r="FTO231" s="514"/>
      <c r="FTP231" s="514"/>
      <c r="FTQ231" s="514"/>
      <c r="FTR231" s="514"/>
      <c r="FTS231" s="514"/>
      <c r="FTT231" s="514"/>
      <c r="FTU231" s="514"/>
      <c r="FTV231" s="514"/>
      <c r="FTW231" s="514"/>
      <c r="FTX231" s="514"/>
      <c r="FTY231" s="514"/>
      <c r="FTZ231" s="514"/>
      <c r="FUA231" s="514"/>
      <c r="FUB231" s="514"/>
      <c r="FUC231" s="514"/>
      <c r="FUD231" s="514"/>
      <c r="FUE231" s="514"/>
      <c r="FUF231" s="514"/>
      <c r="FUG231" s="514"/>
      <c r="FUH231" s="514"/>
      <c r="FUI231" s="514"/>
      <c r="FUJ231" s="514"/>
      <c r="FUK231" s="514"/>
      <c r="FUL231" s="514"/>
      <c r="FUM231" s="514"/>
      <c r="FUN231" s="514"/>
      <c r="FUO231" s="514"/>
      <c r="FUP231" s="514"/>
      <c r="FUQ231" s="514"/>
      <c r="FUR231" s="514"/>
      <c r="FUS231" s="514"/>
      <c r="FUT231" s="514"/>
      <c r="FUU231" s="514"/>
      <c r="FUV231" s="514"/>
      <c r="FUW231" s="514"/>
      <c r="FUX231" s="514"/>
      <c r="FUY231" s="514"/>
      <c r="FUZ231" s="514"/>
      <c r="FVA231" s="514"/>
      <c r="FVB231" s="514"/>
      <c r="FVC231" s="514"/>
      <c r="FVD231" s="514"/>
      <c r="FVE231" s="514"/>
      <c r="FVF231" s="514"/>
      <c r="FVG231" s="514"/>
      <c r="FVH231" s="514"/>
      <c r="FVI231" s="514"/>
      <c r="FVJ231" s="514"/>
      <c r="FVK231" s="514"/>
      <c r="FVL231" s="514"/>
      <c r="FVM231" s="514"/>
      <c r="FVN231" s="514"/>
      <c r="FVO231" s="514"/>
      <c r="FVP231" s="514"/>
      <c r="FVQ231" s="514"/>
      <c r="FVR231" s="514"/>
      <c r="FVS231" s="514"/>
      <c r="FVT231" s="514"/>
      <c r="FVU231" s="514"/>
      <c r="FVV231" s="514"/>
      <c r="FVW231" s="514"/>
      <c r="FVX231" s="514"/>
      <c r="FVY231" s="514"/>
      <c r="FVZ231" s="514"/>
      <c r="FWA231" s="514"/>
      <c r="FWB231" s="514"/>
      <c r="FWC231" s="514"/>
      <c r="FWD231" s="514"/>
      <c r="FWE231" s="514"/>
      <c r="FWF231" s="514"/>
      <c r="FWG231" s="514"/>
      <c r="FWH231" s="514"/>
      <c r="FWI231" s="514"/>
      <c r="FWJ231" s="514"/>
      <c r="FWK231" s="514"/>
      <c r="FWL231" s="514"/>
      <c r="FWM231" s="514"/>
      <c r="FWN231" s="514"/>
      <c r="FWO231" s="514"/>
      <c r="FWP231" s="514"/>
      <c r="FWQ231" s="514"/>
      <c r="FWR231" s="514"/>
      <c r="FWS231" s="514"/>
      <c r="FWT231" s="514"/>
      <c r="FWU231" s="514"/>
      <c r="FWV231" s="514"/>
      <c r="FWW231" s="514"/>
      <c r="FWX231" s="514"/>
      <c r="FWY231" s="514"/>
      <c r="FWZ231" s="514"/>
      <c r="FXA231" s="514"/>
      <c r="FXB231" s="514"/>
      <c r="FXC231" s="514"/>
      <c r="FXD231" s="514"/>
      <c r="FXE231" s="514"/>
      <c r="FXF231" s="514"/>
      <c r="FXG231" s="514"/>
      <c r="FXH231" s="514"/>
      <c r="FXI231" s="514"/>
      <c r="FXJ231" s="514"/>
      <c r="FXK231" s="514"/>
      <c r="FXL231" s="514"/>
      <c r="FXM231" s="514"/>
      <c r="FXN231" s="514"/>
      <c r="FXO231" s="514"/>
      <c r="FXP231" s="514"/>
      <c r="FXQ231" s="514"/>
      <c r="FXR231" s="514"/>
      <c r="FXS231" s="514"/>
      <c r="FXT231" s="514"/>
      <c r="FXU231" s="514"/>
      <c r="FXV231" s="514"/>
      <c r="FXW231" s="514"/>
      <c r="FXX231" s="514"/>
      <c r="FXY231" s="514"/>
      <c r="FXZ231" s="514"/>
      <c r="FYA231" s="514"/>
      <c r="FYB231" s="514"/>
      <c r="FYC231" s="514"/>
      <c r="FYD231" s="514"/>
      <c r="FYE231" s="514"/>
      <c r="FYF231" s="514"/>
      <c r="FYG231" s="514"/>
      <c r="FYH231" s="514"/>
      <c r="FYI231" s="514"/>
      <c r="FYJ231" s="514"/>
      <c r="FYK231" s="514"/>
      <c r="FYL231" s="514"/>
      <c r="FYM231" s="514"/>
      <c r="FYN231" s="514"/>
      <c r="FYO231" s="514"/>
      <c r="FYP231" s="514"/>
      <c r="FYQ231" s="514"/>
      <c r="FYR231" s="514"/>
      <c r="FYS231" s="514"/>
      <c r="FYT231" s="514"/>
      <c r="FYU231" s="514"/>
      <c r="FYV231" s="514"/>
      <c r="FYW231" s="514"/>
      <c r="FYX231" s="514"/>
      <c r="FYY231" s="514"/>
      <c r="FYZ231" s="514"/>
      <c r="FZA231" s="514"/>
      <c r="FZB231" s="514"/>
      <c r="FZC231" s="514"/>
      <c r="FZD231" s="514"/>
      <c r="FZE231" s="514"/>
      <c r="FZF231" s="514"/>
      <c r="FZG231" s="514"/>
      <c r="FZH231" s="514"/>
      <c r="FZI231" s="514"/>
      <c r="FZJ231" s="514"/>
      <c r="FZK231" s="514"/>
      <c r="FZL231" s="514"/>
      <c r="FZM231" s="514"/>
      <c r="FZN231" s="514"/>
      <c r="FZO231" s="514"/>
      <c r="FZP231" s="514"/>
      <c r="FZQ231" s="514"/>
      <c r="FZR231" s="514"/>
      <c r="FZS231" s="514"/>
      <c r="FZT231" s="514"/>
      <c r="FZU231" s="514"/>
      <c r="FZV231" s="514"/>
      <c r="FZW231" s="514"/>
      <c r="FZX231" s="514"/>
      <c r="FZY231" s="514"/>
      <c r="FZZ231" s="514"/>
      <c r="GAA231" s="514"/>
      <c r="GAB231" s="514"/>
      <c r="GAC231" s="514"/>
      <c r="GAD231" s="514"/>
      <c r="GAE231" s="514"/>
      <c r="GAF231" s="514"/>
      <c r="GAG231" s="514"/>
      <c r="GAH231" s="514"/>
      <c r="GAI231" s="514"/>
      <c r="GAJ231" s="514"/>
      <c r="GAK231" s="514"/>
      <c r="GAL231" s="514"/>
      <c r="GAM231" s="514"/>
      <c r="GAN231" s="514"/>
      <c r="GAO231" s="514"/>
      <c r="GAP231" s="514"/>
      <c r="GAQ231" s="514"/>
      <c r="GAR231" s="514"/>
      <c r="GAS231" s="514"/>
      <c r="GAT231" s="514"/>
      <c r="GAU231" s="514"/>
      <c r="GAV231" s="514"/>
      <c r="GAW231" s="514"/>
      <c r="GAX231" s="514"/>
      <c r="GAY231" s="514"/>
      <c r="GAZ231" s="514"/>
      <c r="GBA231" s="514"/>
      <c r="GBB231" s="514"/>
      <c r="GBC231" s="514"/>
      <c r="GBD231" s="514"/>
      <c r="GBE231" s="514"/>
      <c r="GBF231" s="514"/>
      <c r="GBG231" s="514"/>
      <c r="GBH231" s="514"/>
      <c r="GBI231" s="514"/>
      <c r="GBJ231" s="514"/>
      <c r="GBK231" s="514"/>
      <c r="GBL231" s="514"/>
      <c r="GBM231" s="514"/>
      <c r="GBN231" s="514"/>
      <c r="GBO231" s="514"/>
      <c r="GBP231" s="514"/>
      <c r="GBQ231" s="514"/>
      <c r="GBR231" s="514"/>
      <c r="GBS231" s="514"/>
      <c r="GBT231" s="514"/>
      <c r="GBU231" s="514"/>
      <c r="GBV231" s="514"/>
      <c r="GBW231" s="514"/>
      <c r="GBX231" s="514"/>
      <c r="GBY231" s="514"/>
      <c r="GBZ231" s="514"/>
      <c r="GCA231" s="514"/>
      <c r="GCB231" s="514"/>
      <c r="GCC231" s="514"/>
      <c r="GCD231" s="514"/>
      <c r="GCE231" s="514"/>
      <c r="GCF231" s="514"/>
      <c r="GCG231" s="514"/>
      <c r="GCH231" s="514"/>
      <c r="GCI231" s="514"/>
      <c r="GCJ231" s="514"/>
      <c r="GCK231" s="514"/>
      <c r="GCL231" s="514"/>
      <c r="GCM231" s="514"/>
      <c r="GCN231" s="514"/>
      <c r="GCO231" s="514"/>
      <c r="GCP231" s="514"/>
      <c r="GCQ231" s="514"/>
      <c r="GCR231" s="514"/>
      <c r="GCS231" s="514"/>
      <c r="GCT231" s="514"/>
      <c r="GCU231" s="514"/>
      <c r="GCV231" s="514"/>
      <c r="GCW231" s="514"/>
      <c r="GCX231" s="514"/>
      <c r="GCY231" s="514"/>
      <c r="GCZ231" s="514"/>
      <c r="GDA231" s="514"/>
      <c r="GDB231" s="514"/>
      <c r="GDC231" s="514"/>
      <c r="GDD231" s="514"/>
      <c r="GDE231" s="514"/>
      <c r="GDF231" s="514"/>
      <c r="GDG231" s="514"/>
      <c r="GDH231" s="514"/>
      <c r="GDI231" s="514"/>
      <c r="GDJ231" s="514"/>
      <c r="GDK231" s="514"/>
      <c r="GDL231" s="514"/>
      <c r="GDM231" s="514"/>
      <c r="GDN231" s="514"/>
      <c r="GDO231" s="514"/>
      <c r="GDP231" s="514"/>
      <c r="GDQ231" s="514"/>
      <c r="GDR231" s="514"/>
      <c r="GDS231" s="514"/>
      <c r="GDT231" s="514"/>
      <c r="GDU231" s="514"/>
      <c r="GDV231" s="514"/>
      <c r="GDW231" s="514"/>
      <c r="GDX231" s="514"/>
      <c r="GDY231" s="514"/>
      <c r="GDZ231" s="514"/>
      <c r="GEA231" s="514"/>
      <c r="GEB231" s="514"/>
      <c r="GEC231" s="514"/>
      <c r="GED231" s="514"/>
      <c r="GEE231" s="514"/>
      <c r="GEF231" s="514"/>
      <c r="GEG231" s="514"/>
      <c r="GEH231" s="514"/>
      <c r="GEI231" s="514"/>
      <c r="GEJ231" s="514"/>
      <c r="GEK231" s="514"/>
      <c r="GEL231" s="514"/>
      <c r="GEM231" s="514"/>
      <c r="GEN231" s="514"/>
      <c r="GEO231" s="514"/>
      <c r="GEP231" s="514"/>
      <c r="GEQ231" s="514"/>
      <c r="GER231" s="514"/>
      <c r="GES231" s="514"/>
      <c r="GET231" s="514"/>
      <c r="GEU231" s="514"/>
      <c r="GEV231" s="514"/>
      <c r="GEW231" s="514"/>
      <c r="GEX231" s="514"/>
      <c r="GEY231" s="514"/>
      <c r="GEZ231" s="514"/>
      <c r="GFA231" s="514"/>
      <c r="GFB231" s="514"/>
      <c r="GFC231" s="514"/>
      <c r="GFD231" s="514"/>
      <c r="GFE231" s="514"/>
      <c r="GFF231" s="514"/>
      <c r="GFG231" s="514"/>
      <c r="GFH231" s="514"/>
      <c r="GFI231" s="514"/>
      <c r="GFJ231" s="514"/>
      <c r="GFK231" s="514"/>
      <c r="GFL231" s="514"/>
      <c r="GFM231" s="514"/>
      <c r="GFN231" s="514"/>
      <c r="GFO231" s="514"/>
      <c r="GFP231" s="514"/>
      <c r="GFQ231" s="514"/>
      <c r="GFR231" s="514"/>
      <c r="GFS231" s="514"/>
      <c r="GFT231" s="514"/>
      <c r="GFU231" s="514"/>
      <c r="GFV231" s="514"/>
      <c r="GFW231" s="514"/>
      <c r="GFX231" s="514"/>
      <c r="GFY231" s="514"/>
      <c r="GFZ231" s="514"/>
      <c r="GGA231" s="514"/>
      <c r="GGB231" s="514"/>
      <c r="GGC231" s="514"/>
      <c r="GGD231" s="514"/>
      <c r="GGE231" s="514"/>
      <c r="GGF231" s="514"/>
      <c r="GGG231" s="514"/>
      <c r="GGH231" s="514"/>
      <c r="GGI231" s="514"/>
      <c r="GGJ231" s="514"/>
      <c r="GGK231" s="514"/>
      <c r="GGL231" s="514"/>
      <c r="GGM231" s="514"/>
      <c r="GGN231" s="514"/>
      <c r="GGO231" s="514"/>
      <c r="GGP231" s="514"/>
      <c r="GGQ231" s="514"/>
      <c r="GGR231" s="514"/>
      <c r="GGS231" s="514"/>
      <c r="GGT231" s="514"/>
      <c r="GGU231" s="514"/>
      <c r="GGV231" s="514"/>
      <c r="GGW231" s="514"/>
      <c r="GGX231" s="514"/>
      <c r="GGY231" s="514"/>
      <c r="GGZ231" s="514"/>
      <c r="GHA231" s="514"/>
      <c r="GHB231" s="514"/>
      <c r="GHC231" s="514"/>
      <c r="GHD231" s="514"/>
      <c r="GHE231" s="514"/>
      <c r="GHF231" s="514"/>
      <c r="GHG231" s="514"/>
      <c r="GHH231" s="514"/>
      <c r="GHI231" s="514"/>
      <c r="GHJ231" s="514"/>
      <c r="GHK231" s="514"/>
      <c r="GHL231" s="514"/>
      <c r="GHM231" s="514"/>
      <c r="GHN231" s="514"/>
      <c r="GHO231" s="514"/>
      <c r="GHP231" s="514"/>
      <c r="GHQ231" s="514"/>
      <c r="GHR231" s="514"/>
      <c r="GHS231" s="514"/>
      <c r="GHT231" s="514"/>
      <c r="GHU231" s="514"/>
      <c r="GHV231" s="514"/>
      <c r="GHW231" s="514"/>
      <c r="GHX231" s="514"/>
      <c r="GHY231" s="514"/>
      <c r="GHZ231" s="514"/>
      <c r="GIA231" s="514"/>
      <c r="GIB231" s="514"/>
      <c r="GIC231" s="514"/>
      <c r="GID231" s="514"/>
      <c r="GIE231" s="514"/>
      <c r="GIF231" s="514"/>
      <c r="GIG231" s="514"/>
      <c r="GIH231" s="514"/>
      <c r="GII231" s="514"/>
      <c r="GIJ231" s="514"/>
      <c r="GIK231" s="514"/>
      <c r="GIL231" s="514"/>
      <c r="GIM231" s="514"/>
      <c r="GIN231" s="514"/>
      <c r="GIO231" s="514"/>
      <c r="GIP231" s="514"/>
      <c r="GIQ231" s="514"/>
      <c r="GIR231" s="514"/>
      <c r="GIS231" s="514"/>
      <c r="GIT231" s="514"/>
      <c r="GIU231" s="514"/>
      <c r="GIV231" s="514"/>
      <c r="GIW231" s="514"/>
      <c r="GIX231" s="514"/>
      <c r="GIY231" s="514"/>
      <c r="GIZ231" s="514"/>
      <c r="GJA231" s="514"/>
      <c r="GJB231" s="514"/>
      <c r="GJC231" s="514"/>
      <c r="GJD231" s="514"/>
      <c r="GJE231" s="514"/>
      <c r="GJF231" s="514"/>
      <c r="GJG231" s="514"/>
      <c r="GJH231" s="514"/>
      <c r="GJI231" s="514"/>
      <c r="GJJ231" s="514"/>
      <c r="GJK231" s="514"/>
      <c r="GJL231" s="514"/>
      <c r="GJM231" s="514"/>
      <c r="GJN231" s="514"/>
      <c r="GJO231" s="514"/>
      <c r="GJP231" s="514"/>
      <c r="GJQ231" s="514"/>
      <c r="GJR231" s="514"/>
      <c r="GJS231" s="514"/>
      <c r="GJT231" s="514"/>
      <c r="GJU231" s="514"/>
      <c r="GJV231" s="514"/>
      <c r="GJW231" s="514"/>
      <c r="GJX231" s="514"/>
      <c r="GJY231" s="514"/>
      <c r="GJZ231" s="514"/>
      <c r="GKA231" s="514"/>
      <c r="GKB231" s="514"/>
      <c r="GKC231" s="514"/>
      <c r="GKD231" s="514"/>
      <c r="GKE231" s="514"/>
      <c r="GKF231" s="514"/>
      <c r="GKG231" s="514"/>
      <c r="GKH231" s="514"/>
      <c r="GKI231" s="514"/>
      <c r="GKJ231" s="514"/>
      <c r="GKK231" s="514"/>
      <c r="GKL231" s="514"/>
      <c r="GKM231" s="514"/>
      <c r="GKN231" s="514"/>
      <c r="GKO231" s="514"/>
      <c r="GKP231" s="514"/>
      <c r="GKQ231" s="514"/>
      <c r="GKR231" s="514"/>
      <c r="GKS231" s="514"/>
      <c r="GKT231" s="514"/>
      <c r="GKU231" s="514"/>
      <c r="GKV231" s="514"/>
      <c r="GKW231" s="514"/>
      <c r="GKX231" s="514"/>
      <c r="GKY231" s="514"/>
      <c r="GKZ231" s="514"/>
      <c r="GLA231" s="514"/>
      <c r="GLB231" s="514"/>
      <c r="GLC231" s="514"/>
      <c r="GLD231" s="514"/>
      <c r="GLE231" s="514"/>
      <c r="GLF231" s="514"/>
      <c r="GLG231" s="514"/>
      <c r="GLH231" s="514"/>
      <c r="GLI231" s="514"/>
      <c r="GLJ231" s="514"/>
      <c r="GLK231" s="514"/>
      <c r="GLL231" s="514"/>
      <c r="GLM231" s="514"/>
      <c r="GLN231" s="514"/>
      <c r="GLO231" s="514"/>
      <c r="GLP231" s="514"/>
      <c r="GLQ231" s="514"/>
      <c r="GLR231" s="514"/>
      <c r="GLS231" s="514"/>
      <c r="GLT231" s="514"/>
      <c r="GLU231" s="514"/>
      <c r="GLV231" s="514"/>
      <c r="GLW231" s="514"/>
      <c r="GLX231" s="514"/>
      <c r="GLY231" s="514"/>
      <c r="GLZ231" s="514"/>
      <c r="GMA231" s="514"/>
      <c r="GMB231" s="514"/>
      <c r="GMC231" s="514"/>
      <c r="GMD231" s="514"/>
      <c r="GME231" s="514"/>
      <c r="GMF231" s="514"/>
      <c r="GMG231" s="514"/>
      <c r="GMH231" s="514"/>
      <c r="GMI231" s="514"/>
      <c r="GMJ231" s="514"/>
      <c r="GMK231" s="514"/>
      <c r="GML231" s="514"/>
      <c r="GMM231" s="514"/>
      <c r="GMN231" s="514"/>
      <c r="GMO231" s="514"/>
      <c r="GMP231" s="514"/>
      <c r="GMQ231" s="514"/>
      <c r="GMR231" s="514"/>
      <c r="GMS231" s="514"/>
      <c r="GMT231" s="514"/>
      <c r="GMU231" s="514"/>
      <c r="GMV231" s="514"/>
      <c r="GMW231" s="514"/>
      <c r="GMX231" s="514"/>
      <c r="GMY231" s="514"/>
      <c r="GMZ231" s="514"/>
      <c r="GNA231" s="514"/>
      <c r="GNB231" s="514"/>
      <c r="GNC231" s="514"/>
      <c r="GND231" s="514"/>
      <c r="GNE231" s="514"/>
      <c r="GNF231" s="514"/>
      <c r="GNG231" s="514"/>
      <c r="GNH231" s="514"/>
      <c r="GNI231" s="514"/>
      <c r="GNJ231" s="514"/>
      <c r="GNK231" s="514"/>
      <c r="GNL231" s="514"/>
      <c r="GNM231" s="514"/>
      <c r="GNN231" s="514"/>
      <c r="GNO231" s="514"/>
      <c r="GNP231" s="514"/>
      <c r="GNQ231" s="514"/>
      <c r="GNR231" s="514"/>
      <c r="GNS231" s="514"/>
      <c r="GNT231" s="514"/>
      <c r="GNU231" s="514"/>
      <c r="GNV231" s="514"/>
      <c r="GNW231" s="514"/>
      <c r="GNX231" s="514"/>
      <c r="GNY231" s="514"/>
      <c r="GNZ231" s="514"/>
      <c r="GOA231" s="514"/>
      <c r="GOB231" s="514"/>
      <c r="GOC231" s="514"/>
      <c r="GOD231" s="514"/>
      <c r="GOE231" s="514"/>
      <c r="GOF231" s="514"/>
      <c r="GOG231" s="514"/>
      <c r="GOH231" s="514"/>
      <c r="GOI231" s="514"/>
      <c r="GOJ231" s="514"/>
      <c r="GOK231" s="514"/>
      <c r="GOL231" s="514"/>
      <c r="GOM231" s="514"/>
      <c r="GON231" s="514"/>
      <c r="GOO231" s="514"/>
      <c r="GOP231" s="514"/>
      <c r="GOQ231" s="514"/>
      <c r="GOR231" s="514"/>
      <c r="GOS231" s="514"/>
      <c r="GOT231" s="514"/>
      <c r="GOU231" s="514"/>
      <c r="GOV231" s="514"/>
      <c r="GOW231" s="514"/>
      <c r="GOX231" s="514"/>
      <c r="GOY231" s="514"/>
      <c r="GOZ231" s="514"/>
      <c r="GPA231" s="514"/>
      <c r="GPB231" s="514"/>
      <c r="GPC231" s="514"/>
      <c r="GPD231" s="514"/>
      <c r="GPE231" s="514"/>
      <c r="GPF231" s="514"/>
      <c r="GPG231" s="514"/>
      <c r="GPH231" s="514"/>
      <c r="GPI231" s="514"/>
      <c r="GPJ231" s="514"/>
      <c r="GPK231" s="514"/>
      <c r="GPL231" s="514"/>
      <c r="GPM231" s="514"/>
      <c r="GPN231" s="514"/>
      <c r="GPO231" s="514"/>
      <c r="GPP231" s="514"/>
      <c r="GPQ231" s="514"/>
      <c r="GPR231" s="514"/>
      <c r="GPS231" s="514"/>
      <c r="GPT231" s="514"/>
      <c r="GPU231" s="514"/>
      <c r="GPV231" s="514"/>
      <c r="GPW231" s="514"/>
      <c r="GPX231" s="514"/>
      <c r="GPY231" s="514"/>
      <c r="GPZ231" s="514"/>
      <c r="GQA231" s="514"/>
      <c r="GQB231" s="514"/>
      <c r="GQC231" s="514"/>
      <c r="GQD231" s="514"/>
      <c r="GQE231" s="514"/>
      <c r="GQF231" s="514"/>
      <c r="GQG231" s="514"/>
      <c r="GQH231" s="514"/>
      <c r="GQI231" s="514"/>
      <c r="GQJ231" s="514"/>
      <c r="GQK231" s="514"/>
      <c r="GQL231" s="514"/>
      <c r="GQM231" s="514"/>
      <c r="GQN231" s="514"/>
      <c r="GQO231" s="514"/>
      <c r="GQP231" s="514"/>
      <c r="GQQ231" s="514"/>
      <c r="GQR231" s="514"/>
      <c r="GQS231" s="514"/>
      <c r="GQT231" s="514"/>
      <c r="GQU231" s="514"/>
      <c r="GQV231" s="514"/>
      <c r="GQW231" s="514"/>
      <c r="GQX231" s="514"/>
      <c r="GQY231" s="514"/>
      <c r="GQZ231" s="514"/>
      <c r="GRA231" s="514"/>
      <c r="GRB231" s="514"/>
      <c r="GRC231" s="514"/>
      <c r="GRD231" s="514"/>
      <c r="GRE231" s="514"/>
      <c r="GRF231" s="514"/>
      <c r="GRG231" s="514"/>
      <c r="GRH231" s="514"/>
      <c r="GRI231" s="514"/>
      <c r="GRJ231" s="514"/>
      <c r="GRK231" s="514"/>
      <c r="GRL231" s="514"/>
      <c r="GRM231" s="514"/>
      <c r="GRN231" s="514"/>
      <c r="GRO231" s="514"/>
      <c r="GRP231" s="514"/>
      <c r="GRQ231" s="514"/>
      <c r="GRR231" s="514"/>
      <c r="GRS231" s="514"/>
      <c r="GRT231" s="514"/>
      <c r="GRU231" s="514"/>
      <c r="GRV231" s="514"/>
      <c r="GRW231" s="514"/>
      <c r="GRX231" s="514"/>
      <c r="GRY231" s="514"/>
      <c r="GRZ231" s="514"/>
      <c r="GSA231" s="514"/>
      <c r="GSB231" s="514"/>
      <c r="GSC231" s="514"/>
      <c r="GSD231" s="514"/>
      <c r="GSE231" s="514"/>
      <c r="GSF231" s="514"/>
      <c r="GSG231" s="514"/>
      <c r="GSH231" s="514"/>
      <c r="GSI231" s="514"/>
      <c r="GSJ231" s="514"/>
      <c r="GSK231" s="514"/>
      <c r="GSL231" s="514"/>
      <c r="GSM231" s="514"/>
      <c r="GSN231" s="514"/>
      <c r="GSO231" s="514"/>
      <c r="GSP231" s="514"/>
      <c r="GSQ231" s="514"/>
      <c r="GSR231" s="514"/>
      <c r="GSS231" s="514"/>
      <c r="GST231" s="514"/>
      <c r="GSU231" s="514"/>
      <c r="GSV231" s="514"/>
      <c r="GSW231" s="514"/>
      <c r="GSX231" s="514"/>
      <c r="GSY231" s="514"/>
      <c r="GSZ231" s="514"/>
      <c r="GTA231" s="514"/>
      <c r="GTB231" s="514"/>
      <c r="GTC231" s="514"/>
      <c r="GTD231" s="514"/>
      <c r="GTE231" s="514"/>
      <c r="GTF231" s="514"/>
      <c r="GTG231" s="514"/>
      <c r="GTH231" s="514"/>
      <c r="GTI231" s="514"/>
      <c r="GTJ231" s="514"/>
      <c r="GTK231" s="514"/>
      <c r="GTL231" s="514"/>
      <c r="GTM231" s="514"/>
      <c r="GTN231" s="514"/>
      <c r="GTO231" s="514"/>
      <c r="GTP231" s="514"/>
      <c r="GTQ231" s="514"/>
      <c r="GTR231" s="514"/>
      <c r="GTS231" s="514"/>
      <c r="GTT231" s="514"/>
      <c r="GTU231" s="514"/>
      <c r="GTV231" s="514"/>
      <c r="GTW231" s="514"/>
      <c r="GTX231" s="514"/>
      <c r="GTY231" s="514"/>
      <c r="GTZ231" s="514"/>
      <c r="GUA231" s="514"/>
      <c r="GUB231" s="514"/>
      <c r="GUC231" s="514"/>
      <c r="GUD231" s="514"/>
      <c r="GUE231" s="514"/>
      <c r="GUF231" s="514"/>
      <c r="GUG231" s="514"/>
      <c r="GUH231" s="514"/>
      <c r="GUI231" s="514"/>
      <c r="GUJ231" s="514"/>
      <c r="GUK231" s="514"/>
      <c r="GUL231" s="514"/>
      <c r="GUM231" s="514"/>
      <c r="GUN231" s="514"/>
      <c r="GUO231" s="514"/>
      <c r="GUP231" s="514"/>
      <c r="GUQ231" s="514"/>
      <c r="GUR231" s="514"/>
      <c r="GUS231" s="514"/>
      <c r="GUT231" s="514"/>
      <c r="GUU231" s="514"/>
      <c r="GUV231" s="514"/>
      <c r="GUW231" s="514"/>
      <c r="GUX231" s="514"/>
      <c r="GUY231" s="514"/>
      <c r="GUZ231" s="514"/>
      <c r="GVA231" s="514"/>
      <c r="GVB231" s="514"/>
      <c r="GVC231" s="514"/>
      <c r="GVD231" s="514"/>
      <c r="GVE231" s="514"/>
      <c r="GVF231" s="514"/>
      <c r="GVG231" s="514"/>
      <c r="GVH231" s="514"/>
      <c r="GVI231" s="514"/>
      <c r="GVJ231" s="514"/>
      <c r="GVK231" s="514"/>
      <c r="GVL231" s="514"/>
      <c r="GVM231" s="514"/>
      <c r="GVN231" s="514"/>
      <c r="GVO231" s="514"/>
      <c r="GVP231" s="514"/>
      <c r="GVQ231" s="514"/>
      <c r="GVR231" s="514"/>
      <c r="GVS231" s="514"/>
      <c r="GVT231" s="514"/>
      <c r="GVU231" s="514"/>
      <c r="GVV231" s="514"/>
      <c r="GVW231" s="514"/>
      <c r="GVX231" s="514"/>
      <c r="GVY231" s="514"/>
      <c r="GVZ231" s="514"/>
      <c r="GWA231" s="514"/>
      <c r="GWB231" s="514"/>
      <c r="GWC231" s="514"/>
      <c r="GWD231" s="514"/>
      <c r="GWE231" s="514"/>
      <c r="GWF231" s="514"/>
      <c r="GWG231" s="514"/>
      <c r="GWH231" s="514"/>
      <c r="GWI231" s="514"/>
      <c r="GWJ231" s="514"/>
      <c r="GWK231" s="514"/>
      <c r="GWL231" s="514"/>
      <c r="GWM231" s="514"/>
      <c r="GWN231" s="514"/>
      <c r="GWO231" s="514"/>
      <c r="GWP231" s="514"/>
      <c r="GWQ231" s="514"/>
      <c r="GWR231" s="514"/>
      <c r="GWS231" s="514"/>
      <c r="GWT231" s="514"/>
      <c r="GWU231" s="514"/>
      <c r="GWV231" s="514"/>
      <c r="GWW231" s="514"/>
      <c r="GWX231" s="514"/>
      <c r="GWY231" s="514"/>
      <c r="GWZ231" s="514"/>
      <c r="GXA231" s="514"/>
      <c r="GXB231" s="514"/>
      <c r="GXC231" s="514"/>
      <c r="GXD231" s="514"/>
      <c r="GXE231" s="514"/>
      <c r="GXF231" s="514"/>
      <c r="GXG231" s="514"/>
      <c r="GXH231" s="514"/>
      <c r="GXI231" s="514"/>
      <c r="GXJ231" s="514"/>
      <c r="GXK231" s="514"/>
      <c r="GXL231" s="514"/>
      <c r="GXM231" s="514"/>
      <c r="GXN231" s="514"/>
      <c r="GXO231" s="514"/>
      <c r="GXP231" s="514"/>
      <c r="GXQ231" s="514"/>
      <c r="GXR231" s="514"/>
      <c r="GXS231" s="514"/>
      <c r="GXT231" s="514"/>
      <c r="GXU231" s="514"/>
      <c r="GXV231" s="514"/>
      <c r="GXW231" s="514"/>
      <c r="GXX231" s="514"/>
      <c r="GXY231" s="514"/>
      <c r="GXZ231" s="514"/>
      <c r="GYA231" s="514"/>
      <c r="GYB231" s="514"/>
      <c r="GYC231" s="514"/>
      <c r="GYD231" s="514"/>
      <c r="GYE231" s="514"/>
      <c r="GYF231" s="514"/>
      <c r="GYG231" s="514"/>
      <c r="GYH231" s="514"/>
      <c r="GYI231" s="514"/>
      <c r="GYJ231" s="514"/>
      <c r="GYK231" s="514"/>
      <c r="GYL231" s="514"/>
      <c r="GYM231" s="514"/>
      <c r="GYN231" s="514"/>
      <c r="GYO231" s="514"/>
      <c r="GYP231" s="514"/>
      <c r="GYQ231" s="514"/>
      <c r="GYR231" s="514"/>
      <c r="GYS231" s="514"/>
      <c r="GYT231" s="514"/>
      <c r="GYU231" s="514"/>
      <c r="GYV231" s="514"/>
      <c r="GYW231" s="514"/>
      <c r="GYX231" s="514"/>
      <c r="GYY231" s="514"/>
      <c r="GYZ231" s="514"/>
      <c r="GZA231" s="514"/>
      <c r="GZB231" s="514"/>
      <c r="GZC231" s="514"/>
      <c r="GZD231" s="514"/>
      <c r="GZE231" s="514"/>
      <c r="GZF231" s="514"/>
      <c r="GZG231" s="514"/>
      <c r="GZH231" s="514"/>
      <c r="GZI231" s="514"/>
      <c r="GZJ231" s="514"/>
      <c r="GZK231" s="514"/>
      <c r="GZL231" s="514"/>
      <c r="GZM231" s="514"/>
      <c r="GZN231" s="514"/>
      <c r="GZO231" s="514"/>
      <c r="GZP231" s="514"/>
      <c r="GZQ231" s="514"/>
      <c r="GZR231" s="514"/>
      <c r="GZS231" s="514"/>
      <c r="GZT231" s="514"/>
      <c r="GZU231" s="514"/>
      <c r="GZV231" s="514"/>
      <c r="GZW231" s="514"/>
      <c r="GZX231" s="514"/>
      <c r="GZY231" s="514"/>
      <c r="GZZ231" s="514"/>
      <c r="HAA231" s="514"/>
      <c r="HAB231" s="514"/>
      <c r="HAC231" s="514"/>
      <c r="HAD231" s="514"/>
      <c r="HAE231" s="514"/>
      <c r="HAF231" s="514"/>
      <c r="HAG231" s="514"/>
      <c r="HAH231" s="514"/>
      <c r="HAI231" s="514"/>
      <c r="HAJ231" s="514"/>
      <c r="HAK231" s="514"/>
      <c r="HAL231" s="514"/>
      <c r="HAM231" s="514"/>
      <c r="HAN231" s="514"/>
      <c r="HAO231" s="514"/>
      <c r="HAP231" s="514"/>
      <c r="HAQ231" s="514"/>
      <c r="HAR231" s="514"/>
      <c r="HAS231" s="514"/>
      <c r="HAT231" s="514"/>
      <c r="HAU231" s="514"/>
      <c r="HAV231" s="514"/>
      <c r="HAW231" s="514"/>
      <c r="HAX231" s="514"/>
      <c r="HAY231" s="514"/>
      <c r="HAZ231" s="514"/>
      <c r="HBA231" s="514"/>
      <c r="HBB231" s="514"/>
      <c r="HBC231" s="514"/>
      <c r="HBD231" s="514"/>
      <c r="HBE231" s="514"/>
      <c r="HBF231" s="514"/>
      <c r="HBG231" s="514"/>
      <c r="HBH231" s="514"/>
      <c r="HBI231" s="514"/>
      <c r="HBJ231" s="514"/>
      <c r="HBK231" s="514"/>
      <c r="HBL231" s="514"/>
      <c r="HBM231" s="514"/>
      <c r="HBN231" s="514"/>
      <c r="HBO231" s="514"/>
      <c r="HBP231" s="514"/>
      <c r="HBQ231" s="514"/>
      <c r="HBR231" s="514"/>
      <c r="HBS231" s="514"/>
      <c r="HBT231" s="514"/>
      <c r="HBU231" s="514"/>
      <c r="HBV231" s="514"/>
      <c r="HBW231" s="514"/>
      <c r="HBX231" s="514"/>
      <c r="HBY231" s="514"/>
      <c r="HBZ231" s="514"/>
      <c r="HCA231" s="514"/>
      <c r="HCB231" s="514"/>
      <c r="HCC231" s="514"/>
      <c r="HCD231" s="514"/>
      <c r="HCE231" s="514"/>
      <c r="HCF231" s="514"/>
      <c r="HCG231" s="514"/>
      <c r="HCH231" s="514"/>
      <c r="HCI231" s="514"/>
      <c r="HCJ231" s="514"/>
      <c r="HCK231" s="514"/>
      <c r="HCL231" s="514"/>
      <c r="HCM231" s="514"/>
      <c r="HCN231" s="514"/>
      <c r="HCO231" s="514"/>
      <c r="HCP231" s="514"/>
      <c r="HCQ231" s="514"/>
      <c r="HCR231" s="514"/>
      <c r="HCS231" s="514"/>
      <c r="HCT231" s="514"/>
      <c r="HCU231" s="514"/>
      <c r="HCV231" s="514"/>
      <c r="HCW231" s="514"/>
      <c r="HCX231" s="514"/>
      <c r="HCY231" s="514"/>
      <c r="HCZ231" s="514"/>
      <c r="HDA231" s="514"/>
      <c r="HDB231" s="514"/>
      <c r="HDC231" s="514"/>
      <c r="HDD231" s="514"/>
      <c r="HDE231" s="514"/>
      <c r="HDF231" s="514"/>
      <c r="HDG231" s="514"/>
      <c r="HDH231" s="514"/>
      <c r="HDI231" s="514"/>
      <c r="HDJ231" s="514"/>
      <c r="HDK231" s="514"/>
      <c r="HDL231" s="514"/>
      <c r="HDM231" s="514"/>
      <c r="HDN231" s="514"/>
      <c r="HDO231" s="514"/>
      <c r="HDP231" s="514"/>
      <c r="HDQ231" s="514"/>
      <c r="HDR231" s="514"/>
      <c r="HDS231" s="514"/>
      <c r="HDT231" s="514"/>
      <c r="HDU231" s="514"/>
      <c r="HDV231" s="514"/>
      <c r="HDW231" s="514"/>
      <c r="HDX231" s="514"/>
      <c r="HDY231" s="514"/>
      <c r="HDZ231" s="514"/>
      <c r="HEA231" s="514"/>
      <c r="HEB231" s="514"/>
      <c r="HEC231" s="514"/>
      <c r="HED231" s="514"/>
      <c r="HEE231" s="514"/>
      <c r="HEF231" s="514"/>
      <c r="HEG231" s="514"/>
      <c r="HEH231" s="514"/>
      <c r="HEI231" s="514"/>
      <c r="HEJ231" s="514"/>
      <c r="HEK231" s="514"/>
      <c r="HEL231" s="514"/>
      <c r="HEM231" s="514"/>
      <c r="HEN231" s="514"/>
      <c r="HEO231" s="514"/>
      <c r="HEP231" s="514"/>
      <c r="HEQ231" s="514"/>
      <c r="HER231" s="514"/>
      <c r="HES231" s="514"/>
      <c r="HET231" s="514"/>
      <c r="HEU231" s="514"/>
      <c r="HEV231" s="514"/>
      <c r="HEW231" s="514"/>
      <c r="HEX231" s="514"/>
      <c r="HEY231" s="514"/>
      <c r="HEZ231" s="514"/>
      <c r="HFA231" s="514"/>
      <c r="HFB231" s="514"/>
      <c r="HFC231" s="514"/>
      <c r="HFD231" s="514"/>
      <c r="HFE231" s="514"/>
      <c r="HFF231" s="514"/>
      <c r="HFG231" s="514"/>
      <c r="HFH231" s="514"/>
      <c r="HFI231" s="514"/>
      <c r="HFJ231" s="514"/>
      <c r="HFK231" s="514"/>
      <c r="HFL231" s="514"/>
      <c r="HFM231" s="514"/>
      <c r="HFN231" s="514"/>
      <c r="HFO231" s="514"/>
      <c r="HFP231" s="514"/>
      <c r="HFQ231" s="514"/>
      <c r="HFR231" s="514"/>
      <c r="HFS231" s="514"/>
      <c r="HFT231" s="514"/>
      <c r="HFU231" s="514"/>
      <c r="HFV231" s="514"/>
      <c r="HFW231" s="514"/>
      <c r="HFX231" s="514"/>
      <c r="HFY231" s="514"/>
      <c r="HFZ231" s="514"/>
      <c r="HGA231" s="514"/>
      <c r="HGB231" s="514"/>
      <c r="HGC231" s="514"/>
      <c r="HGD231" s="514"/>
      <c r="HGE231" s="514"/>
      <c r="HGF231" s="514"/>
      <c r="HGG231" s="514"/>
      <c r="HGH231" s="514"/>
      <c r="HGI231" s="514"/>
      <c r="HGJ231" s="514"/>
      <c r="HGK231" s="514"/>
      <c r="HGL231" s="514"/>
      <c r="HGM231" s="514"/>
      <c r="HGN231" s="514"/>
      <c r="HGO231" s="514"/>
      <c r="HGP231" s="514"/>
      <c r="HGQ231" s="514"/>
      <c r="HGR231" s="514"/>
      <c r="HGS231" s="514"/>
      <c r="HGT231" s="514"/>
      <c r="HGU231" s="514"/>
      <c r="HGV231" s="514"/>
      <c r="HGW231" s="514"/>
      <c r="HGX231" s="514"/>
      <c r="HGY231" s="514"/>
      <c r="HGZ231" s="514"/>
      <c r="HHA231" s="514"/>
      <c r="HHB231" s="514"/>
      <c r="HHC231" s="514"/>
      <c r="HHD231" s="514"/>
      <c r="HHE231" s="514"/>
      <c r="HHF231" s="514"/>
      <c r="HHG231" s="514"/>
      <c r="HHH231" s="514"/>
      <c r="HHI231" s="514"/>
      <c r="HHJ231" s="514"/>
      <c r="HHK231" s="514"/>
      <c r="HHL231" s="514"/>
      <c r="HHM231" s="514"/>
      <c r="HHN231" s="514"/>
      <c r="HHO231" s="514"/>
      <c r="HHP231" s="514"/>
      <c r="HHQ231" s="514"/>
      <c r="HHR231" s="514"/>
      <c r="HHS231" s="514"/>
      <c r="HHT231" s="514"/>
      <c r="HHU231" s="514"/>
      <c r="HHV231" s="514"/>
      <c r="HHW231" s="514"/>
      <c r="HHX231" s="514"/>
      <c r="HHY231" s="514"/>
      <c r="HHZ231" s="514"/>
      <c r="HIA231" s="514"/>
      <c r="HIB231" s="514"/>
      <c r="HIC231" s="514"/>
      <c r="HID231" s="514"/>
      <c r="HIE231" s="514"/>
      <c r="HIF231" s="514"/>
      <c r="HIG231" s="514"/>
      <c r="HIH231" s="514"/>
      <c r="HII231" s="514"/>
      <c r="HIJ231" s="514"/>
      <c r="HIK231" s="514"/>
      <c r="HIL231" s="514"/>
      <c r="HIM231" s="514"/>
      <c r="HIN231" s="514"/>
      <c r="HIO231" s="514"/>
      <c r="HIP231" s="514"/>
      <c r="HIQ231" s="514"/>
      <c r="HIR231" s="514"/>
      <c r="HIS231" s="514"/>
      <c r="HIT231" s="514"/>
      <c r="HIU231" s="514"/>
      <c r="HIV231" s="514"/>
      <c r="HIW231" s="514"/>
      <c r="HIX231" s="514"/>
      <c r="HIY231" s="514"/>
      <c r="HIZ231" s="514"/>
      <c r="HJA231" s="514"/>
      <c r="HJB231" s="514"/>
      <c r="HJC231" s="514"/>
      <c r="HJD231" s="514"/>
      <c r="HJE231" s="514"/>
      <c r="HJF231" s="514"/>
      <c r="HJG231" s="514"/>
      <c r="HJH231" s="514"/>
      <c r="HJI231" s="514"/>
      <c r="HJJ231" s="514"/>
      <c r="HJK231" s="514"/>
      <c r="HJL231" s="514"/>
      <c r="HJM231" s="514"/>
      <c r="HJN231" s="514"/>
      <c r="HJO231" s="514"/>
      <c r="HJP231" s="514"/>
      <c r="HJQ231" s="514"/>
      <c r="HJR231" s="514"/>
      <c r="HJS231" s="514"/>
      <c r="HJT231" s="514"/>
      <c r="HJU231" s="514"/>
      <c r="HJV231" s="514"/>
      <c r="HJW231" s="514"/>
      <c r="HJX231" s="514"/>
      <c r="HJY231" s="514"/>
      <c r="HJZ231" s="514"/>
      <c r="HKA231" s="514"/>
      <c r="HKB231" s="514"/>
      <c r="HKC231" s="514"/>
      <c r="HKD231" s="514"/>
      <c r="HKE231" s="514"/>
      <c r="HKF231" s="514"/>
      <c r="HKG231" s="514"/>
      <c r="HKH231" s="514"/>
      <c r="HKI231" s="514"/>
      <c r="HKJ231" s="514"/>
      <c r="HKK231" s="514"/>
      <c r="HKL231" s="514"/>
      <c r="HKM231" s="514"/>
      <c r="HKN231" s="514"/>
      <c r="HKO231" s="514"/>
      <c r="HKP231" s="514"/>
      <c r="HKQ231" s="514"/>
      <c r="HKR231" s="514"/>
      <c r="HKS231" s="514"/>
      <c r="HKT231" s="514"/>
      <c r="HKU231" s="514"/>
      <c r="HKV231" s="514"/>
      <c r="HKW231" s="514"/>
      <c r="HKX231" s="514"/>
      <c r="HKY231" s="514"/>
      <c r="HKZ231" s="514"/>
      <c r="HLA231" s="514"/>
      <c r="HLB231" s="514"/>
      <c r="HLC231" s="514"/>
      <c r="HLD231" s="514"/>
      <c r="HLE231" s="514"/>
      <c r="HLF231" s="514"/>
      <c r="HLG231" s="514"/>
      <c r="HLH231" s="514"/>
      <c r="HLI231" s="514"/>
      <c r="HLJ231" s="514"/>
      <c r="HLK231" s="514"/>
      <c r="HLL231" s="514"/>
      <c r="HLM231" s="514"/>
      <c r="HLN231" s="514"/>
      <c r="HLO231" s="514"/>
      <c r="HLP231" s="514"/>
      <c r="HLQ231" s="514"/>
      <c r="HLR231" s="514"/>
      <c r="HLS231" s="514"/>
      <c r="HLT231" s="514"/>
      <c r="HLU231" s="514"/>
      <c r="HLV231" s="514"/>
      <c r="HLW231" s="514"/>
      <c r="HLX231" s="514"/>
      <c r="HLY231" s="514"/>
      <c r="HLZ231" s="514"/>
      <c r="HMA231" s="514"/>
      <c r="HMB231" s="514"/>
      <c r="HMC231" s="514"/>
      <c r="HMD231" s="514"/>
      <c r="HME231" s="514"/>
      <c r="HMF231" s="514"/>
      <c r="HMG231" s="514"/>
      <c r="HMH231" s="514"/>
      <c r="HMI231" s="514"/>
      <c r="HMJ231" s="514"/>
      <c r="HMK231" s="514"/>
      <c r="HML231" s="514"/>
      <c r="HMM231" s="514"/>
      <c r="HMN231" s="514"/>
      <c r="HMO231" s="514"/>
      <c r="HMP231" s="514"/>
      <c r="HMQ231" s="514"/>
      <c r="HMR231" s="514"/>
      <c r="HMS231" s="514"/>
      <c r="HMT231" s="514"/>
      <c r="HMU231" s="514"/>
      <c r="HMV231" s="514"/>
      <c r="HMW231" s="514"/>
      <c r="HMX231" s="514"/>
      <c r="HMY231" s="514"/>
      <c r="HMZ231" s="514"/>
      <c r="HNA231" s="514"/>
      <c r="HNB231" s="514"/>
      <c r="HNC231" s="514"/>
      <c r="HND231" s="514"/>
      <c r="HNE231" s="514"/>
      <c r="HNF231" s="514"/>
      <c r="HNG231" s="514"/>
      <c r="HNH231" s="514"/>
      <c r="HNI231" s="514"/>
      <c r="HNJ231" s="514"/>
      <c r="HNK231" s="514"/>
      <c r="HNL231" s="514"/>
      <c r="HNM231" s="514"/>
      <c r="HNN231" s="514"/>
      <c r="HNO231" s="514"/>
      <c r="HNP231" s="514"/>
      <c r="HNQ231" s="514"/>
      <c r="HNR231" s="514"/>
      <c r="HNS231" s="514"/>
      <c r="HNT231" s="514"/>
      <c r="HNU231" s="514"/>
      <c r="HNV231" s="514"/>
      <c r="HNW231" s="514"/>
      <c r="HNX231" s="514"/>
      <c r="HNY231" s="514"/>
      <c r="HNZ231" s="514"/>
      <c r="HOA231" s="514"/>
      <c r="HOB231" s="514"/>
      <c r="HOC231" s="514"/>
      <c r="HOD231" s="514"/>
      <c r="HOE231" s="514"/>
      <c r="HOF231" s="514"/>
      <c r="HOG231" s="514"/>
      <c r="HOH231" s="514"/>
      <c r="HOI231" s="514"/>
      <c r="HOJ231" s="514"/>
      <c r="HOK231" s="514"/>
      <c r="HOL231" s="514"/>
      <c r="HOM231" s="514"/>
      <c r="HON231" s="514"/>
      <c r="HOO231" s="514"/>
      <c r="HOP231" s="514"/>
      <c r="HOQ231" s="514"/>
      <c r="HOR231" s="514"/>
      <c r="HOS231" s="514"/>
      <c r="HOT231" s="514"/>
      <c r="HOU231" s="514"/>
      <c r="HOV231" s="514"/>
      <c r="HOW231" s="514"/>
      <c r="HOX231" s="514"/>
      <c r="HOY231" s="514"/>
      <c r="HOZ231" s="514"/>
      <c r="HPA231" s="514"/>
      <c r="HPB231" s="514"/>
      <c r="HPC231" s="514"/>
      <c r="HPD231" s="514"/>
      <c r="HPE231" s="514"/>
      <c r="HPF231" s="514"/>
      <c r="HPG231" s="514"/>
      <c r="HPH231" s="514"/>
      <c r="HPI231" s="514"/>
      <c r="HPJ231" s="514"/>
      <c r="HPK231" s="514"/>
      <c r="HPL231" s="514"/>
      <c r="HPM231" s="514"/>
      <c r="HPN231" s="514"/>
      <c r="HPO231" s="514"/>
      <c r="HPP231" s="514"/>
      <c r="HPQ231" s="514"/>
      <c r="HPR231" s="514"/>
      <c r="HPS231" s="514"/>
      <c r="HPT231" s="514"/>
      <c r="HPU231" s="514"/>
      <c r="HPV231" s="514"/>
      <c r="HPW231" s="514"/>
      <c r="HPX231" s="514"/>
      <c r="HPY231" s="514"/>
      <c r="HPZ231" s="514"/>
      <c r="HQA231" s="514"/>
      <c r="HQB231" s="514"/>
      <c r="HQC231" s="514"/>
      <c r="HQD231" s="514"/>
      <c r="HQE231" s="514"/>
      <c r="HQF231" s="514"/>
      <c r="HQG231" s="514"/>
      <c r="HQH231" s="514"/>
      <c r="HQI231" s="514"/>
      <c r="HQJ231" s="514"/>
      <c r="HQK231" s="514"/>
      <c r="HQL231" s="514"/>
      <c r="HQM231" s="514"/>
      <c r="HQN231" s="514"/>
      <c r="HQO231" s="514"/>
      <c r="HQP231" s="514"/>
      <c r="HQQ231" s="514"/>
      <c r="HQR231" s="514"/>
      <c r="HQS231" s="514"/>
      <c r="HQT231" s="514"/>
      <c r="HQU231" s="514"/>
      <c r="HQV231" s="514"/>
      <c r="HQW231" s="514"/>
      <c r="HQX231" s="514"/>
      <c r="HQY231" s="514"/>
      <c r="HQZ231" s="514"/>
      <c r="HRA231" s="514"/>
      <c r="HRB231" s="514"/>
      <c r="HRC231" s="514"/>
      <c r="HRD231" s="514"/>
      <c r="HRE231" s="514"/>
      <c r="HRF231" s="514"/>
      <c r="HRG231" s="514"/>
      <c r="HRH231" s="514"/>
      <c r="HRI231" s="514"/>
      <c r="HRJ231" s="514"/>
      <c r="HRK231" s="514"/>
      <c r="HRL231" s="514"/>
      <c r="HRM231" s="514"/>
      <c r="HRN231" s="514"/>
      <c r="HRO231" s="514"/>
      <c r="HRP231" s="514"/>
      <c r="HRQ231" s="514"/>
      <c r="HRR231" s="514"/>
      <c r="HRS231" s="514"/>
      <c r="HRT231" s="514"/>
      <c r="HRU231" s="514"/>
      <c r="HRV231" s="514"/>
      <c r="HRW231" s="514"/>
      <c r="HRX231" s="514"/>
      <c r="HRY231" s="514"/>
      <c r="HRZ231" s="514"/>
      <c r="HSA231" s="514"/>
      <c r="HSB231" s="514"/>
      <c r="HSC231" s="514"/>
      <c r="HSD231" s="514"/>
      <c r="HSE231" s="514"/>
      <c r="HSF231" s="514"/>
      <c r="HSG231" s="514"/>
      <c r="HSH231" s="514"/>
      <c r="HSI231" s="514"/>
      <c r="HSJ231" s="514"/>
      <c r="HSK231" s="514"/>
      <c r="HSL231" s="514"/>
      <c r="HSM231" s="514"/>
      <c r="HSN231" s="514"/>
      <c r="HSO231" s="514"/>
      <c r="HSP231" s="514"/>
      <c r="HSQ231" s="514"/>
      <c r="HSR231" s="514"/>
      <c r="HSS231" s="514"/>
      <c r="HST231" s="514"/>
      <c r="HSU231" s="514"/>
      <c r="HSV231" s="514"/>
      <c r="HSW231" s="514"/>
      <c r="HSX231" s="514"/>
      <c r="HSY231" s="514"/>
      <c r="HSZ231" s="514"/>
      <c r="HTA231" s="514"/>
      <c r="HTB231" s="514"/>
      <c r="HTC231" s="514"/>
      <c r="HTD231" s="514"/>
      <c r="HTE231" s="514"/>
      <c r="HTF231" s="514"/>
      <c r="HTG231" s="514"/>
      <c r="HTH231" s="514"/>
      <c r="HTI231" s="514"/>
      <c r="HTJ231" s="514"/>
      <c r="HTK231" s="514"/>
      <c r="HTL231" s="514"/>
      <c r="HTM231" s="514"/>
      <c r="HTN231" s="514"/>
      <c r="HTO231" s="514"/>
      <c r="HTP231" s="514"/>
      <c r="HTQ231" s="514"/>
      <c r="HTR231" s="514"/>
      <c r="HTS231" s="514"/>
      <c r="HTT231" s="514"/>
      <c r="HTU231" s="514"/>
      <c r="HTV231" s="514"/>
      <c r="HTW231" s="514"/>
      <c r="HTX231" s="514"/>
      <c r="HTY231" s="514"/>
      <c r="HTZ231" s="514"/>
      <c r="HUA231" s="514"/>
      <c r="HUB231" s="514"/>
      <c r="HUC231" s="514"/>
      <c r="HUD231" s="514"/>
      <c r="HUE231" s="514"/>
      <c r="HUF231" s="514"/>
      <c r="HUG231" s="514"/>
      <c r="HUH231" s="514"/>
      <c r="HUI231" s="514"/>
      <c r="HUJ231" s="514"/>
      <c r="HUK231" s="514"/>
      <c r="HUL231" s="514"/>
      <c r="HUM231" s="514"/>
      <c r="HUN231" s="514"/>
      <c r="HUO231" s="514"/>
      <c r="HUP231" s="514"/>
      <c r="HUQ231" s="514"/>
      <c r="HUR231" s="514"/>
      <c r="HUS231" s="514"/>
      <c r="HUT231" s="514"/>
      <c r="HUU231" s="514"/>
      <c r="HUV231" s="514"/>
      <c r="HUW231" s="514"/>
      <c r="HUX231" s="514"/>
      <c r="HUY231" s="514"/>
      <c r="HUZ231" s="514"/>
      <c r="HVA231" s="514"/>
      <c r="HVB231" s="514"/>
      <c r="HVC231" s="514"/>
      <c r="HVD231" s="514"/>
      <c r="HVE231" s="514"/>
      <c r="HVF231" s="514"/>
      <c r="HVG231" s="514"/>
      <c r="HVH231" s="514"/>
      <c r="HVI231" s="514"/>
      <c r="HVJ231" s="514"/>
      <c r="HVK231" s="514"/>
      <c r="HVL231" s="514"/>
      <c r="HVM231" s="514"/>
      <c r="HVN231" s="514"/>
      <c r="HVO231" s="514"/>
      <c r="HVP231" s="514"/>
      <c r="HVQ231" s="514"/>
      <c r="HVR231" s="514"/>
      <c r="HVS231" s="514"/>
      <c r="HVT231" s="514"/>
      <c r="HVU231" s="514"/>
      <c r="HVV231" s="514"/>
      <c r="HVW231" s="514"/>
      <c r="HVX231" s="514"/>
      <c r="HVY231" s="514"/>
      <c r="HVZ231" s="514"/>
      <c r="HWA231" s="514"/>
      <c r="HWB231" s="514"/>
      <c r="HWC231" s="514"/>
      <c r="HWD231" s="514"/>
      <c r="HWE231" s="514"/>
      <c r="HWF231" s="514"/>
      <c r="HWG231" s="514"/>
      <c r="HWH231" s="514"/>
      <c r="HWI231" s="514"/>
      <c r="HWJ231" s="514"/>
      <c r="HWK231" s="514"/>
      <c r="HWL231" s="514"/>
      <c r="HWM231" s="514"/>
      <c r="HWN231" s="514"/>
      <c r="HWO231" s="514"/>
      <c r="HWP231" s="514"/>
      <c r="HWQ231" s="514"/>
      <c r="HWR231" s="514"/>
      <c r="HWS231" s="514"/>
      <c r="HWT231" s="514"/>
      <c r="HWU231" s="514"/>
      <c r="HWV231" s="514"/>
      <c r="HWW231" s="514"/>
      <c r="HWX231" s="514"/>
      <c r="HWY231" s="514"/>
      <c r="HWZ231" s="514"/>
      <c r="HXA231" s="514"/>
      <c r="HXB231" s="514"/>
      <c r="HXC231" s="514"/>
      <c r="HXD231" s="514"/>
      <c r="HXE231" s="514"/>
      <c r="HXF231" s="514"/>
      <c r="HXG231" s="514"/>
      <c r="HXH231" s="514"/>
      <c r="HXI231" s="514"/>
      <c r="HXJ231" s="514"/>
      <c r="HXK231" s="514"/>
      <c r="HXL231" s="514"/>
      <c r="HXM231" s="514"/>
      <c r="HXN231" s="514"/>
      <c r="HXO231" s="514"/>
      <c r="HXP231" s="514"/>
      <c r="HXQ231" s="514"/>
      <c r="HXR231" s="514"/>
      <c r="HXS231" s="514"/>
      <c r="HXT231" s="514"/>
      <c r="HXU231" s="514"/>
      <c r="HXV231" s="514"/>
      <c r="HXW231" s="514"/>
      <c r="HXX231" s="514"/>
      <c r="HXY231" s="514"/>
      <c r="HXZ231" s="514"/>
      <c r="HYA231" s="514"/>
      <c r="HYB231" s="514"/>
      <c r="HYC231" s="514"/>
      <c r="HYD231" s="514"/>
      <c r="HYE231" s="514"/>
      <c r="HYF231" s="514"/>
      <c r="HYG231" s="514"/>
      <c r="HYH231" s="514"/>
      <c r="HYI231" s="514"/>
      <c r="HYJ231" s="514"/>
      <c r="HYK231" s="514"/>
      <c r="HYL231" s="514"/>
      <c r="HYM231" s="514"/>
      <c r="HYN231" s="514"/>
      <c r="HYO231" s="514"/>
      <c r="HYP231" s="514"/>
      <c r="HYQ231" s="514"/>
      <c r="HYR231" s="514"/>
      <c r="HYS231" s="514"/>
      <c r="HYT231" s="514"/>
      <c r="HYU231" s="514"/>
      <c r="HYV231" s="514"/>
      <c r="HYW231" s="514"/>
      <c r="HYX231" s="514"/>
      <c r="HYY231" s="514"/>
      <c r="HYZ231" s="514"/>
      <c r="HZA231" s="514"/>
      <c r="HZB231" s="514"/>
      <c r="HZC231" s="514"/>
      <c r="HZD231" s="514"/>
      <c r="HZE231" s="514"/>
      <c r="HZF231" s="514"/>
      <c r="HZG231" s="514"/>
      <c r="HZH231" s="514"/>
      <c r="HZI231" s="514"/>
      <c r="HZJ231" s="514"/>
      <c r="HZK231" s="514"/>
      <c r="HZL231" s="514"/>
      <c r="HZM231" s="514"/>
      <c r="HZN231" s="514"/>
      <c r="HZO231" s="514"/>
      <c r="HZP231" s="514"/>
      <c r="HZQ231" s="514"/>
      <c r="HZR231" s="514"/>
      <c r="HZS231" s="514"/>
      <c r="HZT231" s="514"/>
      <c r="HZU231" s="514"/>
      <c r="HZV231" s="514"/>
      <c r="HZW231" s="514"/>
      <c r="HZX231" s="514"/>
      <c r="HZY231" s="514"/>
      <c r="HZZ231" s="514"/>
      <c r="IAA231" s="514"/>
      <c r="IAB231" s="514"/>
      <c r="IAC231" s="514"/>
      <c r="IAD231" s="514"/>
      <c r="IAE231" s="514"/>
      <c r="IAF231" s="514"/>
      <c r="IAG231" s="514"/>
      <c r="IAH231" s="514"/>
      <c r="IAI231" s="514"/>
      <c r="IAJ231" s="514"/>
      <c r="IAK231" s="514"/>
      <c r="IAL231" s="514"/>
      <c r="IAM231" s="514"/>
      <c r="IAN231" s="514"/>
      <c r="IAO231" s="514"/>
      <c r="IAP231" s="514"/>
      <c r="IAQ231" s="514"/>
      <c r="IAR231" s="514"/>
      <c r="IAS231" s="514"/>
      <c r="IAT231" s="514"/>
      <c r="IAU231" s="514"/>
      <c r="IAV231" s="514"/>
      <c r="IAW231" s="514"/>
      <c r="IAX231" s="514"/>
      <c r="IAY231" s="514"/>
      <c r="IAZ231" s="514"/>
      <c r="IBA231" s="514"/>
      <c r="IBB231" s="514"/>
      <c r="IBC231" s="514"/>
      <c r="IBD231" s="514"/>
      <c r="IBE231" s="514"/>
      <c r="IBF231" s="514"/>
      <c r="IBG231" s="514"/>
      <c r="IBH231" s="514"/>
      <c r="IBI231" s="514"/>
      <c r="IBJ231" s="514"/>
      <c r="IBK231" s="514"/>
      <c r="IBL231" s="514"/>
      <c r="IBM231" s="514"/>
      <c r="IBN231" s="514"/>
      <c r="IBO231" s="514"/>
      <c r="IBP231" s="514"/>
      <c r="IBQ231" s="514"/>
      <c r="IBR231" s="514"/>
      <c r="IBS231" s="514"/>
      <c r="IBT231" s="514"/>
      <c r="IBU231" s="514"/>
      <c r="IBV231" s="514"/>
      <c r="IBW231" s="514"/>
      <c r="IBX231" s="514"/>
      <c r="IBY231" s="514"/>
      <c r="IBZ231" s="514"/>
      <c r="ICA231" s="514"/>
      <c r="ICB231" s="514"/>
      <c r="ICC231" s="514"/>
      <c r="ICD231" s="514"/>
      <c r="ICE231" s="514"/>
      <c r="ICF231" s="514"/>
      <c r="ICG231" s="514"/>
      <c r="ICH231" s="514"/>
      <c r="ICI231" s="514"/>
      <c r="ICJ231" s="514"/>
      <c r="ICK231" s="514"/>
      <c r="ICL231" s="514"/>
      <c r="ICM231" s="514"/>
      <c r="ICN231" s="514"/>
      <c r="ICO231" s="514"/>
      <c r="ICP231" s="514"/>
      <c r="ICQ231" s="514"/>
      <c r="ICR231" s="514"/>
      <c r="ICS231" s="514"/>
      <c r="ICT231" s="514"/>
      <c r="ICU231" s="514"/>
      <c r="ICV231" s="514"/>
      <c r="ICW231" s="514"/>
      <c r="ICX231" s="514"/>
      <c r="ICY231" s="514"/>
      <c r="ICZ231" s="514"/>
      <c r="IDA231" s="514"/>
      <c r="IDB231" s="514"/>
      <c r="IDC231" s="514"/>
      <c r="IDD231" s="514"/>
      <c r="IDE231" s="514"/>
      <c r="IDF231" s="514"/>
      <c r="IDG231" s="514"/>
      <c r="IDH231" s="514"/>
      <c r="IDI231" s="514"/>
      <c r="IDJ231" s="514"/>
      <c r="IDK231" s="514"/>
      <c r="IDL231" s="514"/>
      <c r="IDM231" s="514"/>
      <c r="IDN231" s="514"/>
      <c r="IDO231" s="514"/>
      <c r="IDP231" s="514"/>
      <c r="IDQ231" s="514"/>
      <c r="IDR231" s="514"/>
      <c r="IDS231" s="514"/>
      <c r="IDT231" s="514"/>
      <c r="IDU231" s="514"/>
      <c r="IDV231" s="514"/>
      <c r="IDW231" s="514"/>
      <c r="IDX231" s="514"/>
      <c r="IDY231" s="514"/>
      <c r="IDZ231" s="514"/>
      <c r="IEA231" s="514"/>
      <c r="IEB231" s="514"/>
      <c r="IEC231" s="514"/>
      <c r="IED231" s="514"/>
      <c r="IEE231" s="514"/>
      <c r="IEF231" s="514"/>
      <c r="IEG231" s="514"/>
      <c r="IEH231" s="514"/>
      <c r="IEI231" s="514"/>
      <c r="IEJ231" s="514"/>
      <c r="IEK231" s="514"/>
      <c r="IEL231" s="514"/>
      <c r="IEM231" s="514"/>
      <c r="IEN231" s="514"/>
      <c r="IEO231" s="514"/>
      <c r="IEP231" s="514"/>
      <c r="IEQ231" s="514"/>
      <c r="IER231" s="514"/>
      <c r="IES231" s="514"/>
      <c r="IET231" s="514"/>
      <c r="IEU231" s="514"/>
      <c r="IEV231" s="514"/>
      <c r="IEW231" s="514"/>
      <c r="IEX231" s="514"/>
      <c r="IEY231" s="514"/>
      <c r="IEZ231" s="514"/>
      <c r="IFA231" s="514"/>
      <c r="IFB231" s="514"/>
      <c r="IFC231" s="514"/>
      <c r="IFD231" s="514"/>
      <c r="IFE231" s="514"/>
      <c r="IFF231" s="514"/>
      <c r="IFG231" s="514"/>
      <c r="IFH231" s="514"/>
      <c r="IFI231" s="514"/>
      <c r="IFJ231" s="514"/>
      <c r="IFK231" s="514"/>
      <c r="IFL231" s="514"/>
      <c r="IFM231" s="514"/>
      <c r="IFN231" s="514"/>
      <c r="IFO231" s="514"/>
      <c r="IFP231" s="514"/>
      <c r="IFQ231" s="514"/>
      <c r="IFR231" s="514"/>
      <c r="IFS231" s="514"/>
      <c r="IFT231" s="514"/>
      <c r="IFU231" s="514"/>
      <c r="IFV231" s="514"/>
      <c r="IFW231" s="514"/>
      <c r="IFX231" s="514"/>
      <c r="IFY231" s="514"/>
      <c r="IFZ231" s="514"/>
      <c r="IGA231" s="514"/>
      <c r="IGB231" s="514"/>
      <c r="IGC231" s="514"/>
      <c r="IGD231" s="514"/>
      <c r="IGE231" s="514"/>
      <c r="IGF231" s="514"/>
      <c r="IGG231" s="514"/>
      <c r="IGH231" s="514"/>
      <c r="IGI231" s="514"/>
      <c r="IGJ231" s="514"/>
      <c r="IGK231" s="514"/>
      <c r="IGL231" s="514"/>
      <c r="IGM231" s="514"/>
      <c r="IGN231" s="514"/>
      <c r="IGO231" s="514"/>
      <c r="IGP231" s="514"/>
      <c r="IGQ231" s="514"/>
      <c r="IGR231" s="514"/>
      <c r="IGS231" s="514"/>
      <c r="IGT231" s="514"/>
      <c r="IGU231" s="514"/>
      <c r="IGV231" s="514"/>
      <c r="IGW231" s="514"/>
      <c r="IGX231" s="514"/>
      <c r="IGY231" s="514"/>
      <c r="IGZ231" s="514"/>
      <c r="IHA231" s="514"/>
      <c r="IHB231" s="514"/>
      <c r="IHC231" s="514"/>
      <c r="IHD231" s="514"/>
      <c r="IHE231" s="514"/>
      <c r="IHF231" s="514"/>
      <c r="IHG231" s="514"/>
      <c r="IHH231" s="514"/>
      <c r="IHI231" s="514"/>
      <c r="IHJ231" s="514"/>
      <c r="IHK231" s="514"/>
      <c r="IHL231" s="514"/>
      <c r="IHM231" s="514"/>
      <c r="IHN231" s="514"/>
      <c r="IHO231" s="514"/>
      <c r="IHP231" s="514"/>
      <c r="IHQ231" s="514"/>
      <c r="IHR231" s="514"/>
      <c r="IHS231" s="514"/>
      <c r="IHT231" s="514"/>
      <c r="IHU231" s="514"/>
      <c r="IHV231" s="514"/>
      <c r="IHW231" s="514"/>
      <c r="IHX231" s="514"/>
      <c r="IHY231" s="514"/>
      <c r="IHZ231" s="514"/>
      <c r="IIA231" s="514"/>
      <c r="IIB231" s="514"/>
      <c r="IIC231" s="514"/>
      <c r="IID231" s="514"/>
      <c r="IIE231" s="514"/>
      <c r="IIF231" s="514"/>
      <c r="IIG231" s="514"/>
      <c r="IIH231" s="514"/>
      <c r="III231" s="514"/>
      <c r="IIJ231" s="514"/>
      <c r="IIK231" s="514"/>
      <c r="IIL231" s="514"/>
      <c r="IIM231" s="514"/>
      <c r="IIN231" s="514"/>
      <c r="IIO231" s="514"/>
      <c r="IIP231" s="514"/>
      <c r="IIQ231" s="514"/>
      <c r="IIR231" s="514"/>
      <c r="IIS231" s="514"/>
      <c r="IIT231" s="514"/>
      <c r="IIU231" s="514"/>
      <c r="IIV231" s="514"/>
      <c r="IIW231" s="514"/>
      <c r="IIX231" s="514"/>
      <c r="IIY231" s="514"/>
      <c r="IIZ231" s="514"/>
      <c r="IJA231" s="514"/>
      <c r="IJB231" s="514"/>
      <c r="IJC231" s="514"/>
      <c r="IJD231" s="514"/>
      <c r="IJE231" s="514"/>
      <c r="IJF231" s="514"/>
      <c r="IJG231" s="514"/>
      <c r="IJH231" s="514"/>
      <c r="IJI231" s="514"/>
      <c r="IJJ231" s="514"/>
      <c r="IJK231" s="514"/>
      <c r="IJL231" s="514"/>
      <c r="IJM231" s="514"/>
      <c r="IJN231" s="514"/>
      <c r="IJO231" s="514"/>
      <c r="IJP231" s="514"/>
      <c r="IJQ231" s="514"/>
      <c r="IJR231" s="514"/>
      <c r="IJS231" s="514"/>
      <c r="IJT231" s="514"/>
      <c r="IJU231" s="514"/>
      <c r="IJV231" s="514"/>
      <c r="IJW231" s="514"/>
      <c r="IJX231" s="514"/>
      <c r="IJY231" s="514"/>
      <c r="IJZ231" s="514"/>
      <c r="IKA231" s="514"/>
      <c r="IKB231" s="514"/>
      <c r="IKC231" s="514"/>
      <c r="IKD231" s="514"/>
      <c r="IKE231" s="514"/>
      <c r="IKF231" s="514"/>
      <c r="IKG231" s="514"/>
      <c r="IKH231" s="514"/>
      <c r="IKI231" s="514"/>
      <c r="IKJ231" s="514"/>
      <c r="IKK231" s="514"/>
      <c r="IKL231" s="514"/>
      <c r="IKM231" s="514"/>
      <c r="IKN231" s="514"/>
      <c r="IKO231" s="514"/>
      <c r="IKP231" s="514"/>
      <c r="IKQ231" s="514"/>
      <c r="IKR231" s="514"/>
      <c r="IKS231" s="514"/>
      <c r="IKT231" s="514"/>
      <c r="IKU231" s="514"/>
      <c r="IKV231" s="514"/>
      <c r="IKW231" s="514"/>
      <c r="IKX231" s="514"/>
      <c r="IKY231" s="514"/>
      <c r="IKZ231" s="514"/>
      <c r="ILA231" s="514"/>
      <c r="ILB231" s="514"/>
      <c r="ILC231" s="514"/>
      <c r="ILD231" s="514"/>
      <c r="ILE231" s="514"/>
      <c r="ILF231" s="514"/>
      <c r="ILG231" s="514"/>
      <c r="ILH231" s="514"/>
      <c r="ILI231" s="514"/>
      <c r="ILJ231" s="514"/>
      <c r="ILK231" s="514"/>
      <c r="ILL231" s="514"/>
      <c r="ILM231" s="514"/>
      <c r="ILN231" s="514"/>
      <c r="ILO231" s="514"/>
      <c r="ILP231" s="514"/>
      <c r="ILQ231" s="514"/>
      <c r="ILR231" s="514"/>
      <c r="ILS231" s="514"/>
      <c r="ILT231" s="514"/>
      <c r="ILU231" s="514"/>
      <c r="ILV231" s="514"/>
      <c r="ILW231" s="514"/>
      <c r="ILX231" s="514"/>
      <c r="ILY231" s="514"/>
      <c r="ILZ231" s="514"/>
      <c r="IMA231" s="514"/>
      <c r="IMB231" s="514"/>
      <c r="IMC231" s="514"/>
      <c r="IMD231" s="514"/>
      <c r="IME231" s="514"/>
      <c r="IMF231" s="514"/>
      <c r="IMG231" s="514"/>
      <c r="IMH231" s="514"/>
      <c r="IMI231" s="514"/>
      <c r="IMJ231" s="514"/>
      <c r="IMK231" s="514"/>
      <c r="IML231" s="514"/>
      <c r="IMM231" s="514"/>
      <c r="IMN231" s="514"/>
      <c r="IMO231" s="514"/>
      <c r="IMP231" s="514"/>
      <c r="IMQ231" s="514"/>
      <c r="IMR231" s="514"/>
      <c r="IMS231" s="514"/>
      <c r="IMT231" s="514"/>
      <c r="IMU231" s="514"/>
      <c r="IMV231" s="514"/>
      <c r="IMW231" s="514"/>
      <c r="IMX231" s="514"/>
      <c r="IMY231" s="514"/>
      <c r="IMZ231" s="514"/>
      <c r="INA231" s="514"/>
      <c r="INB231" s="514"/>
      <c r="INC231" s="514"/>
      <c r="IND231" s="514"/>
      <c r="INE231" s="514"/>
      <c r="INF231" s="514"/>
      <c r="ING231" s="514"/>
      <c r="INH231" s="514"/>
      <c r="INI231" s="514"/>
      <c r="INJ231" s="514"/>
      <c r="INK231" s="514"/>
      <c r="INL231" s="514"/>
      <c r="INM231" s="514"/>
      <c r="INN231" s="514"/>
      <c r="INO231" s="514"/>
      <c r="INP231" s="514"/>
      <c r="INQ231" s="514"/>
      <c r="INR231" s="514"/>
      <c r="INS231" s="514"/>
      <c r="INT231" s="514"/>
      <c r="INU231" s="514"/>
      <c r="INV231" s="514"/>
      <c r="INW231" s="514"/>
      <c r="INX231" s="514"/>
      <c r="INY231" s="514"/>
      <c r="INZ231" s="514"/>
      <c r="IOA231" s="514"/>
      <c r="IOB231" s="514"/>
      <c r="IOC231" s="514"/>
      <c r="IOD231" s="514"/>
      <c r="IOE231" s="514"/>
      <c r="IOF231" s="514"/>
      <c r="IOG231" s="514"/>
      <c r="IOH231" s="514"/>
      <c r="IOI231" s="514"/>
      <c r="IOJ231" s="514"/>
      <c r="IOK231" s="514"/>
      <c r="IOL231" s="514"/>
      <c r="IOM231" s="514"/>
      <c r="ION231" s="514"/>
      <c r="IOO231" s="514"/>
      <c r="IOP231" s="514"/>
      <c r="IOQ231" s="514"/>
      <c r="IOR231" s="514"/>
      <c r="IOS231" s="514"/>
      <c r="IOT231" s="514"/>
      <c r="IOU231" s="514"/>
      <c r="IOV231" s="514"/>
      <c r="IOW231" s="514"/>
      <c r="IOX231" s="514"/>
      <c r="IOY231" s="514"/>
      <c r="IOZ231" s="514"/>
      <c r="IPA231" s="514"/>
      <c r="IPB231" s="514"/>
      <c r="IPC231" s="514"/>
      <c r="IPD231" s="514"/>
      <c r="IPE231" s="514"/>
      <c r="IPF231" s="514"/>
      <c r="IPG231" s="514"/>
      <c r="IPH231" s="514"/>
      <c r="IPI231" s="514"/>
      <c r="IPJ231" s="514"/>
      <c r="IPK231" s="514"/>
      <c r="IPL231" s="514"/>
      <c r="IPM231" s="514"/>
      <c r="IPN231" s="514"/>
      <c r="IPO231" s="514"/>
      <c r="IPP231" s="514"/>
      <c r="IPQ231" s="514"/>
      <c r="IPR231" s="514"/>
      <c r="IPS231" s="514"/>
      <c r="IPT231" s="514"/>
      <c r="IPU231" s="514"/>
      <c r="IPV231" s="514"/>
      <c r="IPW231" s="514"/>
      <c r="IPX231" s="514"/>
      <c r="IPY231" s="514"/>
      <c r="IPZ231" s="514"/>
      <c r="IQA231" s="514"/>
      <c r="IQB231" s="514"/>
      <c r="IQC231" s="514"/>
      <c r="IQD231" s="514"/>
      <c r="IQE231" s="514"/>
      <c r="IQF231" s="514"/>
      <c r="IQG231" s="514"/>
      <c r="IQH231" s="514"/>
      <c r="IQI231" s="514"/>
      <c r="IQJ231" s="514"/>
      <c r="IQK231" s="514"/>
      <c r="IQL231" s="514"/>
      <c r="IQM231" s="514"/>
      <c r="IQN231" s="514"/>
      <c r="IQO231" s="514"/>
      <c r="IQP231" s="514"/>
      <c r="IQQ231" s="514"/>
      <c r="IQR231" s="514"/>
      <c r="IQS231" s="514"/>
      <c r="IQT231" s="514"/>
      <c r="IQU231" s="514"/>
      <c r="IQV231" s="514"/>
      <c r="IQW231" s="514"/>
      <c r="IQX231" s="514"/>
      <c r="IQY231" s="514"/>
      <c r="IQZ231" s="514"/>
      <c r="IRA231" s="514"/>
      <c r="IRB231" s="514"/>
      <c r="IRC231" s="514"/>
      <c r="IRD231" s="514"/>
      <c r="IRE231" s="514"/>
      <c r="IRF231" s="514"/>
      <c r="IRG231" s="514"/>
      <c r="IRH231" s="514"/>
      <c r="IRI231" s="514"/>
      <c r="IRJ231" s="514"/>
      <c r="IRK231" s="514"/>
      <c r="IRL231" s="514"/>
      <c r="IRM231" s="514"/>
      <c r="IRN231" s="514"/>
      <c r="IRO231" s="514"/>
      <c r="IRP231" s="514"/>
      <c r="IRQ231" s="514"/>
      <c r="IRR231" s="514"/>
      <c r="IRS231" s="514"/>
      <c r="IRT231" s="514"/>
      <c r="IRU231" s="514"/>
      <c r="IRV231" s="514"/>
      <c r="IRW231" s="514"/>
      <c r="IRX231" s="514"/>
      <c r="IRY231" s="514"/>
      <c r="IRZ231" s="514"/>
      <c r="ISA231" s="514"/>
      <c r="ISB231" s="514"/>
      <c r="ISC231" s="514"/>
      <c r="ISD231" s="514"/>
      <c r="ISE231" s="514"/>
      <c r="ISF231" s="514"/>
      <c r="ISG231" s="514"/>
      <c r="ISH231" s="514"/>
      <c r="ISI231" s="514"/>
      <c r="ISJ231" s="514"/>
      <c r="ISK231" s="514"/>
      <c r="ISL231" s="514"/>
      <c r="ISM231" s="514"/>
      <c r="ISN231" s="514"/>
      <c r="ISO231" s="514"/>
      <c r="ISP231" s="514"/>
      <c r="ISQ231" s="514"/>
      <c r="ISR231" s="514"/>
      <c r="ISS231" s="514"/>
      <c r="IST231" s="514"/>
      <c r="ISU231" s="514"/>
      <c r="ISV231" s="514"/>
      <c r="ISW231" s="514"/>
      <c r="ISX231" s="514"/>
      <c r="ISY231" s="514"/>
      <c r="ISZ231" s="514"/>
      <c r="ITA231" s="514"/>
      <c r="ITB231" s="514"/>
      <c r="ITC231" s="514"/>
      <c r="ITD231" s="514"/>
      <c r="ITE231" s="514"/>
      <c r="ITF231" s="514"/>
      <c r="ITG231" s="514"/>
      <c r="ITH231" s="514"/>
      <c r="ITI231" s="514"/>
      <c r="ITJ231" s="514"/>
      <c r="ITK231" s="514"/>
      <c r="ITL231" s="514"/>
      <c r="ITM231" s="514"/>
      <c r="ITN231" s="514"/>
      <c r="ITO231" s="514"/>
      <c r="ITP231" s="514"/>
      <c r="ITQ231" s="514"/>
      <c r="ITR231" s="514"/>
      <c r="ITS231" s="514"/>
      <c r="ITT231" s="514"/>
      <c r="ITU231" s="514"/>
      <c r="ITV231" s="514"/>
      <c r="ITW231" s="514"/>
      <c r="ITX231" s="514"/>
      <c r="ITY231" s="514"/>
      <c r="ITZ231" s="514"/>
      <c r="IUA231" s="514"/>
      <c r="IUB231" s="514"/>
      <c r="IUC231" s="514"/>
      <c r="IUD231" s="514"/>
      <c r="IUE231" s="514"/>
      <c r="IUF231" s="514"/>
      <c r="IUG231" s="514"/>
      <c r="IUH231" s="514"/>
      <c r="IUI231" s="514"/>
      <c r="IUJ231" s="514"/>
      <c r="IUK231" s="514"/>
      <c r="IUL231" s="514"/>
      <c r="IUM231" s="514"/>
      <c r="IUN231" s="514"/>
      <c r="IUO231" s="514"/>
      <c r="IUP231" s="514"/>
      <c r="IUQ231" s="514"/>
      <c r="IUR231" s="514"/>
      <c r="IUS231" s="514"/>
      <c r="IUT231" s="514"/>
      <c r="IUU231" s="514"/>
      <c r="IUV231" s="514"/>
      <c r="IUW231" s="514"/>
      <c r="IUX231" s="514"/>
      <c r="IUY231" s="514"/>
      <c r="IUZ231" s="514"/>
      <c r="IVA231" s="514"/>
      <c r="IVB231" s="514"/>
      <c r="IVC231" s="514"/>
      <c r="IVD231" s="514"/>
      <c r="IVE231" s="514"/>
      <c r="IVF231" s="514"/>
      <c r="IVG231" s="514"/>
      <c r="IVH231" s="514"/>
      <c r="IVI231" s="514"/>
      <c r="IVJ231" s="514"/>
      <c r="IVK231" s="514"/>
      <c r="IVL231" s="514"/>
      <c r="IVM231" s="514"/>
      <c r="IVN231" s="514"/>
      <c r="IVO231" s="514"/>
      <c r="IVP231" s="514"/>
      <c r="IVQ231" s="514"/>
      <c r="IVR231" s="514"/>
      <c r="IVS231" s="514"/>
      <c r="IVT231" s="514"/>
      <c r="IVU231" s="514"/>
      <c r="IVV231" s="514"/>
      <c r="IVW231" s="514"/>
      <c r="IVX231" s="514"/>
      <c r="IVY231" s="514"/>
      <c r="IVZ231" s="514"/>
      <c r="IWA231" s="514"/>
      <c r="IWB231" s="514"/>
      <c r="IWC231" s="514"/>
      <c r="IWD231" s="514"/>
      <c r="IWE231" s="514"/>
      <c r="IWF231" s="514"/>
      <c r="IWG231" s="514"/>
      <c r="IWH231" s="514"/>
      <c r="IWI231" s="514"/>
      <c r="IWJ231" s="514"/>
      <c r="IWK231" s="514"/>
      <c r="IWL231" s="514"/>
      <c r="IWM231" s="514"/>
      <c r="IWN231" s="514"/>
      <c r="IWO231" s="514"/>
      <c r="IWP231" s="514"/>
      <c r="IWQ231" s="514"/>
      <c r="IWR231" s="514"/>
      <c r="IWS231" s="514"/>
      <c r="IWT231" s="514"/>
      <c r="IWU231" s="514"/>
      <c r="IWV231" s="514"/>
      <c r="IWW231" s="514"/>
      <c r="IWX231" s="514"/>
      <c r="IWY231" s="514"/>
      <c r="IWZ231" s="514"/>
      <c r="IXA231" s="514"/>
      <c r="IXB231" s="514"/>
      <c r="IXC231" s="514"/>
      <c r="IXD231" s="514"/>
      <c r="IXE231" s="514"/>
      <c r="IXF231" s="514"/>
      <c r="IXG231" s="514"/>
      <c r="IXH231" s="514"/>
      <c r="IXI231" s="514"/>
      <c r="IXJ231" s="514"/>
      <c r="IXK231" s="514"/>
      <c r="IXL231" s="514"/>
      <c r="IXM231" s="514"/>
      <c r="IXN231" s="514"/>
      <c r="IXO231" s="514"/>
      <c r="IXP231" s="514"/>
      <c r="IXQ231" s="514"/>
      <c r="IXR231" s="514"/>
      <c r="IXS231" s="514"/>
      <c r="IXT231" s="514"/>
      <c r="IXU231" s="514"/>
      <c r="IXV231" s="514"/>
      <c r="IXW231" s="514"/>
      <c r="IXX231" s="514"/>
      <c r="IXY231" s="514"/>
      <c r="IXZ231" s="514"/>
      <c r="IYA231" s="514"/>
      <c r="IYB231" s="514"/>
      <c r="IYC231" s="514"/>
      <c r="IYD231" s="514"/>
      <c r="IYE231" s="514"/>
      <c r="IYF231" s="514"/>
      <c r="IYG231" s="514"/>
      <c r="IYH231" s="514"/>
      <c r="IYI231" s="514"/>
      <c r="IYJ231" s="514"/>
      <c r="IYK231" s="514"/>
      <c r="IYL231" s="514"/>
      <c r="IYM231" s="514"/>
      <c r="IYN231" s="514"/>
      <c r="IYO231" s="514"/>
      <c r="IYP231" s="514"/>
      <c r="IYQ231" s="514"/>
      <c r="IYR231" s="514"/>
      <c r="IYS231" s="514"/>
      <c r="IYT231" s="514"/>
      <c r="IYU231" s="514"/>
      <c r="IYV231" s="514"/>
      <c r="IYW231" s="514"/>
      <c r="IYX231" s="514"/>
      <c r="IYY231" s="514"/>
      <c r="IYZ231" s="514"/>
      <c r="IZA231" s="514"/>
      <c r="IZB231" s="514"/>
      <c r="IZC231" s="514"/>
      <c r="IZD231" s="514"/>
      <c r="IZE231" s="514"/>
      <c r="IZF231" s="514"/>
      <c r="IZG231" s="514"/>
      <c r="IZH231" s="514"/>
      <c r="IZI231" s="514"/>
      <c r="IZJ231" s="514"/>
      <c r="IZK231" s="514"/>
      <c r="IZL231" s="514"/>
      <c r="IZM231" s="514"/>
      <c r="IZN231" s="514"/>
      <c r="IZO231" s="514"/>
      <c r="IZP231" s="514"/>
      <c r="IZQ231" s="514"/>
      <c r="IZR231" s="514"/>
      <c r="IZS231" s="514"/>
      <c r="IZT231" s="514"/>
      <c r="IZU231" s="514"/>
      <c r="IZV231" s="514"/>
      <c r="IZW231" s="514"/>
      <c r="IZX231" s="514"/>
      <c r="IZY231" s="514"/>
      <c r="IZZ231" s="514"/>
      <c r="JAA231" s="514"/>
      <c r="JAB231" s="514"/>
      <c r="JAC231" s="514"/>
      <c r="JAD231" s="514"/>
      <c r="JAE231" s="514"/>
      <c r="JAF231" s="514"/>
      <c r="JAG231" s="514"/>
      <c r="JAH231" s="514"/>
      <c r="JAI231" s="514"/>
      <c r="JAJ231" s="514"/>
      <c r="JAK231" s="514"/>
      <c r="JAL231" s="514"/>
      <c r="JAM231" s="514"/>
      <c r="JAN231" s="514"/>
      <c r="JAO231" s="514"/>
      <c r="JAP231" s="514"/>
      <c r="JAQ231" s="514"/>
      <c r="JAR231" s="514"/>
      <c r="JAS231" s="514"/>
      <c r="JAT231" s="514"/>
      <c r="JAU231" s="514"/>
      <c r="JAV231" s="514"/>
      <c r="JAW231" s="514"/>
      <c r="JAX231" s="514"/>
      <c r="JAY231" s="514"/>
      <c r="JAZ231" s="514"/>
      <c r="JBA231" s="514"/>
      <c r="JBB231" s="514"/>
      <c r="JBC231" s="514"/>
      <c r="JBD231" s="514"/>
      <c r="JBE231" s="514"/>
      <c r="JBF231" s="514"/>
      <c r="JBG231" s="514"/>
      <c r="JBH231" s="514"/>
      <c r="JBI231" s="514"/>
      <c r="JBJ231" s="514"/>
      <c r="JBK231" s="514"/>
      <c r="JBL231" s="514"/>
      <c r="JBM231" s="514"/>
      <c r="JBN231" s="514"/>
      <c r="JBO231" s="514"/>
      <c r="JBP231" s="514"/>
      <c r="JBQ231" s="514"/>
      <c r="JBR231" s="514"/>
      <c r="JBS231" s="514"/>
      <c r="JBT231" s="514"/>
      <c r="JBU231" s="514"/>
      <c r="JBV231" s="514"/>
      <c r="JBW231" s="514"/>
      <c r="JBX231" s="514"/>
      <c r="JBY231" s="514"/>
      <c r="JBZ231" s="514"/>
      <c r="JCA231" s="514"/>
      <c r="JCB231" s="514"/>
      <c r="JCC231" s="514"/>
      <c r="JCD231" s="514"/>
      <c r="JCE231" s="514"/>
      <c r="JCF231" s="514"/>
      <c r="JCG231" s="514"/>
      <c r="JCH231" s="514"/>
      <c r="JCI231" s="514"/>
      <c r="JCJ231" s="514"/>
      <c r="JCK231" s="514"/>
      <c r="JCL231" s="514"/>
      <c r="JCM231" s="514"/>
      <c r="JCN231" s="514"/>
      <c r="JCO231" s="514"/>
      <c r="JCP231" s="514"/>
      <c r="JCQ231" s="514"/>
      <c r="JCR231" s="514"/>
      <c r="JCS231" s="514"/>
      <c r="JCT231" s="514"/>
      <c r="JCU231" s="514"/>
      <c r="JCV231" s="514"/>
      <c r="JCW231" s="514"/>
      <c r="JCX231" s="514"/>
      <c r="JCY231" s="514"/>
      <c r="JCZ231" s="514"/>
      <c r="JDA231" s="514"/>
      <c r="JDB231" s="514"/>
      <c r="JDC231" s="514"/>
      <c r="JDD231" s="514"/>
      <c r="JDE231" s="514"/>
      <c r="JDF231" s="514"/>
      <c r="JDG231" s="514"/>
      <c r="JDH231" s="514"/>
      <c r="JDI231" s="514"/>
      <c r="JDJ231" s="514"/>
      <c r="JDK231" s="514"/>
      <c r="JDL231" s="514"/>
      <c r="JDM231" s="514"/>
      <c r="JDN231" s="514"/>
      <c r="JDO231" s="514"/>
      <c r="JDP231" s="514"/>
      <c r="JDQ231" s="514"/>
      <c r="JDR231" s="514"/>
      <c r="JDS231" s="514"/>
      <c r="JDT231" s="514"/>
      <c r="JDU231" s="514"/>
      <c r="JDV231" s="514"/>
      <c r="JDW231" s="514"/>
      <c r="JDX231" s="514"/>
      <c r="JDY231" s="514"/>
      <c r="JDZ231" s="514"/>
      <c r="JEA231" s="514"/>
      <c r="JEB231" s="514"/>
      <c r="JEC231" s="514"/>
      <c r="JED231" s="514"/>
      <c r="JEE231" s="514"/>
      <c r="JEF231" s="514"/>
      <c r="JEG231" s="514"/>
      <c r="JEH231" s="514"/>
      <c r="JEI231" s="514"/>
      <c r="JEJ231" s="514"/>
      <c r="JEK231" s="514"/>
      <c r="JEL231" s="514"/>
      <c r="JEM231" s="514"/>
      <c r="JEN231" s="514"/>
      <c r="JEO231" s="514"/>
      <c r="JEP231" s="514"/>
      <c r="JEQ231" s="514"/>
      <c r="JER231" s="514"/>
      <c r="JES231" s="514"/>
      <c r="JET231" s="514"/>
      <c r="JEU231" s="514"/>
      <c r="JEV231" s="514"/>
      <c r="JEW231" s="514"/>
      <c r="JEX231" s="514"/>
      <c r="JEY231" s="514"/>
      <c r="JEZ231" s="514"/>
      <c r="JFA231" s="514"/>
      <c r="JFB231" s="514"/>
      <c r="JFC231" s="514"/>
      <c r="JFD231" s="514"/>
      <c r="JFE231" s="514"/>
      <c r="JFF231" s="514"/>
      <c r="JFG231" s="514"/>
      <c r="JFH231" s="514"/>
      <c r="JFI231" s="514"/>
      <c r="JFJ231" s="514"/>
      <c r="JFK231" s="514"/>
      <c r="JFL231" s="514"/>
      <c r="JFM231" s="514"/>
      <c r="JFN231" s="514"/>
      <c r="JFO231" s="514"/>
      <c r="JFP231" s="514"/>
      <c r="JFQ231" s="514"/>
      <c r="JFR231" s="514"/>
      <c r="JFS231" s="514"/>
      <c r="JFT231" s="514"/>
      <c r="JFU231" s="514"/>
      <c r="JFV231" s="514"/>
      <c r="JFW231" s="514"/>
      <c r="JFX231" s="514"/>
      <c r="JFY231" s="514"/>
      <c r="JFZ231" s="514"/>
      <c r="JGA231" s="514"/>
      <c r="JGB231" s="514"/>
      <c r="JGC231" s="514"/>
      <c r="JGD231" s="514"/>
      <c r="JGE231" s="514"/>
      <c r="JGF231" s="514"/>
      <c r="JGG231" s="514"/>
      <c r="JGH231" s="514"/>
      <c r="JGI231" s="514"/>
      <c r="JGJ231" s="514"/>
      <c r="JGK231" s="514"/>
      <c r="JGL231" s="514"/>
      <c r="JGM231" s="514"/>
      <c r="JGN231" s="514"/>
      <c r="JGO231" s="514"/>
      <c r="JGP231" s="514"/>
      <c r="JGQ231" s="514"/>
      <c r="JGR231" s="514"/>
      <c r="JGS231" s="514"/>
      <c r="JGT231" s="514"/>
      <c r="JGU231" s="514"/>
      <c r="JGV231" s="514"/>
      <c r="JGW231" s="514"/>
      <c r="JGX231" s="514"/>
      <c r="JGY231" s="514"/>
      <c r="JGZ231" s="514"/>
      <c r="JHA231" s="514"/>
      <c r="JHB231" s="514"/>
      <c r="JHC231" s="514"/>
      <c r="JHD231" s="514"/>
      <c r="JHE231" s="514"/>
      <c r="JHF231" s="514"/>
      <c r="JHG231" s="514"/>
      <c r="JHH231" s="514"/>
      <c r="JHI231" s="514"/>
      <c r="JHJ231" s="514"/>
      <c r="JHK231" s="514"/>
      <c r="JHL231" s="514"/>
      <c r="JHM231" s="514"/>
      <c r="JHN231" s="514"/>
      <c r="JHO231" s="514"/>
      <c r="JHP231" s="514"/>
      <c r="JHQ231" s="514"/>
      <c r="JHR231" s="514"/>
      <c r="JHS231" s="514"/>
      <c r="JHT231" s="514"/>
      <c r="JHU231" s="514"/>
      <c r="JHV231" s="514"/>
      <c r="JHW231" s="514"/>
      <c r="JHX231" s="514"/>
      <c r="JHY231" s="514"/>
      <c r="JHZ231" s="514"/>
      <c r="JIA231" s="514"/>
      <c r="JIB231" s="514"/>
      <c r="JIC231" s="514"/>
      <c r="JID231" s="514"/>
      <c r="JIE231" s="514"/>
      <c r="JIF231" s="514"/>
      <c r="JIG231" s="514"/>
      <c r="JIH231" s="514"/>
      <c r="JII231" s="514"/>
      <c r="JIJ231" s="514"/>
      <c r="JIK231" s="514"/>
      <c r="JIL231" s="514"/>
      <c r="JIM231" s="514"/>
      <c r="JIN231" s="514"/>
      <c r="JIO231" s="514"/>
      <c r="JIP231" s="514"/>
      <c r="JIQ231" s="514"/>
      <c r="JIR231" s="514"/>
      <c r="JIS231" s="514"/>
      <c r="JIT231" s="514"/>
      <c r="JIU231" s="514"/>
      <c r="JIV231" s="514"/>
      <c r="JIW231" s="514"/>
      <c r="JIX231" s="514"/>
      <c r="JIY231" s="514"/>
      <c r="JIZ231" s="514"/>
      <c r="JJA231" s="514"/>
      <c r="JJB231" s="514"/>
      <c r="JJC231" s="514"/>
      <c r="JJD231" s="514"/>
      <c r="JJE231" s="514"/>
      <c r="JJF231" s="514"/>
      <c r="JJG231" s="514"/>
      <c r="JJH231" s="514"/>
      <c r="JJI231" s="514"/>
      <c r="JJJ231" s="514"/>
      <c r="JJK231" s="514"/>
      <c r="JJL231" s="514"/>
      <c r="JJM231" s="514"/>
      <c r="JJN231" s="514"/>
      <c r="JJO231" s="514"/>
      <c r="JJP231" s="514"/>
      <c r="JJQ231" s="514"/>
      <c r="JJR231" s="514"/>
      <c r="JJS231" s="514"/>
      <c r="JJT231" s="514"/>
      <c r="JJU231" s="514"/>
      <c r="JJV231" s="514"/>
      <c r="JJW231" s="514"/>
      <c r="JJX231" s="514"/>
      <c r="JJY231" s="514"/>
      <c r="JJZ231" s="514"/>
      <c r="JKA231" s="514"/>
      <c r="JKB231" s="514"/>
      <c r="JKC231" s="514"/>
      <c r="JKD231" s="514"/>
      <c r="JKE231" s="514"/>
      <c r="JKF231" s="514"/>
      <c r="JKG231" s="514"/>
      <c r="JKH231" s="514"/>
      <c r="JKI231" s="514"/>
      <c r="JKJ231" s="514"/>
      <c r="JKK231" s="514"/>
      <c r="JKL231" s="514"/>
      <c r="JKM231" s="514"/>
      <c r="JKN231" s="514"/>
      <c r="JKO231" s="514"/>
      <c r="JKP231" s="514"/>
      <c r="JKQ231" s="514"/>
      <c r="JKR231" s="514"/>
      <c r="JKS231" s="514"/>
      <c r="JKT231" s="514"/>
      <c r="JKU231" s="514"/>
      <c r="JKV231" s="514"/>
      <c r="JKW231" s="514"/>
      <c r="JKX231" s="514"/>
      <c r="JKY231" s="514"/>
      <c r="JKZ231" s="514"/>
      <c r="JLA231" s="514"/>
      <c r="JLB231" s="514"/>
      <c r="JLC231" s="514"/>
      <c r="JLD231" s="514"/>
      <c r="JLE231" s="514"/>
      <c r="JLF231" s="514"/>
      <c r="JLG231" s="514"/>
      <c r="JLH231" s="514"/>
      <c r="JLI231" s="514"/>
      <c r="JLJ231" s="514"/>
      <c r="JLK231" s="514"/>
      <c r="JLL231" s="514"/>
      <c r="JLM231" s="514"/>
      <c r="JLN231" s="514"/>
      <c r="JLO231" s="514"/>
      <c r="JLP231" s="514"/>
      <c r="JLQ231" s="514"/>
      <c r="JLR231" s="514"/>
      <c r="JLS231" s="514"/>
      <c r="JLT231" s="514"/>
      <c r="JLU231" s="514"/>
      <c r="JLV231" s="514"/>
      <c r="JLW231" s="514"/>
      <c r="JLX231" s="514"/>
      <c r="JLY231" s="514"/>
      <c r="JLZ231" s="514"/>
      <c r="JMA231" s="514"/>
      <c r="JMB231" s="514"/>
      <c r="JMC231" s="514"/>
      <c r="JMD231" s="514"/>
      <c r="JME231" s="514"/>
      <c r="JMF231" s="514"/>
      <c r="JMG231" s="514"/>
      <c r="JMH231" s="514"/>
      <c r="JMI231" s="514"/>
      <c r="JMJ231" s="514"/>
      <c r="JMK231" s="514"/>
      <c r="JML231" s="514"/>
      <c r="JMM231" s="514"/>
      <c r="JMN231" s="514"/>
      <c r="JMO231" s="514"/>
      <c r="JMP231" s="514"/>
      <c r="JMQ231" s="514"/>
      <c r="JMR231" s="514"/>
      <c r="JMS231" s="514"/>
      <c r="JMT231" s="514"/>
      <c r="JMU231" s="514"/>
      <c r="JMV231" s="514"/>
      <c r="JMW231" s="514"/>
      <c r="JMX231" s="514"/>
      <c r="JMY231" s="514"/>
      <c r="JMZ231" s="514"/>
      <c r="JNA231" s="514"/>
      <c r="JNB231" s="514"/>
      <c r="JNC231" s="514"/>
      <c r="JND231" s="514"/>
      <c r="JNE231" s="514"/>
      <c r="JNF231" s="514"/>
      <c r="JNG231" s="514"/>
      <c r="JNH231" s="514"/>
      <c r="JNI231" s="514"/>
      <c r="JNJ231" s="514"/>
      <c r="JNK231" s="514"/>
      <c r="JNL231" s="514"/>
      <c r="JNM231" s="514"/>
      <c r="JNN231" s="514"/>
      <c r="JNO231" s="514"/>
      <c r="JNP231" s="514"/>
      <c r="JNQ231" s="514"/>
      <c r="JNR231" s="514"/>
      <c r="JNS231" s="514"/>
      <c r="JNT231" s="514"/>
      <c r="JNU231" s="514"/>
      <c r="JNV231" s="514"/>
      <c r="JNW231" s="514"/>
      <c r="JNX231" s="514"/>
      <c r="JNY231" s="514"/>
      <c r="JNZ231" s="514"/>
      <c r="JOA231" s="514"/>
      <c r="JOB231" s="514"/>
      <c r="JOC231" s="514"/>
      <c r="JOD231" s="514"/>
      <c r="JOE231" s="514"/>
      <c r="JOF231" s="514"/>
      <c r="JOG231" s="514"/>
      <c r="JOH231" s="514"/>
      <c r="JOI231" s="514"/>
      <c r="JOJ231" s="514"/>
      <c r="JOK231" s="514"/>
      <c r="JOL231" s="514"/>
      <c r="JOM231" s="514"/>
      <c r="JON231" s="514"/>
      <c r="JOO231" s="514"/>
      <c r="JOP231" s="514"/>
      <c r="JOQ231" s="514"/>
      <c r="JOR231" s="514"/>
      <c r="JOS231" s="514"/>
      <c r="JOT231" s="514"/>
      <c r="JOU231" s="514"/>
      <c r="JOV231" s="514"/>
      <c r="JOW231" s="514"/>
      <c r="JOX231" s="514"/>
      <c r="JOY231" s="514"/>
      <c r="JOZ231" s="514"/>
      <c r="JPA231" s="514"/>
      <c r="JPB231" s="514"/>
      <c r="JPC231" s="514"/>
      <c r="JPD231" s="514"/>
      <c r="JPE231" s="514"/>
      <c r="JPF231" s="514"/>
      <c r="JPG231" s="514"/>
      <c r="JPH231" s="514"/>
      <c r="JPI231" s="514"/>
      <c r="JPJ231" s="514"/>
      <c r="JPK231" s="514"/>
      <c r="JPL231" s="514"/>
      <c r="JPM231" s="514"/>
      <c r="JPN231" s="514"/>
      <c r="JPO231" s="514"/>
      <c r="JPP231" s="514"/>
      <c r="JPQ231" s="514"/>
      <c r="JPR231" s="514"/>
      <c r="JPS231" s="514"/>
      <c r="JPT231" s="514"/>
      <c r="JPU231" s="514"/>
      <c r="JPV231" s="514"/>
      <c r="JPW231" s="514"/>
      <c r="JPX231" s="514"/>
      <c r="JPY231" s="514"/>
      <c r="JPZ231" s="514"/>
      <c r="JQA231" s="514"/>
      <c r="JQB231" s="514"/>
      <c r="JQC231" s="514"/>
      <c r="JQD231" s="514"/>
      <c r="JQE231" s="514"/>
      <c r="JQF231" s="514"/>
      <c r="JQG231" s="514"/>
      <c r="JQH231" s="514"/>
      <c r="JQI231" s="514"/>
      <c r="JQJ231" s="514"/>
      <c r="JQK231" s="514"/>
      <c r="JQL231" s="514"/>
      <c r="JQM231" s="514"/>
      <c r="JQN231" s="514"/>
      <c r="JQO231" s="514"/>
      <c r="JQP231" s="514"/>
      <c r="JQQ231" s="514"/>
      <c r="JQR231" s="514"/>
      <c r="JQS231" s="514"/>
      <c r="JQT231" s="514"/>
      <c r="JQU231" s="514"/>
      <c r="JQV231" s="514"/>
      <c r="JQW231" s="514"/>
      <c r="JQX231" s="514"/>
      <c r="JQY231" s="514"/>
      <c r="JQZ231" s="514"/>
      <c r="JRA231" s="514"/>
      <c r="JRB231" s="514"/>
      <c r="JRC231" s="514"/>
      <c r="JRD231" s="514"/>
      <c r="JRE231" s="514"/>
      <c r="JRF231" s="514"/>
      <c r="JRG231" s="514"/>
      <c r="JRH231" s="514"/>
      <c r="JRI231" s="514"/>
      <c r="JRJ231" s="514"/>
      <c r="JRK231" s="514"/>
      <c r="JRL231" s="514"/>
      <c r="JRM231" s="514"/>
      <c r="JRN231" s="514"/>
      <c r="JRO231" s="514"/>
      <c r="JRP231" s="514"/>
      <c r="JRQ231" s="514"/>
      <c r="JRR231" s="514"/>
      <c r="JRS231" s="514"/>
      <c r="JRT231" s="514"/>
      <c r="JRU231" s="514"/>
      <c r="JRV231" s="514"/>
      <c r="JRW231" s="514"/>
      <c r="JRX231" s="514"/>
      <c r="JRY231" s="514"/>
      <c r="JRZ231" s="514"/>
      <c r="JSA231" s="514"/>
      <c r="JSB231" s="514"/>
      <c r="JSC231" s="514"/>
      <c r="JSD231" s="514"/>
      <c r="JSE231" s="514"/>
      <c r="JSF231" s="514"/>
      <c r="JSG231" s="514"/>
      <c r="JSH231" s="514"/>
      <c r="JSI231" s="514"/>
      <c r="JSJ231" s="514"/>
      <c r="JSK231" s="514"/>
      <c r="JSL231" s="514"/>
      <c r="JSM231" s="514"/>
      <c r="JSN231" s="514"/>
      <c r="JSO231" s="514"/>
      <c r="JSP231" s="514"/>
      <c r="JSQ231" s="514"/>
      <c r="JSR231" s="514"/>
      <c r="JSS231" s="514"/>
      <c r="JST231" s="514"/>
      <c r="JSU231" s="514"/>
      <c r="JSV231" s="514"/>
      <c r="JSW231" s="514"/>
      <c r="JSX231" s="514"/>
      <c r="JSY231" s="514"/>
      <c r="JSZ231" s="514"/>
      <c r="JTA231" s="514"/>
      <c r="JTB231" s="514"/>
      <c r="JTC231" s="514"/>
      <c r="JTD231" s="514"/>
      <c r="JTE231" s="514"/>
      <c r="JTF231" s="514"/>
      <c r="JTG231" s="514"/>
      <c r="JTH231" s="514"/>
      <c r="JTI231" s="514"/>
      <c r="JTJ231" s="514"/>
      <c r="JTK231" s="514"/>
      <c r="JTL231" s="514"/>
      <c r="JTM231" s="514"/>
      <c r="JTN231" s="514"/>
      <c r="JTO231" s="514"/>
      <c r="JTP231" s="514"/>
      <c r="JTQ231" s="514"/>
      <c r="JTR231" s="514"/>
      <c r="JTS231" s="514"/>
      <c r="JTT231" s="514"/>
      <c r="JTU231" s="514"/>
      <c r="JTV231" s="514"/>
      <c r="JTW231" s="514"/>
      <c r="JTX231" s="514"/>
      <c r="JTY231" s="514"/>
      <c r="JTZ231" s="514"/>
      <c r="JUA231" s="514"/>
      <c r="JUB231" s="514"/>
      <c r="JUC231" s="514"/>
      <c r="JUD231" s="514"/>
      <c r="JUE231" s="514"/>
      <c r="JUF231" s="514"/>
      <c r="JUG231" s="514"/>
      <c r="JUH231" s="514"/>
      <c r="JUI231" s="514"/>
      <c r="JUJ231" s="514"/>
      <c r="JUK231" s="514"/>
      <c r="JUL231" s="514"/>
      <c r="JUM231" s="514"/>
      <c r="JUN231" s="514"/>
      <c r="JUO231" s="514"/>
      <c r="JUP231" s="514"/>
      <c r="JUQ231" s="514"/>
      <c r="JUR231" s="514"/>
      <c r="JUS231" s="514"/>
      <c r="JUT231" s="514"/>
      <c r="JUU231" s="514"/>
      <c r="JUV231" s="514"/>
      <c r="JUW231" s="514"/>
      <c r="JUX231" s="514"/>
      <c r="JUY231" s="514"/>
      <c r="JUZ231" s="514"/>
      <c r="JVA231" s="514"/>
      <c r="JVB231" s="514"/>
      <c r="JVC231" s="514"/>
      <c r="JVD231" s="514"/>
      <c r="JVE231" s="514"/>
      <c r="JVF231" s="514"/>
      <c r="JVG231" s="514"/>
      <c r="JVH231" s="514"/>
      <c r="JVI231" s="514"/>
      <c r="JVJ231" s="514"/>
      <c r="JVK231" s="514"/>
      <c r="JVL231" s="514"/>
      <c r="JVM231" s="514"/>
      <c r="JVN231" s="514"/>
      <c r="JVO231" s="514"/>
      <c r="JVP231" s="514"/>
      <c r="JVQ231" s="514"/>
      <c r="JVR231" s="514"/>
      <c r="JVS231" s="514"/>
      <c r="JVT231" s="514"/>
      <c r="JVU231" s="514"/>
      <c r="JVV231" s="514"/>
      <c r="JVW231" s="514"/>
      <c r="JVX231" s="514"/>
      <c r="JVY231" s="514"/>
      <c r="JVZ231" s="514"/>
      <c r="JWA231" s="514"/>
      <c r="JWB231" s="514"/>
      <c r="JWC231" s="514"/>
      <c r="JWD231" s="514"/>
      <c r="JWE231" s="514"/>
      <c r="JWF231" s="514"/>
      <c r="JWG231" s="514"/>
      <c r="JWH231" s="514"/>
      <c r="JWI231" s="514"/>
      <c r="JWJ231" s="514"/>
      <c r="JWK231" s="514"/>
      <c r="JWL231" s="514"/>
      <c r="JWM231" s="514"/>
      <c r="JWN231" s="514"/>
      <c r="JWO231" s="514"/>
      <c r="JWP231" s="514"/>
      <c r="JWQ231" s="514"/>
      <c r="JWR231" s="514"/>
      <c r="JWS231" s="514"/>
      <c r="JWT231" s="514"/>
      <c r="JWU231" s="514"/>
      <c r="JWV231" s="514"/>
      <c r="JWW231" s="514"/>
      <c r="JWX231" s="514"/>
      <c r="JWY231" s="514"/>
      <c r="JWZ231" s="514"/>
      <c r="JXA231" s="514"/>
      <c r="JXB231" s="514"/>
      <c r="JXC231" s="514"/>
      <c r="JXD231" s="514"/>
      <c r="JXE231" s="514"/>
      <c r="JXF231" s="514"/>
      <c r="JXG231" s="514"/>
      <c r="JXH231" s="514"/>
      <c r="JXI231" s="514"/>
      <c r="JXJ231" s="514"/>
      <c r="JXK231" s="514"/>
      <c r="JXL231" s="514"/>
      <c r="JXM231" s="514"/>
      <c r="JXN231" s="514"/>
      <c r="JXO231" s="514"/>
      <c r="JXP231" s="514"/>
      <c r="JXQ231" s="514"/>
      <c r="JXR231" s="514"/>
      <c r="JXS231" s="514"/>
      <c r="JXT231" s="514"/>
      <c r="JXU231" s="514"/>
      <c r="JXV231" s="514"/>
      <c r="JXW231" s="514"/>
      <c r="JXX231" s="514"/>
      <c r="JXY231" s="514"/>
      <c r="JXZ231" s="514"/>
      <c r="JYA231" s="514"/>
      <c r="JYB231" s="514"/>
      <c r="JYC231" s="514"/>
      <c r="JYD231" s="514"/>
      <c r="JYE231" s="514"/>
      <c r="JYF231" s="514"/>
      <c r="JYG231" s="514"/>
      <c r="JYH231" s="514"/>
      <c r="JYI231" s="514"/>
      <c r="JYJ231" s="514"/>
      <c r="JYK231" s="514"/>
      <c r="JYL231" s="514"/>
      <c r="JYM231" s="514"/>
      <c r="JYN231" s="514"/>
      <c r="JYO231" s="514"/>
      <c r="JYP231" s="514"/>
      <c r="JYQ231" s="514"/>
      <c r="JYR231" s="514"/>
      <c r="JYS231" s="514"/>
      <c r="JYT231" s="514"/>
      <c r="JYU231" s="514"/>
      <c r="JYV231" s="514"/>
      <c r="JYW231" s="514"/>
      <c r="JYX231" s="514"/>
      <c r="JYY231" s="514"/>
      <c r="JYZ231" s="514"/>
      <c r="JZA231" s="514"/>
      <c r="JZB231" s="514"/>
      <c r="JZC231" s="514"/>
      <c r="JZD231" s="514"/>
      <c r="JZE231" s="514"/>
      <c r="JZF231" s="514"/>
      <c r="JZG231" s="514"/>
      <c r="JZH231" s="514"/>
      <c r="JZI231" s="514"/>
      <c r="JZJ231" s="514"/>
      <c r="JZK231" s="514"/>
      <c r="JZL231" s="514"/>
      <c r="JZM231" s="514"/>
      <c r="JZN231" s="514"/>
      <c r="JZO231" s="514"/>
      <c r="JZP231" s="514"/>
      <c r="JZQ231" s="514"/>
      <c r="JZR231" s="514"/>
      <c r="JZS231" s="514"/>
      <c r="JZT231" s="514"/>
      <c r="JZU231" s="514"/>
      <c r="JZV231" s="514"/>
      <c r="JZW231" s="514"/>
      <c r="JZX231" s="514"/>
      <c r="JZY231" s="514"/>
      <c r="JZZ231" s="514"/>
      <c r="KAA231" s="514"/>
      <c r="KAB231" s="514"/>
      <c r="KAC231" s="514"/>
      <c r="KAD231" s="514"/>
      <c r="KAE231" s="514"/>
      <c r="KAF231" s="514"/>
      <c r="KAG231" s="514"/>
      <c r="KAH231" s="514"/>
      <c r="KAI231" s="514"/>
      <c r="KAJ231" s="514"/>
      <c r="KAK231" s="514"/>
      <c r="KAL231" s="514"/>
      <c r="KAM231" s="514"/>
      <c r="KAN231" s="514"/>
      <c r="KAO231" s="514"/>
      <c r="KAP231" s="514"/>
      <c r="KAQ231" s="514"/>
      <c r="KAR231" s="514"/>
      <c r="KAS231" s="514"/>
      <c r="KAT231" s="514"/>
      <c r="KAU231" s="514"/>
      <c r="KAV231" s="514"/>
      <c r="KAW231" s="514"/>
      <c r="KAX231" s="514"/>
      <c r="KAY231" s="514"/>
      <c r="KAZ231" s="514"/>
      <c r="KBA231" s="514"/>
      <c r="KBB231" s="514"/>
      <c r="KBC231" s="514"/>
      <c r="KBD231" s="514"/>
      <c r="KBE231" s="514"/>
      <c r="KBF231" s="514"/>
      <c r="KBG231" s="514"/>
      <c r="KBH231" s="514"/>
      <c r="KBI231" s="514"/>
      <c r="KBJ231" s="514"/>
      <c r="KBK231" s="514"/>
      <c r="KBL231" s="514"/>
      <c r="KBM231" s="514"/>
      <c r="KBN231" s="514"/>
      <c r="KBO231" s="514"/>
      <c r="KBP231" s="514"/>
      <c r="KBQ231" s="514"/>
      <c r="KBR231" s="514"/>
      <c r="KBS231" s="514"/>
      <c r="KBT231" s="514"/>
      <c r="KBU231" s="514"/>
      <c r="KBV231" s="514"/>
      <c r="KBW231" s="514"/>
      <c r="KBX231" s="514"/>
      <c r="KBY231" s="514"/>
      <c r="KBZ231" s="514"/>
      <c r="KCA231" s="514"/>
      <c r="KCB231" s="514"/>
      <c r="KCC231" s="514"/>
      <c r="KCD231" s="514"/>
      <c r="KCE231" s="514"/>
      <c r="KCF231" s="514"/>
      <c r="KCG231" s="514"/>
      <c r="KCH231" s="514"/>
      <c r="KCI231" s="514"/>
      <c r="KCJ231" s="514"/>
      <c r="KCK231" s="514"/>
      <c r="KCL231" s="514"/>
      <c r="KCM231" s="514"/>
      <c r="KCN231" s="514"/>
      <c r="KCO231" s="514"/>
      <c r="KCP231" s="514"/>
      <c r="KCQ231" s="514"/>
      <c r="KCR231" s="514"/>
      <c r="KCS231" s="514"/>
      <c r="KCT231" s="514"/>
      <c r="KCU231" s="514"/>
      <c r="KCV231" s="514"/>
      <c r="KCW231" s="514"/>
      <c r="KCX231" s="514"/>
      <c r="KCY231" s="514"/>
      <c r="KCZ231" s="514"/>
      <c r="KDA231" s="514"/>
      <c r="KDB231" s="514"/>
      <c r="KDC231" s="514"/>
      <c r="KDD231" s="514"/>
      <c r="KDE231" s="514"/>
      <c r="KDF231" s="514"/>
      <c r="KDG231" s="514"/>
      <c r="KDH231" s="514"/>
      <c r="KDI231" s="514"/>
      <c r="KDJ231" s="514"/>
      <c r="KDK231" s="514"/>
      <c r="KDL231" s="514"/>
      <c r="KDM231" s="514"/>
      <c r="KDN231" s="514"/>
      <c r="KDO231" s="514"/>
      <c r="KDP231" s="514"/>
      <c r="KDQ231" s="514"/>
      <c r="KDR231" s="514"/>
      <c r="KDS231" s="514"/>
      <c r="KDT231" s="514"/>
      <c r="KDU231" s="514"/>
      <c r="KDV231" s="514"/>
      <c r="KDW231" s="514"/>
      <c r="KDX231" s="514"/>
      <c r="KDY231" s="514"/>
      <c r="KDZ231" s="514"/>
      <c r="KEA231" s="514"/>
      <c r="KEB231" s="514"/>
      <c r="KEC231" s="514"/>
      <c r="KED231" s="514"/>
      <c r="KEE231" s="514"/>
      <c r="KEF231" s="514"/>
      <c r="KEG231" s="514"/>
      <c r="KEH231" s="514"/>
      <c r="KEI231" s="514"/>
      <c r="KEJ231" s="514"/>
      <c r="KEK231" s="514"/>
      <c r="KEL231" s="514"/>
      <c r="KEM231" s="514"/>
      <c r="KEN231" s="514"/>
      <c r="KEO231" s="514"/>
      <c r="KEP231" s="514"/>
      <c r="KEQ231" s="514"/>
      <c r="KER231" s="514"/>
      <c r="KES231" s="514"/>
      <c r="KET231" s="514"/>
      <c r="KEU231" s="514"/>
      <c r="KEV231" s="514"/>
      <c r="KEW231" s="514"/>
      <c r="KEX231" s="514"/>
      <c r="KEY231" s="514"/>
      <c r="KEZ231" s="514"/>
      <c r="KFA231" s="514"/>
      <c r="KFB231" s="514"/>
      <c r="KFC231" s="514"/>
      <c r="KFD231" s="514"/>
      <c r="KFE231" s="514"/>
      <c r="KFF231" s="514"/>
      <c r="KFG231" s="514"/>
      <c r="KFH231" s="514"/>
      <c r="KFI231" s="514"/>
      <c r="KFJ231" s="514"/>
      <c r="KFK231" s="514"/>
      <c r="KFL231" s="514"/>
      <c r="KFM231" s="514"/>
      <c r="KFN231" s="514"/>
      <c r="KFO231" s="514"/>
      <c r="KFP231" s="514"/>
      <c r="KFQ231" s="514"/>
      <c r="KFR231" s="514"/>
      <c r="KFS231" s="514"/>
      <c r="KFT231" s="514"/>
      <c r="KFU231" s="514"/>
      <c r="KFV231" s="514"/>
      <c r="KFW231" s="514"/>
      <c r="KFX231" s="514"/>
      <c r="KFY231" s="514"/>
      <c r="KFZ231" s="514"/>
      <c r="KGA231" s="514"/>
      <c r="KGB231" s="514"/>
      <c r="KGC231" s="514"/>
      <c r="KGD231" s="514"/>
      <c r="KGE231" s="514"/>
      <c r="KGF231" s="514"/>
      <c r="KGG231" s="514"/>
      <c r="KGH231" s="514"/>
      <c r="KGI231" s="514"/>
      <c r="KGJ231" s="514"/>
      <c r="KGK231" s="514"/>
      <c r="KGL231" s="514"/>
      <c r="KGM231" s="514"/>
      <c r="KGN231" s="514"/>
      <c r="KGO231" s="514"/>
      <c r="KGP231" s="514"/>
      <c r="KGQ231" s="514"/>
      <c r="KGR231" s="514"/>
      <c r="KGS231" s="514"/>
      <c r="KGT231" s="514"/>
      <c r="KGU231" s="514"/>
      <c r="KGV231" s="514"/>
      <c r="KGW231" s="514"/>
      <c r="KGX231" s="514"/>
      <c r="KGY231" s="514"/>
      <c r="KGZ231" s="514"/>
      <c r="KHA231" s="514"/>
      <c r="KHB231" s="514"/>
      <c r="KHC231" s="514"/>
      <c r="KHD231" s="514"/>
      <c r="KHE231" s="514"/>
      <c r="KHF231" s="514"/>
      <c r="KHG231" s="514"/>
      <c r="KHH231" s="514"/>
      <c r="KHI231" s="514"/>
      <c r="KHJ231" s="514"/>
      <c r="KHK231" s="514"/>
      <c r="KHL231" s="514"/>
      <c r="KHM231" s="514"/>
      <c r="KHN231" s="514"/>
      <c r="KHO231" s="514"/>
      <c r="KHP231" s="514"/>
      <c r="KHQ231" s="514"/>
      <c r="KHR231" s="514"/>
      <c r="KHS231" s="514"/>
      <c r="KHT231" s="514"/>
      <c r="KHU231" s="514"/>
      <c r="KHV231" s="514"/>
      <c r="KHW231" s="514"/>
      <c r="KHX231" s="514"/>
      <c r="KHY231" s="514"/>
      <c r="KHZ231" s="514"/>
      <c r="KIA231" s="514"/>
      <c r="KIB231" s="514"/>
      <c r="KIC231" s="514"/>
      <c r="KID231" s="514"/>
      <c r="KIE231" s="514"/>
      <c r="KIF231" s="514"/>
      <c r="KIG231" s="514"/>
      <c r="KIH231" s="514"/>
      <c r="KII231" s="514"/>
      <c r="KIJ231" s="514"/>
      <c r="KIK231" s="514"/>
      <c r="KIL231" s="514"/>
      <c r="KIM231" s="514"/>
      <c r="KIN231" s="514"/>
      <c r="KIO231" s="514"/>
      <c r="KIP231" s="514"/>
      <c r="KIQ231" s="514"/>
      <c r="KIR231" s="514"/>
      <c r="KIS231" s="514"/>
      <c r="KIT231" s="514"/>
      <c r="KIU231" s="514"/>
      <c r="KIV231" s="514"/>
      <c r="KIW231" s="514"/>
      <c r="KIX231" s="514"/>
      <c r="KIY231" s="514"/>
      <c r="KIZ231" s="514"/>
      <c r="KJA231" s="514"/>
      <c r="KJB231" s="514"/>
      <c r="KJC231" s="514"/>
      <c r="KJD231" s="514"/>
      <c r="KJE231" s="514"/>
      <c r="KJF231" s="514"/>
      <c r="KJG231" s="514"/>
      <c r="KJH231" s="514"/>
      <c r="KJI231" s="514"/>
      <c r="KJJ231" s="514"/>
      <c r="KJK231" s="514"/>
      <c r="KJL231" s="514"/>
      <c r="KJM231" s="514"/>
      <c r="KJN231" s="514"/>
      <c r="KJO231" s="514"/>
      <c r="KJP231" s="514"/>
      <c r="KJQ231" s="514"/>
      <c r="KJR231" s="514"/>
      <c r="KJS231" s="514"/>
      <c r="KJT231" s="514"/>
      <c r="KJU231" s="514"/>
      <c r="KJV231" s="514"/>
      <c r="KJW231" s="514"/>
      <c r="KJX231" s="514"/>
      <c r="KJY231" s="514"/>
      <c r="KJZ231" s="514"/>
      <c r="KKA231" s="514"/>
      <c r="KKB231" s="514"/>
      <c r="KKC231" s="514"/>
      <c r="KKD231" s="514"/>
      <c r="KKE231" s="514"/>
      <c r="KKF231" s="514"/>
      <c r="KKG231" s="514"/>
      <c r="KKH231" s="514"/>
      <c r="KKI231" s="514"/>
      <c r="KKJ231" s="514"/>
      <c r="KKK231" s="514"/>
      <c r="KKL231" s="514"/>
      <c r="KKM231" s="514"/>
      <c r="KKN231" s="514"/>
      <c r="KKO231" s="514"/>
      <c r="KKP231" s="514"/>
      <c r="KKQ231" s="514"/>
      <c r="KKR231" s="514"/>
      <c r="KKS231" s="514"/>
      <c r="KKT231" s="514"/>
      <c r="KKU231" s="514"/>
      <c r="KKV231" s="514"/>
      <c r="KKW231" s="514"/>
      <c r="KKX231" s="514"/>
      <c r="KKY231" s="514"/>
      <c r="KKZ231" s="514"/>
      <c r="KLA231" s="514"/>
      <c r="KLB231" s="514"/>
      <c r="KLC231" s="514"/>
      <c r="KLD231" s="514"/>
      <c r="KLE231" s="514"/>
      <c r="KLF231" s="514"/>
      <c r="KLG231" s="514"/>
      <c r="KLH231" s="514"/>
      <c r="KLI231" s="514"/>
      <c r="KLJ231" s="514"/>
      <c r="KLK231" s="514"/>
      <c r="KLL231" s="514"/>
      <c r="KLM231" s="514"/>
      <c r="KLN231" s="514"/>
      <c r="KLO231" s="514"/>
      <c r="KLP231" s="514"/>
      <c r="KLQ231" s="514"/>
      <c r="KLR231" s="514"/>
      <c r="KLS231" s="514"/>
      <c r="KLT231" s="514"/>
      <c r="KLU231" s="514"/>
      <c r="KLV231" s="514"/>
      <c r="KLW231" s="514"/>
      <c r="KLX231" s="514"/>
      <c r="KLY231" s="514"/>
      <c r="KLZ231" s="514"/>
      <c r="KMA231" s="514"/>
      <c r="KMB231" s="514"/>
      <c r="KMC231" s="514"/>
      <c r="KMD231" s="514"/>
      <c r="KME231" s="514"/>
      <c r="KMF231" s="514"/>
      <c r="KMG231" s="514"/>
      <c r="KMH231" s="514"/>
      <c r="KMI231" s="514"/>
      <c r="KMJ231" s="514"/>
      <c r="KMK231" s="514"/>
      <c r="KML231" s="514"/>
      <c r="KMM231" s="514"/>
      <c r="KMN231" s="514"/>
      <c r="KMO231" s="514"/>
      <c r="KMP231" s="514"/>
      <c r="KMQ231" s="514"/>
      <c r="KMR231" s="514"/>
      <c r="KMS231" s="514"/>
      <c r="KMT231" s="514"/>
      <c r="KMU231" s="514"/>
      <c r="KMV231" s="514"/>
      <c r="KMW231" s="514"/>
      <c r="KMX231" s="514"/>
      <c r="KMY231" s="514"/>
      <c r="KMZ231" s="514"/>
      <c r="KNA231" s="514"/>
      <c r="KNB231" s="514"/>
      <c r="KNC231" s="514"/>
      <c r="KND231" s="514"/>
      <c r="KNE231" s="514"/>
      <c r="KNF231" s="514"/>
      <c r="KNG231" s="514"/>
      <c r="KNH231" s="514"/>
      <c r="KNI231" s="514"/>
      <c r="KNJ231" s="514"/>
      <c r="KNK231" s="514"/>
      <c r="KNL231" s="514"/>
      <c r="KNM231" s="514"/>
      <c r="KNN231" s="514"/>
      <c r="KNO231" s="514"/>
      <c r="KNP231" s="514"/>
      <c r="KNQ231" s="514"/>
      <c r="KNR231" s="514"/>
      <c r="KNS231" s="514"/>
      <c r="KNT231" s="514"/>
      <c r="KNU231" s="514"/>
      <c r="KNV231" s="514"/>
      <c r="KNW231" s="514"/>
      <c r="KNX231" s="514"/>
      <c r="KNY231" s="514"/>
      <c r="KNZ231" s="514"/>
      <c r="KOA231" s="514"/>
      <c r="KOB231" s="514"/>
      <c r="KOC231" s="514"/>
      <c r="KOD231" s="514"/>
      <c r="KOE231" s="514"/>
      <c r="KOF231" s="514"/>
      <c r="KOG231" s="514"/>
      <c r="KOH231" s="514"/>
      <c r="KOI231" s="514"/>
      <c r="KOJ231" s="514"/>
      <c r="KOK231" s="514"/>
      <c r="KOL231" s="514"/>
      <c r="KOM231" s="514"/>
      <c r="KON231" s="514"/>
      <c r="KOO231" s="514"/>
      <c r="KOP231" s="514"/>
      <c r="KOQ231" s="514"/>
      <c r="KOR231" s="514"/>
      <c r="KOS231" s="514"/>
      <c r="KOT231" s="514"/>
      <c r="KOU231" s="514"/>
      <c r="KOV231" s="514"/>
      <c r="KOW231" s="514"/>
      <c r="KOX231" s="514"/>
      <c r="KOY231" s="514"/>
      <c r="KOZ231" s="514"/>
      <c r="KPA231" s="514"/>
      <c r="KPB231" s="514"/>
      <c r="KPC231" s="514"/>
      <c r="KPD231" s="514"/>
      <c r="KPE231" s="514"/>
      <c r="KPF231" s="514"/>
      <c r="KPG231" s="514"/>
      <c r="KPH231" s="514"/>
      <c r="KPI231" s="514"/>
      <c r="KPJ231" s="514"/>
      <c r="KPK231" s="514"/>
      <c r="KPL231" s="514"/>
      <c r="KPM231" s="514"/>
      <c r="KPN231" s="514"/>
      <c r="KPO231" s="514"/>
      <c r="KPP231" s="514"/>
      <c r="KPQ231" s="514"/>
      <c r="KPR231" s="514"/>
      <c r="KPS231" s="514"/>
      <c r="KPT231" s="514"/>
      <c r="KPU231" s="514"/>
      <c r="KPV231" s="514"/>
      <c r="KPW231" s="514"/>
      <c r="KPX231" s="514"/>
      <c r="KPY231" s="514"/>
      <c r="KPZ231" s="514"/>
      <c r="KQA231" s="514"/>
      <c r="KQB231" s="514"/>
      <c r="KQC231" s="514"/>
      <c r="KQD231" s="514"/>
      <c r="KQE231" s="514"/>
      <c r="KQF231" s="514"/>
      <c r="KQG231" s="514"/>
      <c r="KQH231" s="514"/>
      <c r="KQI231" s="514"/>
      <c r="KQJ231" s="514"/>
      <c r="KQK231" s="514"/>
      <c r="KQL231" s="514"/>
      <c r="KQM231" s="514"/>
      <c r="KQN231" s="514"/>
      <c r="KQO231" s="514"/>
      <c r="KQP231" s="514"/>
      <c r="KQQ231" s="514"/>
      <c r="KQR231" s="514"/>
      <c r="KQS231" s="514"/>
      <c r="KQT231" s="514"/>
      <c r="KQU231" s="514"/>
      <c r="KQV231" s="514"/>
      <c r="KQW231" s="514"/>
      <c r="KQX231" s="514"/>
      <c r="KQY231" s="514"/>
      <c r="KQZ231" s="514"/>
      <c r="KRA231" s="514"/>
      <c r="KRB231" s="514"/>
      <c r="KRC231" s="514"/>
      <c r="KRD231" s="514"/>
      <c r="KRE231" s="514"/>
      <c r="KRF231" s="514"/>
      <c r="KRG231" s="514"/>
      <c r="KRH231" s="514"/>
      <c r="KRI231" s="514"/>
      <c r="KRJ231" s="514"/>
      <c r="KRK231" s="514"/>
      <c r="KRL231" s="514"/>
      <c r="KRM231" s="514"/>
      <c r="KRN231" s="514"/>
      <c r="KRO231" s="514"/>
      <c r="KRP231" s="514"/>
      <c r="KRQ231" s="514"/>
      <c r="KRR231" s="514"/>
      <c r="KRS231" s="514"/>
      <c r="KRT231" s="514"/>
      <c r="KRU231" s="514"/>
      <c r="KRV231" s="514"/>
      <c r="KRW231" s="514"/>
      <c r="KRX231" s="514"/>
      <c r="KRY231" s="514"/>
      <c r="KRZ231" s="514"/>
      <c r="KSA231" s="514"/>
      <c r="KSB231" s="514"/>
      <c r="KSC231" s="514"/>
      <c r="KSD231" s="514"/>
      <c r="KSE231" s="514"/>
      <c r="KSF231" s="514"/>
      <c r="KSG231" s="514"/>
      <c r="KSH231" s="514"/>
      <c r="KSI231" s="514"/>
      <c r="KSJ231" s="514"/>
      <c r="KSK231" s="514"/>
      <c r="KSL231" s="514"/>
      <c r="KSM231" s="514"/>
      <c r="KSN231" s="514"/>
      <c r="KSO231" s="514"/>
      <c r="KSP231" s="514"/>
      <c r="KSQ231" s="514"/>
      <c r="KSR231" s="514"/>
      <c r="KSS231" s="514"/>
      <c r="KST231" s="514"/>
      <c r="KSU231" s="514"/>
      <c r="KSV231" s="514"/>
      <c r="KSW231" s="514"/>
      <c r="KSX231" s="514"/>
      <c r="KSY231" s="514"/>
      <c r="KSZ231" s="514"/>
      <c r="KTA231" s="514"/>
      <c r="KTB231" s="514"/>
      <c r="KTC231" s="514"/>
      <c r="KTD231" s="514"/>
      <c r="KTE231" s="514"/>
      <c r="KTF231" s="514"/>
      <c r="KTG231" s="514"/>
      <c r="KTH231" s="514"/>
      <c r="KTI231" s="514"/>
      <c r="KTJ231" s="514"/>
      <c r="KTK231" s="514"/>
      <c r="KTL231" s="514"/>
      <c r="KTM231" s="514"/>
      <c r="KTN231" s="514"/>
      <c r="KTO231" s="514"/>
      <c r="KTP231" s="514"/>
      <c r="KTQ231" s="514"/>
      <c r="KTR231" s="514"/>
      <c r="KTS231" s="514"/>
      <c r="KTT231" s="514"/>
      <c r="KTU231" s="514"/>
      <c r="KTV231" s="514"/>
      <c r="KTW231" s="514"/>
      <c r="KTX231" s="514"/>
      <c r="KTY231" s="514"/>
      <c r="KTZ231" s="514"/>
      <c r="KUA231" s="514"/>
      <c r="KUB231" s="514"/>
      <c r="KUC231" s="514"/>
      <c r="KUD231" s="514"/>
      <c r="KUE231" s="514"/>
      <c r="KUF231" s="514"/>
      <c r="KUG231" s="514"/>
      <c r="KUH231" s="514"/>
      <c r="KUI231" s="514"/>
      <c r="KUJ231" s="514"/>
      <c r="KUK231" s="514"/>
      <c r="KUL231" s="514"/>
      <c r="KUM231" s="514"/>
      <c r="KUN231" s="514"/>
      <c r="KUO231" s="514"/>
      <c r="KUP231" s="514"/>
      <c r="KUQ231" s="514"/>
      <c r="KUR231" s="514"/>
      <c r="KUS231" s="514"/>
      <c r="KUT231" s="514"/>
      <c r="KUU231" s="514"/>
      <c r="KUV231" s="514"/>
      <c r="KUW231" s="514"/>
      <c r="KUX231" s="514"/>
      <c r="KUY231" s="514"/>
      <c r="KUZ231" s="514"/>
      <c r="KVA231" s="514"/>
      <c r="KVB231" s="514"/>
      <c r="KVC231" s="514"/>
      <c r="KVD231" s="514"/>
      <c r="KVE231" s="514"/>
      <c r="KVF231" s="514"/>
      <c r="KVG231" s="514"/>
      <c r="KVH231" s="514"/>
      <c r="KVI231" s="514"/>
      <c r="KVJ231" s="514"/>
      <c r="KVK231" s="514"/>
      <c r="KVL231" s="514"/>
      <c r="KVM231" s="514"/>
      <c r="KVN231" s="514"/>
      <c r="KVO231" s="514"/>
      <c r="KVP231" s="514"/>
      <c r="KVQ231" s="514"/>
      <c r="KVR231" s="514"/>
      <c r="KVS231" s="514"/>
      <c r="KVT231" s="514"/>
      <c r="KVU231" s="514"/>
      <c r="KVV231" s="514"/>
      <c r="KVW231" s="514"/>
      <c r="KVX231" s="514"/>
      <c r="KVY231" s="514"/>
      <c r="KVZ231" s="514"/>
      <c r="KWA231" s="514"/>
      <c r="KWB231" s="514"/>
      <c r="KWC231" s="514"/>
      <c r="KWD231" s="514"/>
      <c r="KWE231" s="514"/>
      <c r="KWF231" s="514"/>
      <c r="KWG231" s="514"/>
      <c r="KWH231" s="514"/>
      <c r="KWI231" s="514"/>
      <c r="KWJ231" s="514"/>
      <c r="KWK231" s="514"/>
      <c r="KWL231" s="514"/>
      <c r="KWM231" s="514"/>
      <c r="KWN231" s="514"/>
      <c r="KWO231" s="514"/>
      <c r="KWP231" s="514"/>
      <c r="KWQ231" s="514"/>
      <c r="KWR231" s="514"/>
      <c r="KWS231" s="514"/>
      <c r="KWT231" s="514"/>
      <c r="KWU231" s="514"/>
      <c r="KWV231" s="514"/>
      <c r="KWW231" s="514"/>
      <c r="KWX231" s="514"/>
      <c r="KWY231" s="514"/>
      <c r="KWZ231" s="514"/>
      <c r="KXA231" s="514"/>
      <c r="KXB231" s="514"/>
      <c r="KXC231" s="514"/>
      <c r="KXD231" s="514"/>
      <c r="KXE231" s="514"/>
      <c r="KXF231" s="514"/>
      <c r="KXG231" s="514"/>
      <c r="KXH231" s="514"/>
      <c r="KXI231" s="514"/>
      <c r="KXJ231" s="514"/>
      <c r="KXK231" s="514"/>
      <c r="KXL231" s="514"/>
      <c r="KXM231" s="514"/>
      <c r="KXN231" s="514"/>
      <c r="KXO231" s="514"/>
      <c r="KXP231" s="514"/>
      <c r="KXQ231" s="514"/>
      <c r="KXR231" s="514"/>
      <c r="KXS231" s="514"/>
      <c r="KXT231" s="514"/>
      <c r="KXU231" s="514"/>
      <c r="KXV231" s="514"/>
      <c r="KXW231" s="514"/>
      <c r="KXX231" s="514"/>
      <c r="KXY231" s="514"/>
      <c r="KXZ231" s="514"/>
      <c r="KYA231" s="514"/>
      <c r="KYB231" s="514"/>
      <c r="KYC231" s="514"/>
      <c r="KYD231" s="514"/>
      <c r="KYE231" s="514"/>
      <c r="KYF231" s="514"/>
      <c r="KYG231" s="514"/>
      <c r="KYH231" s="514"/>
      <c r="KYI231" s="514"/>
      <c r="KYJ231" s="514"/>
      <c r="KYK231" s="514"/>
      <c r="KYL231" s="514"/>
      <c r="KYM231" s="514"/>
      <c r="KYN231" s="514"/>
      <c r="KYO231" s="514"/>
      <c r="KYP231" s="514"/>
      <c r="KYQ231" s="514"/>
      <c r="KYR231" s="514"/>
      <c r="KYS231" s="514"/>
      <c r="KYT231" s="514"/>
      <c r="KYU231" s="514"/>
      <c r="KYV231" s="514"/>
      <c r="KYW231" s="514"/>
      <c r="KYX231" s="514"/>
      <c r="KYY231" s="514"/>
      <c r="KYZ231" s="514"/>
      <c r="KZA231" s="514"/>
      <c r="KZB231" s="514"/>
      <c r="KZC231" s="514"/>
      <c r="KZD231" s="514"/>
      <c r="KZE231" s="514"/>
      <c r="KZF231" s="514"/>
      <c r="KZG231" s="514"/>
      <c r="KZH231" s="514"/>
      <c r="KZI231" s="514"/>
      <c r="KZJ231" s="514"/>
      <c r="KZK231" s="514"/>
      <c r="KZL231" s="514"/>
      <c r="KZM231" s="514"/>
      <c r="KZN231" s="514"/>
      <c r="KZO231" s="514"/>
      <c r="KZP231" s="514"/>
      <c r="KZQ231" s="514"/>
      <c r="KZR231" s="514"/>
      <c r="KZS231" s="514"/>
      <c r="KZT231" s="514"/>
      <c r="KZU231" s="514"/>
      <c r="KZV231" s="514"/>
      <c r="KZW231" s="514"/>
      <c r="KZX231" s="514"/>
      <c r="KZY231" s="514"/>
      <c r="KZZ231" s="514"/>
      <c r="LAA231" s="514"/>
      <c r="LAB231" s="514"/>
      <c r="LAC231" s="514"/>
      <c r="LAD231" s="514"/>
      <c r="LAE231" s="514"/>
      <c r="LAF231" s="514"/>
      <c r="LAG231" s="514"/>
      <c r="LAH231" s="514"/>
      <c r="LAI231" s="514"/>
      <c r="LAJ231" s="514"/>
      <c r="LAK231" s="514"/>
      <c r="LAL231" s="514"/>
      <c r="LAM231" s="514"/>
      <c r="LAN231" s="514"/>
      <c r="LAO231" s="514"/>
      <c r="LAP231" s="514"/>
      <c r="LAQ231" s="514"/>
      <c r="LAR231" s="514"/>
      <c r="LAS231" s="514"/>
      <c r="LAT231" s="514"/>
      <c r="LAU231" s="514"/>
      <c r="LAV231" s="514"/>
      <c r="LAW231" s="514"/>
      <c r="LAX231" s="514"/>
      <c r="LAY231" s="514"/>
      <c r="LAZ231" s="514"/>
      <c r="LBA231" s="514"/>
      <c r="LBB231" s="514"/>
      <c r="LBC231" s="514"/>
      <c r="LBD231" s="514"/>
      <c r="LBE231" s="514"/>
      <c r="LBF231" s="514"/>
      <c r="LBG231" s="514"/>
      <c r="LBH231" s="514"/>
      <c r="LBI231" s="514"/>
      <c r="LBJ231" s="514"/>
      <c r="LBK231" s="514"/>
      <c r="LBL231" s="514"/>
      <c r="LBM231" s="514"/>
      <c r="LBN231" s="514"/>
      <c r="LBO231" s="514"/>
      <c r="LBP231" s="514"/>
      <c r="LBQ231" s="514"/>
      <c r="LBR231" s="514"/>
      <c r="LBS231" s="514"/>
      <c r="LBT231" s="514"/>
      <c r="LBU231" s="514"/>
      <c r="LBV231" s="514"/>
      <c r="LBW231" s="514"/>
      <c r="LBX231" s="514"/>
      <c r="LBY231" s="514"/>
      <c r="LBZ231" s="514"/>
      <c r="LCA231" s="514"/>
      <c r="LCB231" s="514"/>
      <c r="LCC231" s="514"/>
      <c r="LCD231" s="514"/>
      <c r="LCE231" s="514"/>
      <c r="LCF231" s="514"/>
      <c r="LCG231" s="514"/>
      <c r="LCH231" s="514"/>
      <c r="LCI231" s="514"/>
      <c r="LCJ231" s="514"/>
      <c r="LCK231" s="514"/>
      <c r="LCL231" s="514"/>
      <c r="LCM231" s="514"/>
      <c r="LCN231" s="514"/>
      <c r="LCO231" s="514"/>
      <c r="LCP231" s="514"/>
      <c r="LCQ231" s="514"/>
      <c r="LCR231" s="514"/>
      <c r="LCS231" s="514"/>
      <c r="LCT231" s="514"/>
      <c r="LCU231" s="514"/>
      <c r="LCV231" s="514"/>
      <c r="LCW231" s="514"/>
      <c r="LCX231" s="514"/>
      <c r="LCY231" s="514"/>
      <c r="LCZ231" s="514"/>
      <c r="LDA231" s="514"/>
      <c r="LDB231" s="514"/>
      <c r="LDC231" s="514"/>
      <c r="LDD231" s="514"/>
      <c r="LDE231" s="514"/>
      <c r="LDF231" s="514"/>
      <c r="LDG231" s="514"/>
      <c r="LDH231" s="514"/>
      <c r="LDI231" s="514"/>
      <c r="LDJ231" s="514"/>
      <c r="LDK231" s="514"/>
      <c r="LDL231" s="514"/>
      <c r="LDM231" s="514"/>
      <c r="LDN231" s="514"/>
      <c r="LDO231" s="514"/>
      <c r="LDP231" s="514"/>
      <c r="LDQ231" s="514"/>
      <c r="LDR231" s="514"/>
      <c r="LDS231" s="514"/>
      <c r="LDT231" s="514"/>
      <c r="LDU231" s="514"/>
      <c r="LDV231" s="514"/>
      <c r="LDW231" s="514"/>
      <c r="LDX231" s="514"/>
      <c r="LDY231" s="514"/>
      <c r="LDZ231" s="514"/>
      <c r="LEA231" s="514"/>
      <c r="LEB231" s="514"/>
      <c r="LEC231" s="514"/>
      <c r="LED231" s="514"/>
      <c r="LEE231" s="514"/>
      <c r="LEF231" s="514"/>
      <c r="LEG231" s="514"/>
      <c r="LEH231" s="514"/>
      <c r="LEI231" s="514"/>
      <c r="LEJ231" s="514"/>
      <c r="LEK231" s="514"/>
      <c r="LEL231" s="514"/>
      <c r="LEM231" s="514"/>
      <c r="LEN231" s="514"/>
      <c r="LEO231" s="514"/>
      <c r="LEP231" s="514"/>
      <c r="LEQ231" s="514"/>
      <c r="LER231" s="514"/>
      <c r="LES231" s="514"/>
      <c r="LET231" s="514"/>
      <c r="LEU231" s="514"/>
      <c r="LEV231" s="514"/>
      <c r="LEW231" s="514"/>
      <c r="LEX231" s="514"/>
      <c r="LEY231" s="514"/>
      <c r="LEZ231" s="514"/>
      <c r="LFA231" s="514"/>
      <c r="LFB231" s="514"/>
      <c r="LFC231" s="514"/>
      <c r="LFD231" s="514"/>
      <c r="LFE231" s="514"/>
      <c r="LFF231" s="514"/>
      <c r="LFG231" s="514"/>
      <c r="LFH231" s="514"/>
      <c r="LFI231" s="514"/>
      <c r="LFJ231" s="514"/>
      <c r="LFK231" s="514"/>
      <c r="LFL231" s="514"/>
      <c r="LFM231" s="514"/>
      <c r="LFN231" s="514"/>
      <c r="LFO231" s="514"/>
      <c r="LFP231" s="514"/>
      <c r="LFQ231" s="514"/>
      <c r="LFR231" s="514"/>
      <c r="LFS231" s="514"/>
      <c r="LFT231" s="514"/>
      <c r="LFU231" s="514"/>
      <c r="LFV231" s="514"/>
      <c r="LFW231" s="514"/>
      <c r="LFX231" s="514"/>
      <c r="LFY231" s="514"/>
      <c r="LFZ231" s="514"/>
      <c r="LGA231" s="514"/>
      <c r="LGB231" s="514"/>
      <c r="LGC231" s="514"/>
      <c r="LGD231" s="514"/>
      <c r="LGE231" s="514"/>
      <c r="LGF231" s="514"/>
      <c r="LGG231" s="514"/>
      <c r="LGH231" s="514"/>
      <c r="LGI231" s="514"/>
      <c r="LGJ231" s="514"/>
      <c r="LGK231" s="514"/>
      <c r="LGL231" s="514"/>
      <c r="LGM231" s="514"/>
      <c r="LGN231" s="514"/>
      <c r="LGO231" s="514"/>
      <c r="LGP231" s="514"/>
      <c r="LGQ231" s="514"/>
      <c r="LGR231" s="514"/>
      <c r="LGS231" s="514"/>
      <c r="LGT231" s="514"/>
      <c r="LGU231" s="514"/>
      <c r="LGV231" s="514"/>
      <c r="LGW231" s="514"/>
      <c r="LGX231" s="514"/>
      <c r="LGY231" s="514"/>
      <c r="LGZ231" s="514"/>
      <c r="LHA231" s="514"/>
      <c r="LHB231" s="514"/>
      <c r="LHC231" s="514"/>
      <c r="LHD231" s="514"/>
      <c r="LHE231" s="514"/>
      <c r="LHF231" s="514"/>
      <c r="LHG231" s="514"/>
      <c r="LHH231" s="514"/>
      <c r="LHI231" s="514"/>
      <c r="LHJ231" s="514"/>
      <c r="LHK231" s="514"/>
      <c r="LHL231" s="514"/>
      <c r="LHM231" s="514"/>
      <c r="LHN231" s="514"/>
      <c r="LHO231" s="514"/>
      <c r="LHP231" s="514"/>
      <c r="LHQ231" s="514"/>
      <c r="LHR231" s="514"/>
      <c r="LHS231" s="514"/>
      <c r="LHT231" s="514"/>
      <c r="LHU231" s="514"/>
      <c r="LHV231" s="514"/>
      <c r="LHW231" s="514"/>
      <c r="LHX231" s="514"/>
      <c r="LHY231" s="514"/>
      <c r="LHZ231" s="514"/>
      <c r="LIA231" s="514"/>
      <c r="LIB231" s="514"/>
      <c r="LIC231" s="514"/>
      <c r="LID231" s="514"/>
      <c r="LIE231" s="514"/>
      <c r="LIF231" s="514"/>
      <c r="LIG231" s="514"/>
      <c r="LIH231" s="514"/>
      <c r="LII231" s="514"/>
      <c r="LIJ231" s="514"/>
      <c r="LIK231" s="514"/>
      <c r="LIL231" s="514"/>
      <c r="LIM231" s="514"/>
      <c r="LIN231" s="514"/>
      <c r="LIO231" s="514"/>
      <c r="LIP231" s="514"/>
      <c r="LIQ231" s="514"/>
      <c r="LIR231" s="514"/>
      <c r="LIS231" s="514"/>
      <c r="LIT231" s="514"/>
      <c r="LIU231" s="514"/>
      <c r="LIV231" s="514"/>
      <c r="LIW231" s="514"/>
      <c r="LIX231" s="514"/>
      <c r="LIY231" s="514"/>
      <c r="LIZ231" s="514"/>
      <c r="LJA231" s="514"/>
      <c r="LJB231" s="514"/>
      <c r="LJC231" s="514"/>
      <c r="LJD231" s="514"/>
      <c r="LJE231" s="514"/>
      <c r="LJF231" s="514"/>
      <c r="LJG231" s="514"/>
      <c r="LJH231" s="514"/>
      <c r="LJI231" s="514"/>
      <c r="LJJ231" s="514"/>
      <c r="LJK231" s="514"/>
      <c r="LJL231" s="514"/>
      <c r="LJM231" s="514"/>
      <c r="LJN231" s="514"/>
      <c r="LJO231" s="514"/>
      <c r="LJP231" s="514"/>
      <c r="LJQ231" s="514"/>
      <c r="LJR231" s="514"/>
      <c r="LJS231" s="514"/>
      <c r="LJT231" s="514"/>
      <c r="LJU231" s="514"/>
      <c r="LJV231" s="514"/>
      <c r="LJW231" s="514"/>
      <c r="LJX231" s="514"/>
      <c r="LJY231" s="514"/>
      <c r="LJZ231" s="514"/>
      <c r="LKA231" s="514"/>
      <c r="LKB231" s="514"/>
      <c r="LKC231" s="514"/>
      <c r="LKD231" s="514"/>
      <c r="LKE231" s="514"/>
      <c r="LKF231" s="514"/>
      <c r="LKG231" s="514"/>
      <c r="LKH231" s="514"/>
      <c r="LKI231" s="514"/>
      <c r="LKJ231" s="514"/>
      <c r="LKK231" s="514"/>
      <c r="LKL231" s="514"/>
      <c r="LKM231" s="514"/>
      <c r="LKN231" s="514"/>
      <c r="LKO231" s="514"/>
      <c r="LKP231" s="514"/>
      <c r="LKQ231" s="514"/>
      <c r="LKR231" s="514"/>
      <c r="LKS231" s="514"/>
      <c r="LKT231" s="514"/>
      <c r="LKU231" s="514"/>
      <c r="LKV231" s="514"/>
      <c r="LKW231" s="514"/>
      <c r="LKX231" s="514"/>
      <c r="LKY231" s="514"/>
      <c r="LKZ231" s="514"/>
      <c r="LLA231" s="514"/>
      <c r="LLB231" s="514"/>
      <c r="LLC231" s="514"/>
      <c r="LLD231" s="514"/>
      <c r="LLE231" s="514"/>
      <c r="LLF231" s="514"/>
      <c r="LLG231" s="514"/>
      <c r="LLH231" s="514"/>
      <c r="LLI231" s="514"/>
      <c r="LLJ231" s="514"/>
      <c r="LLK231" s="514"/>
      <c r="LLL231" s="514"/>
      <c r="LLM231" s="514"/>
      <c r="LLN231" s="514"/>
      <c r="LLO231" s="514"/>
      <c r="LLP231" s="514"/>
      <c r="LLQ231" s="514"/>
      <c r="LLR231" s="514"/>
      <c r="LLS231" s="514"/>
      <c r="LLT231" s="514"/>
      <c r="LLU231" s="514"/>
      <c r="LLV231" s="514"/>
      <c r="LLW231" s="514"/>
      <c r="LLX231" s="514"/>
      <c r="LLY231" s="514"/>
      <c r="LLZ231" s="514"/>
      <c r="LMA231" s="514"/>
      <c r="LMB231" s="514"/>
      <c r="LMC231" s="514"/>
      <c r="LMD231" s="514"/>
      <c r="LME231" s="514"/>
      <c r="LMF231" s="514"/>
      <c r="LMG231" s="514"/>
      <c r="LMH231" s="514"/>
      <c r="LMI231" s="514"/>
      <c r="LMJ231" s="514"/>
      <c r="LMK231" s="514"/>
      <c r="LML231" s="514"/>
      <c r="LMM231" s="514"/>
      <c r="LMN231" s="514"/>
      <c r="LMO231" s="514"/>
      <c r="LMP231" s="514"/>
      <c r="LMQ231" s="514"/>
      <c r="LMR231" s="514"/>
      <c r="LMS231" s="514"/>
      <c r="LMT231" s="514"/>
      <c r="LMU231" s="514"/>
      <c r="LMV231" s="514"/>
      <c r="LMW231" s="514"/>
      <c r="LMX231" s="514"/>
      <c r="LMY231" s="514"/>
      <c r="LMZ231" s="514"/>
      <c r="LNA231" s="514"/>
      <c r="LNB231" s="514"/>
      <c r="LNC231" s="514"/>
      <c r="LND231" s="514"/>
      <c r="LNE231" s="514"/>
      <c r="LNF231" s="514"/>
      <c r="LNG231" s="514"/>
      <c r="LNH231" s="514"/>
      <c r="LNI231" s="514"/>
      <c r="LNJ231" s="514"/>
      <c r="LNK231" s="514"/>
      <c r="LNL231" s="514"/>
      <c r="LNM231" s="514"/>
      <c r="LNN231" s="514"/>
      <c r="LNO231" s="514"/>
      <c r="LNP231" s="514"/>
      <c r="LNQ231" s="514"/>
      <c r="LNR231" s="514"/>
      <c r="LNS231" s="514"/>
      <c r="LNT231" s="514"/>
      <c r="LNU231" s="514"/>
      <c r="LNV231" s="514"/>
      <c r="LNW231" s="514"/>
      <c r="LNX231" s="514"/>
      <c r="LNY231" s="514"/>
      <c r="LNZ231" s="514"/>
      <c r="LOA231" s="514"/>
      <c r="LOB231" s="514"/>
      <c r="LOC231" s="514"/>
      <c r="LOD231" s="514"/>
      <c r="LOE231" s="514"/>
      <c r="LOF231" s="514"/>
      <c r="LOG231" s="514"/>
      <c r="LOH231" s="514"/>
      <c r="LOI231" s="514"/>
      <c r="LOJ231" s="514"/>
      <c r="LOK231" s="514"/>
      <c r="LOL231" s="514"/>
      <c r="LOM231" s="514"/>
      <c r="LON231" s="514"/>
      <c r="LOO231" s="514"/>
      <c r="LOP231" s="514"/>
      <c r="LOQ231" s="514"/>
      <c r="LOR231" s="514"/>
      <c r="LOS231" s="514"/>
      <c r="LOT231" s="514"/>
      <c r="LOU231" s="514"/>
      <c r="LOV231" s="514"/>
      <c r="LOW231" s="514"/>
      <c r="LOX231" s="514"/>
      <c r="LOY231" s="514"/>
      <c r="LOZ231" s="514"/>
      <c r="LPA231" s="514"/>
      <c r="LPB231" s="514"/>
      <c r="LPC231" s="514"/>
      <c r="LPD231" s="514"/>
      <c r="LPE231" s="514"/>
      <c r="LPF231" s="514"/>
      <c r="LPG231" s="514"/>
      <c r="LPH231" s="514"/>
      <c r="LPI231" s="514"/>
      <c r="LPJ231" s="514"/>
      <c r="LPK231" s="514"/>
      <c r="LPL231" s="514"/>
      <c r="LPM231" s="514"/>
      <c r="LPN231" s="514"/>
      <c r="LPO231" s="514"/>
      <c r="LPP231" s="514"/>
      <c r="LPQ231" s="514"/>
      <c r="LPR231" s="514"/>
      <c r="LPS231" s="514"/>
      <c r="LPT231" s="514"/>
      <c r="LPU231" s="514"/>
      <c r="LPV231" s="514"/>
      <c r="LPW231" s="514"/>
      <c r="LPX231" s="514"/>
      <c r="LPY231" s="514"/>
      <c r="LPZ231" s="514"/>
      <c r="LQA231" s="514"/>
      <c r="LQB231" s="514"/>
      <c r="LQC231" s="514"/>
      <c r="LQD231" s="514"/>
      <c r="LQE231" s="514"/>
      <c r="LQF231" s="514"/>
      <c r="LQG231" s="514"/>
      <c r="LQH231" s="514"/>
      <c r="LQI231" s="514"/>
      <c r="LQJ231" s="514"/>
      <c r="LQK231" s="514"/>
      <c r="LQL231" s="514"/>
      <c r="LQM231" s="514"/>
      <c r="LQN231" s="514"/>
      <c r="LQO231" s="514"/>
      <c r="LQP231" s="514"/>
      <c r="LQQ231" s="514"/>
      <c r="LQR231" s="514"/>
      <c r="LQS231" s="514"/>
      <c r="LQT231" s="514"/>
      <c r="LQU231" s="514"/>
      <c r="LQV231" s="514"/>
      <c r="LQW231" s="514"/>
      <c r="LQX231" s="514"/>
      <c r="LQY231" s="514"/>
      <c r="LQZ231" s="514"/>
      <c r="LRA231" s="514"/>
      <c r="LRB231" s="514"/>
      <c r="LRC231" s="514"/>
      <c r="LRD231" s="514"/>
      <c r="LRE231" s="514"/>
      <c r="LRF231" s="514"/>
      <c r="LRG231" s="514"/>
      <c r="LRH231" s="514"/>
      <c r="LRI231" s="514"/>
      <c r="LRJ231" s="514"/>
      <c r="LRK231" s="514"/>
      <c r="LRL231" s="514"/>
      <c r="LRM231" s="514"/>
      <c r="LRN231" s="514"/>
      <c r="LRO231" s="514"/>
      <c r="LRP231" s="514"/>
      <c r="LRQ231" s="514"/>
      <c r="LRR231" s="514"/>
      <c r="LRS231" s="514"/>
      <c r="LRT231" s="514"/>
      <c r="LRU231" s="514"/>
      <c r="LRV231" s="514"/>
      <c r="LRW231" s="514"/>
      <c r="LRX231" s="514"/>
      <c r="LRY231" s="514"/>
      <c r="LRZ231" s="514"/>
      <c r="LSA231" s="514"/>
      <c r="LSB231" s="514"/>
      <c r="LSC231" s="514"/>
      <c r="LSD231" s="514"/>
      <c r="LSE231" s="514"/>
      <c r="LSF231" s="514"/>
      <c r="LSG231" s="514"/>
      <c r="LSH231" s="514"/>
      <c r="LSI231" s="514"/>
      <c r="LSJ231" s="514"/>
      <c r="LSK231" s="514"/>
      <c r="LSL231" s="514"/>
      <c r="LSM231" s="514"/>
      <c r="LSN231" s="514"/>
      <c r="LSO231" s="514"/>
      <c r="LSP231" s="514"/>
      <c r="LSQ231" s="514"/>
      <c r="LSR231" s="514"/>
      <c r="LSS231" s="514"/>
      <c r="LST231" s="514"/>
      <c r="LSU231" s="514"/>
      <c r="LSV231" s="514"/>
      <c r="LSW231" s="514"/>
      <c r="LSX231" s="514"/>
      <c r="LSY231" s="514"/>
      <c r="LSZ231" s="514"/>
      <c r="LTA231" s="514"/>
      <c r="LTB231" s="514"/>
      <c r="LTC231" s="514"/>
      <c r="LTD231" s="514"/>
      <c r="LTE231" s="514"/>
      <c r="LTF231" s="514"/>
      <c r="LTG231" s="514"/>
      <c r="LTH231" s="514"/>
      <c r="LTI231" s="514"/>
      <c r="LTJ231" s="514"/>
      <c r="LTK231" s="514"/>
      <c r="LTL231" s="514"/>
      <c r="LTM231" s="514"/>
      <c r="LTN231" s="514"/>
      <c r="LTO231" s="514"/>
      <c r="LTP231" s="514"/>
      <c r="LTQ231" s="514"/>
      <c r="LTR231" s="514"/>
      <c r="LTS231" s="514"/>
      <c r="LTT231" s="514"/>
      <c r="LTU231" s="514"/>
      <c r="LTV231" s="514"/>
      <c r="LTW231" s="514"/>
      <c r="LTX231" s="514"/>
      <c r="LTY231" s="514"/>
      <c r="LTZ231" s="514"/>
      <c r="LUA231" s="514"/>
      <c r="LUB231" s="514"/>
      <c r="LUC231" s="514"/>
      <c r="LUD231" s="514"/>
      <c r="LUE231" s="514"/>
      <c r="LUF231" s="514"/>
      <c r="LUG231" s="514"/>
      <c r="LUH231" s="514"/>
      <c r="LUI231" s="514"/>
      <c r="LUJ231" s="514"/>
      <c r="LUK231" s="514"/>
      <c r="LUL231" s="514"/>
      <c r="LUM231" s="514"/>
      <c r="LUN231" s="514"/>
      <c r="LUO231" s="514"/>
      <c r="LUP231" s="514"/>
      <c r="LUQ231" s="514"/>
      <c r="LUR231" s="514"/>
      <c r="LUS231" s="514"/>
      <c r="LUT231" s="514"/>
      <c r="LUU231" s="514"/>
      <c r="LUV231" s="514"/>
      <c r="LUW231" s="514"/>
      <c r="LUX231" s="514"/>
      <c r="LUY231" s="514"/>
      <c r="LUZ231" s="514"/>
      <c r="LVA231" s="514"/>
      <c r="LVB231" s="514"/>
      <c r="LVC231" s="514"/>
      <c r="LVD231" s="514"/>
      <c r="LVE231" s="514"/>
      <c r="LVF231" s="514"/>
      <c r="LVG231" s="514"/>
      <c r="LVH231" s="514"/>
      <c r="LVI231" s="514"/>
      <c r="LVJ231" s="514"/>
      <c r="LVK231" s="514"/>
      <c r="LVL231" s="514"/>
      <c r="LVM231" s="514"/>
      <c r="LVN231" s="514"/>
      <c r="LVO231" s="514"/>
      <c r="LVP231" s="514"/>
      <c r="LVQ231" s="514"/>
      <c r="LVR231" s="514"/>
      <c r="LVS231" s="514"/>
      <c r="LVT231" s="514"/>
      <c r="LVU231" s="514"/>
      <c r="LVV231" s="514"/>
      <c r="LVW231" s="514"/>
      <c r="LVX231" s="514"/>
      <c r="LVY231" s="514"/>
      <c r="LVZ231" s="514"/>
      <c r="LWA231" s="514"/>
      <c r="LWB231" s="514"/>
      <c r="LWC231" s="514"/>
      <c r="LWD231" s="514"/>
      <c r="LWE231" s="514"/>
      <c r="LWF231" s="514"/>
      <c r="LWG231" s="514"/>
      <c r="LWH231" s="514"/>
      <c r="LWI231" s="514"/>
      <c r="LWJ231" s="514"/>
      <c r="LWK231" s="514"/>
      <c r="LWL231" s="514"/>
      <c r="LWM231" s="514"/>
      <c r="LWN231" s="514"/>
      <c r="LWO231" s="514"/>
      <c r="LWP231" s="514"/>
      <c r="LWQ231" s="514"/>
      <c r="LWR231" s="514"/>
      <c r="LWS231" s="514"/>
      <c r="LWT231" s="514"/>
      <c r="LWU231" s="514"/>
      <c r="LWV231" s="514"/>
      <c r="LWW231" s="514"/>
      <c r="LWX231" s="514"/>
      <c r="LWY231" s="514"/>
      <c r="LWZ231" s="514"/>
      <c r="LXA231" s="514"/>
      <c r="LXB231" s="514"/>
      <c r="LXC231" s="514"/>
      <c r="LXD231" s="514"/>
      <c r="LXE231" s="514"/>
      <c r="LXF231" s="514"/>
      <c r="LXG231" s="514"/>
      <c r="LXH231" s="514"/>
      <c r="LXI231" s="514"/>
      <c r="LXJ231" s="514"/>
      <c r="LXK231" s="514"/>
      <c r="LXL231" s="514"/>
      <c r="LXM231" s="514"/>
      <c r="LXN231" s="514"/>
      <c r="LXO231" s="514"/>
      <c r="LXP231" s="514"/>
      <c r="LXQ231" s="514"/>
      <c r="LXR231" s="514"/>
      <c r="LXS231" s="514"/>
      <c r="LXT231" s="514"/>
      <c r="LXU231" s="514"/>
      <c r="LXV231" s="514"/>
      <c r="LXW231" s="514"/>
      <c r="LXX231" s="514"/>
      <c r="LXY231" s="514"/>
      <c r="LXZ231" s="514"/>
      <c r="LYA231" s="514"/>
      <c r="LYB231" s="514"/>
      <c r="LYC231" s="514"/>
      <c r="LYD231" s="514"/>
      <c r="LYE231" s="514"/>
      <c r="LYF231" s="514"/>
      <c r="LYG231" s="514"/>
      <c r="LYH231" s="514"/>
      <c r="LYI231" s="514"/>
      <c r="LYJ231" s="514"/>
      <c r="LYK231" s="514"/>
      <c r="LYL231" s="514"/>
      <c r="LYM231" s="514"/>
      <c r="LYN231" s="514"/>
      <c r="LYO231" s="514"/>
      <c r="LYP231" s="514"/>
      <c r="LYQ231" s="514"/>
      <c r="LYR231" s="514"/>
      <c r="LYS231" s="514"/>
      <c r="LYT231" s="514"/>
      <c r="LYU231" s="514"/>
      <c r="LYV231" s="514"/>
      <c r="LYW231" s="514"/>
      <c r="LYX231" s="514"/>
      <c r="LYY231" s="514"/>
      <c r="LYZ231" s="514"/>
      <c r="LZA231" s="514"/>
      <c r="LZB231" s="514"/>
      <c r="LZC231" s="514"/>
      <c r="LZD231" s="514"/>
      <c r="LZE231" s="514"/>
      <c r="LZF231" s="514"/>
      <c r="LZG231" s="514"/>
      <c r="LZH231" s="514"/>
      <c r="LZI231" s="514"/>
      <c r="LZJ231" s="514"/>
      <c r="LZK231" s="514"/>
      <c r="LZL231" s="514"/>
      <c r="LZM231" s="514"/>
      <c r="LZN231" s="514"/>
      <c r="LZO231" s="514"/>
      <c r="LZP231" s="514"/>
      <c r="LZQ231" s="514"/>
      <c r="LZR231" s="514"/>
      <c r="LZS231" s="514"/>
      <c r="LZT231" s="514"/>
      <c r="LZU231" s="514"/>
      <c r="LZV231" s="514"/>
      <c r="LZW231" s="514"/>
      <c r="LZX231" s="514"/>
      <c r="LZY231" s="514"/>
      <c r="LZZ231" s="514"/>
      <c r="MAA231" s="514"/>
      <c r="MAB231" s="514"/>
      <c r="MAC231" s="514"/>
      <c r="MAD231" s="514"/>
      <c r="MAE231" s="514"/>
      <c r="MAF231" s="514"/>
      <c r="MAG231" s="514"/>
      <c r="MAH231" s="514"/>
      <c r="MAI231" s="514"/>
      <c r="MAJ231" s="514"/>
      <c r="MAK231" s="514"/>
      <c r="MAL231" s="514"/>
      <c r="MAM231" s="514"/>
      <c r="MAN231" s="514"/>
      <c r="MAO231" s="514"/>
      <c r="MAP231" s="514"/>
      <c r="MAQ231" s="514"/>
      <c r="MAR231" s="514"/>
      <c r="MAS231" s="514"/>
      <c r="MAT231" s="514"/>
      <c r="MAU231" s="514"/>
      <c r="MAV231" s="514"/>
      <c r="MAW231" s="514"/>
      <c r="MAX231" s="514"/>
      <c r="MAY231" s="514"/>
      <c r="MAZ231" s="514"/>
      <c r="MBA231" s="514"/>
      <c r="MBB231" s="514"/>
      <c r="MBC231" s="514"/>
      <c r="MBD231" s="514"/>
      <c r="MBE231" s="514"/>
      <c r="MBF231" s="514"/>
      <c r="MBG231" s="514"/>
      <c r="MBH231" s="514"/>
      <c r="MBI231" s="514"/>
      <c r="MBJ231" s="514"/>
      <c r="MBK231" s="514"/>
      <c r="MBL231" s="514"/>
      <c r="MBM231" s="514"/>
      <c r="MBN231" s="514"/>
      <c r="MBO231" s="514"/>
      <c r="MBP231" s="514"/>
      <c r="MBQ231" s="514"/>
      <c r="MBR231" s="514"/>
      <c r="MBS231" s="514"/>
      <c r="MBT231" s="514"/>
      <c r="MBU231" s="514"/>
      <c r="MBV231" s="514"/>
      <c r="MBW231" s="514"/>
      <c r="MBX231" s="514"/>
      <c r="MBY231" s="514"/>
      <c r="MBZ231" s="514"/>
      <c r="MCA231" s="514"/>
      <c r="MCB231" s="514"/>
      <c r="MCC231" s="514"/>
      <c r="MCD231" s="514"/>
      <c r="MCE231" s="514"/>
      <c r="MCF231" s="514"/>
      <c r="MCG231" s="514"/>
      <c r="MCH231" s="514"/>
      <c r="MCI231" s="514"/>
      <c r="MCJ231" s="514"/>
      <c r="MCK231" s="514"/>
      <c r="MCL231" s="514"/>
      <c r="MCM231" s="514"/>
      <c r="MCN231" s="514"/>
      <c r="MCO231" s="514"/>
      <c r="MCP231" s="514"/>
      <c r="MCQ231" s="514"/>
      <c r="MCR231" s="514"/>
      <c r="MCS231" s="514"/>
      <c r="MCT231" s="514"/>
      <c r="MCU231" s="514"/>
      <c r="MCV231" s="514"/>
      <c r="MCW231" s="514"/>
      <c r="MCX231" s="514"/>
      <c r="MCY231" s="514"/>
      <c r="MCZ231" s="514"/>
      <c r="MDA231" s="514"/>
      <c r="MDB231" s="514"/>
      <c r="MDC231" s="514"/>
      <c r="MDD231" s="514"/>
      <c r="MDE231" s="514"/>
      <c r="MDF231" s="514"/>
      <c r="MDG231" s="514"/>
      <c r="MDH231" s="514"/>
      <c r="MDI231" s="514"/>
      <c r="MDJ231" s="514"/>
      <c r="MDK231" s="514"/>
      <c r="MDL231" s="514"/>
      <c r="MDM231" s="514"/>
      <c r="MDN231" s="514"/>
      <c r="MDO231" s="514"/>
      <c r="MDP231" s="514"/>
      <c r="MDQ231" s="514"/>
      <c r="MDR231" s="514"/>
      <c r="MDS231" s="514"/>
      <c r="MDT231" s="514"/>
      <c r="MDU231" s="514"/>
      <c r="MDV231" s="514"/>
      <c r="MDW231" s="514"/>
      <c r="MDX231" s="514"/>
      <c r="MDY231" s="514"/>
      <c r="MDZ231" s="514"/>
      <c r="MEA231" s="514"/>
      <c r="MEB231" s="514"/>
      <c r="MEC231" s="514"/>
      <c r="MED231" s="514"/>
      <c r="MEE231" s="514"/>
      <c r="MEF231" s="514"/>
      <c r="MEG231" s="514"/>
      <c r="MEH231" s="514"/>
      <c r="MEI231" s="514"/>
      <c r="MEJ231" s="514"/>
      <c r="MEK231" s="514"/>
      <c r="MEL231" s="514"/>
      <c r="MEM231" s="514"/>
      <c r="MEN231" s="514"/>
      <c r="MEO231" s="514"/>
      <c r="MEP231" s="514"/>
      <c r="MEQ231" s="514"/>
      <c r="MER231" s="514"/>
      <c r="MES231" s="514"/>
      <c r="MET231" s="514"/>
      <c r="MEU231" s="514"/>
      <c r="MEV231" s="514"/>
      <c r="MEW231" s="514"/>
      <c r="MEX231" s="514"/>
      <c r="MEY231" s="514"/>
      <c r="MEZ231" s="514"/>
      <c r="MFA231" s="514"/>
      <c r="MFB231" s="514"/>
      <c r="MFC231" s="514"/>
      <c r="MFD231" s="514"/>
      <c r="MFE231" s="514"/>
      <c r="MFF231" s="514"/>
      <c r="MFG231" s="514"/>
      <c r="MFH231" s="514"/>
      <c r="MFI231" s="514"/>
      <c r="MFJ231" s="514"/>
      <c r="MFK231" s="514"/>
      <c r="MFL231" s="514"/>
      <c r="MFM231" s="514"/>
      <c r="MFN231" s="514"/>
      <c r="MFO231" s="514"/>
      <c r="MFP231" s="514"/>
      <c r="MFQ231" s="514"/>
      <c r="MFR231" s="514"/>
      <c r="MFS231" s="514"/>
      <c r="MFT231" s="514"/>
      <c r="MFU231" s="514"/>
      <c r="MFV231" s="514"/>
      <c r="MFW231" s="514"/>
      <c r="MFX231" s="514"/>
      <c r="MFY231" s="514"/>
      <c r="MFZ231" s="514"/>
      <c r="MGA231" s="514"/>
      <c r="MGB231" s="514"/>
      <c r="MGC231" s="514"/>
      <c r="MGD231" s="514"/>
      <c r="MGE231" s="514"/>
      <c r="MGF231" s="514"/>
      <c r="MGG231" s="514"/>
      <c r="MGH231" s="514"/>
      <c r="MGI231" s="514"/>
      <c r="MGJ231" s="514"/>
      <c r="MGK231" s="514"/>
      <c r="MGL231" s="514"/>
      <c r="MGM231" s="514"/>
      <c r="MGN231" s="514"/>
      <c r="MGO231" s="514"/>
      <c r="MGP231" s="514"/>
      <c r="MGQ231" s="514"/>
      <c r="MGR231" s="514"/>
      <c r="MGS231" s="514"/>
      <c r="MGT231" s="514"/>
      <c r="MGU231" s="514"/>
      <c r="MGV231" s="514"/>
      <c r="MGW231" s="514"/>
      <c r="MGX231" s="514"/>
      <c r="MGY231" s="514"/>
      <c r="MGZ231" s="514"/>
      <c r="MHA231" s="514"/>
      <c r="MHB231" s="514"/>
      <c r="MHC231" s="514"/>
      <c r="MHD231" s="514"/>
      <c r="MHE231" s="514"/>
      <c r="MHF231" s="514"/>
      <c r="MHG231" s="514"/>
      <c r="MHH231" s="514"/>
      <c r="MHI231" s="514"/>
      <c r="MHJ231" s="514"/>
      <c r="MHK231" s="514"/>
      <c r="MHL231" s="514"/>
      <c r="MHM231" s="514"/>
      <c r="MHN231" s="514"/>
      <c r="MHO231" s="514"/>
      <c r="MHP231" s="514"/>
      <c r="MHQ231" s="514"/>
      <c r="MHR231" s="514"/>
      <c r="MHS231" s="514"/>
      <c r="MHT231" s="514"/>
      <c r="MHU231" s="514"/>
      <c r="MHV231" s="514"/>
      <c r="MHW231" s="514"/>
      <c r="MHX231" s="514"/>
      <c r="MHY231" s="514"/>
      <c r="MHZ231" s="514"/>
      <c r="MIA231" s="514"/>
      <c r="MIB231" s="514"/>
      <c r="MIC231" s="514"/>
      <c r="MID231" s="514"/>
      <c r="MIE231" s="514"/>
      <c r="MIF231" s="514"/>
      <c r="MIG231" s="514"/>
      <c r="MIH231" s="514"/>
      <c r="MII231" s="514"/>
      <c r="MIJ231" s="514"/>
      <c r="MIK231" s="514"/>
      <c r="MIL231" s="514"/>
      <c r="MIM231" s="514"/>
      <c r="MIN231" s="514"/>
      <c r="MIO231" s="514"/>
      <c r="MIP231" s="514"/>
      <c r="MIQ231" s="514"/>
      <c r="MIR231" s="514"/>
      <c r="MIS231" s="514"/>
      <c r="MIT231" s="514"/>
      <c r="MIU231" s="514"/>
      <c r="MIV231" s="514"/>
      <c r="MIW231" s="514"/>
      <c r="MIX231" s="514"/>
      <c r="MIY231" s="514"/>
      <c r="MIZ231" s="514"/>
      <c r="MJA231" s="514"/>
      <c r="MJB231" s="514"/>
      <c r="MJC231" s="514"/>
      <c r="MJD231" s="514"/>
      <c r="MJE231" s="514"/>
      <c r="MJF231" s="514"/>
      <c r="MJG231" s="514"/>
      <c r="MJH231" s="514"/>
      <c r="MJI231" s="514"/>
      <c r="MJJ231" s="514"/>
      <c r="MJK231" s="514"/>
      <c r="MJL231" s="514"/>
      <c r="MJM231" s="514"/>
      <c r="MJN231" s="514"/>
      <c r="MJO231" s="514"/>
      <c r="MJP231" s="514"/>
      <c r="MJQ231" s="514"/>
      <c r="MJR231" s="514"/>
      <c r="MJS231" s="514"/>
      <c r="MJT231" s="514"/>
      <c r="MJU231" s="514"/>
      <c r="MJV231" s="514"/>
      <c r="MJW231" s="514"/>
      <c r="MJX231" s="514"/>
      <c r="MJY231" s="514"/>
      <c r="MJZ231" s="514"/>
      <c r="MKA231" s="514"/>
      <c r="MKB231" s="514"/>
      <c r="MKC231" s="514"/>
      <c r="MKD231" s="514"/>
      <c r="MKE231" s="514"/>
      <c r="MKF231" s="514"/>
      <c r="MKG231" s="514"/>
      <c r="MKH231" s="514"/>
      <c r="MKI231" s="514"/>
      <c r="MKJ231" s="514"/>
      <c r="MKK231" s="514"/>
      <c r="MKL231" s="514"/>
      <c r="MKM231" s="514"/>
      <c r="MKN231" s="514"/>
      <c r="MKO231" s="514"/>
      <c r="MKP231" s="514"/>
      <c r="MKQ231" s="514"/>
      <c r="MKR231" s="514"/>
      <c r="MKS231" s="514"/>
      <c r="MKT231" s="514"/>
      <c r="MKU231" s="514"/>
      <c r="MKV231" s="514"/>
      <c r="MKW231" s="514"/>
      <c r="MKX231" s="514"/>
      <c r="MKY231" s="514"/>
      <c r="MKZ231" s="514"/>
      <c r="MLA231" s="514"/>
      <c r="MLB231" s="514"/>
      <c r="MLC231" s="514"/>
      <c r="MLD231" s="514"/>
      <c r="MLE231" s="514"/>
      <c r="MLF231" s="514"/>
      <c r="MLG231" s="514"/>
      <c r="MLH231" s="514"/>
      <c r="MLI231" s="514"/>
      <c r="MLJ231" s="514"/>
      <c r="MLK231" s="514"/>
      <c r="MLL231" s="514"/>
      <c r="MLM231" s="514"/>
      <c r="MLN231" s="514"/>
      <c r="MLO231" s="514"/>
      <c r="MLP231" s="514"/>
      <c r="MLQ231" s="514"/>
      <c r="MLR231" s="514"/>
      <c r="MLS231" s="514"/>
      <c r="MLT231" s="514"/>
      <c r="MLU231" s="514"/>
      <c r="MLV231" s="514"/>
      <c r="MLW231" s="514"/>
      <c r="MLX231" s="514"/>
      <c r="MLY231" s="514"/>
      <c r="MLZ231" s="514"/>
      <c r="MMA231" s="514"/>
      <c r="MMB231" s="514"/>
      <c r="MMC231" s="514"/>
      <c r="MMD231" s="514"/>
      <c r="MME231" s="514"/>
      <c r="MMF231" s="514"/>
      <c r="MMG231" s="514"/>
      <c r="MMH231" s="514"/>
      <c r="MMI231" s="514"/>
      <c r="MMJ231" s="514"/>
      <c r="MMK231" s="514"/>
      <c r="MML231" s="514"/>
      <c r="MMM231" s="514"/>
      <c r="MMN231" s="514"/>
      <c r="MMO231" s="514"/>
      <c r="MMP231" s="514"/>
      <c r="MMQ231" s="514"/>
      <c r="MMR231" s="514"/>
      <c r="MMS231" s="514"/>
      <c r="MMT231" s="514"/>
      <c r="MMU231" s="514"/>
      <c r="MMV231" s="514"/>
      <c r="MMW231" s="514"/>
      <c r="MMX231" s="514"/>
      <c r="MMY231" s="514"/>
      <c r="MMZ231" s="514"/>
      <c r="MNA231" s="514"/>
      <c r="MNB231" s="514"/>
      <c r="MNC231" s="514"/>
      <c r="MND231" s="514"/>
      <c r="MNE231" s="514"/>
      <c r="MNF231" s="514"/>
      <c r="MNG231" s="514"/>
      <c r="MNH231" s="514"/>
      <c r="MNI231" s="514"/>
      <c r="MNJ231" s="514"/>
      <c r="MNK231" s="514"/>
      <c r="MNL231" s="514"/>
      <c r="MNM231" s="514"/>
      <c r="MNN231" s="514"/>
      <c r="MNO231" s="514"/>
      <c r="MNP231" s="514"/>
      <c r="MNQ231" s="514"/>
      <c r="MNR231" s="514"/>
      <c r="MNS231" s="514"/>
      <c r="MNT231" s="514"/>
      <c r="MNU231" s="514"/>
      <c r="MNV231" s="514"/>
      <c r="MNW231" s="514"/>
      <c r="MNX231" s="514"/>
      <c r="MNY231" s="514"/>
      <c r="MNZ231" s="514"/>
      <c r="MOA231" s="514"/>
      <c r="MOB231" s="514"/>
      <c r="MOC231" s="514"/>
      <c r="MOD231" s="514"/>
      <c r="MOE231" s="514"/>
      <c r="MOF231" s="514"/>
      <c r="MOG231" s="514"/>
      <c r="MOH231" s="514"/>
      <c r="MOI231" s="514"/>
      <c r="MOJ231" s="514"/>
      <c r="MOK231" s="514"/>
      <c r="MOL231" s="514"/>
      <c r="MOM231" s="514"/>
      <c r="MON231" s="514"/>
      <c r="MOO231" s="514"/>
      <c r="MOP231" s="514"/>
      <c r="MOQ231" s="514"/>
      <c r="MOR231" s="514"/>
      <c r="MOS231" s="514"/>
      <c r="MOT231" s="514"/>
      <c r="MOU231" s="514"/>
      <c r="MOV231" s="514"/>
      <c r="MOW231" s="514"/>
      <c r="MOX231" s="514"/>
      <c r="MOY231" s="514"/>
      <c r="MOZ231" s="514"/>
      <c r="MPA231" s="514"/>
      <c r="MPB231" s="514"/>
      <c r="MPC231" s="514"/>
      <c r="MPD231" s="514"/>
      <c r="MPE231" s="514"/>
      <c r="MPF231" s="514"/>
      <c r="MPG231" s="514"/>
      <c r="MPH231" s="514"/>
      <c r="MPI231" s="514"/>
      <c r="MPJ231" s="514"/>
      <c r="MPK231" s="514"/>
      <c r="MPL231" s="514"/>
      <c r="MPM231" s="514"/>
      <c r="MPN231" s="514"/>
      <c r="MPO231" s="514"/>
      <c r="MPP231" s="514"/>
      <c r="MPQ231" s="514"/>
      <c r="MPR231" s="514"/>
      <c r="MPS231" s="514"/>
      <c r="MPT231" s="514"/>
      <c r="MPU231" s="514"/>
      <c r="MPV231" s="514"/>
      <c r="MPW231" s="514"/>
      <c r="MPX231" s="514"/>
      <c r="MPY231" s="514"/>
      <c r="MPZ231" s="514"/>
      <c r="MQA231" s="514"/>
      <c r="MQB231" s="514"/>
      <c r="MQC231" s="514"/>
      <c r="MQD231" s="514"/>
      <c r="MQE231" s="514"/>
      <c r="MQF231" s="514"/>
      <c r="MQG231" s="514"/>
      <c r="MQH231" s="514"/>
      <c r="MQI231" s="514"/>
      <c r="MQJ231" s="514"/>
      <c r="MQK231" s="514"/>
      <c r="MQL231" s="514"/>
      <c r="MQM231" s="514"/>
      <c r="MQN231" s="514"/>
      <c r="MQO231" s="514"/>
      <c r="MQP231" s="514"/>
      <c r="MQQ231" s="514"/>
      <c r="MQR231" s="514"/>
      <c r="MQS231" s="514"/>
      <c r="MQT231" s="514"/>
      <c r="MQU231" s="514"/>
      <c r="MQV231" s="514"/>
      <c r="MQW231" s="514"/>
      <c r="MQX231" s="514"/>
      <c r="MQY231" s="514"/>
      <c r="MQZ231" s="514"/>
      <c r="MRA231" s="514"/>
      <c r="MRB231" s="514"/>
      <c r="MRC231" s="514"/>
      <c r="MRD231" s="514"/>
      <c r="MRE231" s="514"/>
      <c r="MRF231" s="514"/>
      <c r="MRG231" s="514"/>
      <c r="MRH231" s="514"/>
      <c r="MRI231" s="514"/>
      <c r="MRJ231" s="514"/>
      <c r="MRK231" s="514"/>
      <c r="MRL231" s="514"/>
      <c r="MRM231" s="514"/>
      <c r="MRN231" s="514"/>
      <c r="MRO231" s="514"/>
      <c r="MRP231" s="514"/>
      <c r="MRQ231" s="514"/>
      <c r="MRR231" s="514"/>
      <c r="MRS231" s="514"/>
      <c r="MRT231" s="514"/>
      <c r="MRU231" s="514"/>
      <c r="MRV231" s="514"/>
      <c r="MRW231" s="514"/>
      <c r="MRX231" s="514"/>
      <c r="MRY231" s="514"/>
      <c r="MRZ231" s="514"/>
      <c r="MSA231" s="514"/>
      <c r="MSB231" s="514"/>
      <c r="MSC231" s="514"/>
      <c r="MSD231" s="514"/>
      <c r="MSE231" s="514"/>
      <c r="MSF231" s="514"/>
      <c r="MSG231" s="514"/>
      <c r="MSH231" s="514"/>
      <c r="MSI231" s="514"/>
      <c r="MSJ231" s="514"/>
      <c r="MSK231" s="514"/>
      <c r="MSL231" s="514"/>
      <c r="MSM231" s="514"/>
      <c r="MSN231" s="514"/>
      <c r="MSO231" s="514"/>
      <c r="MSP231" s="514"/>
      <c r="MSQ231" s="514"/>
      <c r="MSR231" s="514"/>
      <c r="MSS231" s="514"/>
      <c r="MST231" s="514"/>
      <c r="MSU231" s="514"/>
      <c r="MSV231" s="514"/>
      <c r="MSW231" s="514"/>
      <c r="MSX231" s="514"/>
      <c r="MSY231" s="514"/>
      <c r="MSZ231" s="514"/>
      <c r="MTA231" s="514"/>
      <c r="MTB231" s="514"/>
      <c r="MTC231" s="514"/>
      <c r="MTD231" s="514"/>
      <c r="MTE231" s="514"/>
      <c r="MTF231" s="514"/>
      <c r="MTG231" s="514"/>
      <c r="MTH231" s="514"/>
      <c r="MTI231" s="514"/>
      <c r="MTJ231" s="514"/>
      <c r="MTK231" s="514"/>
      <c r="MTL231" s="514"/>
      <c r="MTM231" s="514"/>
      <c r="MTN231" s="514"/>
      <c r="MTO231" s="514"/>
      <c r="MTP231" s="514"/>
      <c r="MTQ231" s="514"/>
      <c r="MTR231" s="514"/>
      <c r="MTS231" s="514"/>
      <c r="MTT231" s="514"/>
      <c r="MTU231" s="514"/>
      <c r="MTV231" s="514"/>
      <c r="MTW231" s="514"/>
      <c r="MTX231" s="514"/>
      <c r="MTY231" s="514"/>
      <c r="MTZ231" s="514"/>
      <c r="MUA231" s="514"/>
      <c r="MUB231" s="514"/>
      <c r="MUC231" s="514"/>
      <c r="MUD231" s="514"/>
      <c r="MUE231" s="514"/>
      <c r="MUF231" s="514"/>
      <c r="MUG231" s="514"/>
      <c r="MUH231" s="514"/>
      <c r="MUI231" s="514"/>
      <c r="MUJ231" s="514"/>
      <c r="MUK231" s="514"/>
      <c r="MUL231" s="514"/>
      <c r="MUM231" s="514"/>
      <c r="MUN231" s="514"/>
      <c r="MUO231" s="514"/>
      <c r="MUP231" s="514"/>
      <c r="MUQ231" s="514"/>
      <c r="MUR231" s="514"/>
      <c r="MUS231" s="514"/>
      <c r="MUT231" s="514"/>
      <c r="MUU231" s="514"/>
      <c r="MUV231" s="514"/>
      <c r="MUW231" s="514"/>
      <c r="MUX231" s="514"/>
      <c r="MUY231" s="514"/>
      <c r="MUZ231" s="514"/>
      <c r="MVA231" s="514"/>
      <c r="MVB231" s="514"/>
      <c r="MVC231" s="514"/>
      <c r="MVD231" s="514"/>
      <c r="MVE231" s="514"/>
      <c r="MVF231" s="514"/>
      <c r="MVG231" s="514"/>
      <c r="MVH231" s="514"/>
      <c r="MVI231" s="514"/>
      <c r="MVJ231" s="514"/>
      <c r="MVK231" s="514"/>
      <c r="MVL231" s="514"/>
      <c r="MVM231" s="514"/>
      <c r="MVN231" s="514"/>
      <c r="MVO231" s="514"/>
      <c r="MVP231" s="514"/>
      <c r="MVQ231" s="514"/>
      <c r="MVR231" s="514"/>
      <c r="MVS231" s="514"/>
      <c r="MVT231" s="514"/>
      <c r="MVU231" s="514"/>
      <c r="MVV231" s="514"/>
      <c r="MVW231" s="514"/>
      <c r="MVX231" s="514"/>
      <c r="MVY231" s="514"/>
      <c r="MVZ231" s="514"/>
      <c r="MWA231" s="514"/>
      <c r="MWB231" s="514"/>
      <c r="MWC231" s="514"/>
      <c r="MWD231" s="514"/>
      <c r="MWE231" s="514"/>
      <c r="MWF231" s="514"/>
      <c r="MWG231" s="514"/>
      <c r="MWH231" s="514"/>
      <c r="MWI231" s="514"/>
      <c r="MWJ231" s="514"/>
      <c r="MWK231" s="514"/>
      <c r="MWL231" s="514"/>
      <c r="MWM231" s="514"/>
      <c r="MWN231" s="514"/>
      <c r="MWO231" s="514"/>
      <c r="MWP231" s="514"/>
      <c r="MWQ231" s="514"/>
      <c r="MWR231" s="514"/>
      <c r="MWS231" s="514"/>
      <c r="MWT231" s="514"/>
      <c r="MWU231" s="514"/>
      <c r="MWV231" s="514"/>
      <c r="MWW231" s="514"/>
      <c r="MWX231" s="514"/>
      <c r="MWY231" s="514"/>
      <c r="MWZ231" s="514"/>
      <c r="MXA231" s="514"/>
      <c r="MXB231" s="514"/>
      <c r="MXC231" s="514"/>
      <c r="MXD231" s="514"/>
      <c r="MXE231" s="514"/>
      <c r="MXF231" s="514"/>
      <c r="MXG231" s="514"/>
      <c r="MXH231" s="514"/>
      <c r="MXI231" s="514"/>
      <c r="MXJ231" s="514"/>
      <c r="MXK231" s="514"/>
      <c r="MXL231" s="514"/>
      <c r="MXM231" s="514"/>
      <c r="MXN231" s="514"/>
      <c r="MXO231" s="514"/>
      <c r="MXP231" s="514"/>
      <c r="MXQ231" s="514"/>
      <c r="MXR231" s="514"/>
      <c r="MXS231" s="514"/>
      <c r="MXT231" s="514"/>
      <c r="MXU231" s="514"/>
      <c r="MXV231" s="514"/>
      <c r="MXW231" s="514"/>
      <c r="MXX231" s="514"/>
      <c r="MXY231" s="514"/>
      <c r="MXZ231" s="514"/>
      <c r="MYA231" s="514"/>
      <c r="MYB231" s="514"/>
      <c r="MYC231" s="514"/>
      <c r="MYD231" s="514"/>
      <c r="MYE231" s="514"/>
      <c r="MYF231" s="514"/>
      <c r="MYG231" s="514"/>
      <c r="MYH231" s="514"/>
      <c r="MYI231" s="514"/>
      <c r="MYJ231" s="514"/>
      <c r="MYK231" s="514"/>
      <c r="MYL231" s="514"/>
      <c r="MYM231" s="514"/>
      <c r="MYN231" s="514"/>
      <c r="MYO231" s="514"/>
      <c r="MYP231" s="514"/>
      <c r="MYQ231" s="514"/>
      <c r="MYR231" s="514"/>
      <c r="MYS231" s="514"/>
      <c r="MYT231" s="514"/>
      <c r="MYU231" s="514"/>
      <c r="MYV231" s="514"/>
      <c r="MYW231" s="514"/>
      <c r="MYX231" s="514"/>
      <c r="MYY231" s="514"/>
      <c r="MYZ231" s="514"/>
      <c r="MZA231" s="514"/>
      <c r="MZB231" s="514"/>
      <c r="MZC231" s="514"/>
      <c r="MZD231" s="514"/>
      <c r="MZE231" s="514"/>
      <c r="MZF231" s="514"/>
      <c r="MZG231" s="514"/>
      <c r="MZH231" s="514"/>
      <c r="MZI231" s="514"/>
      <c r="MZJ231" s="514"/>
      <c r="MZK231" s="514"/>
      <c r="MZL231" s="514"/>
      <c r="MZM231" s="514"/>
      <c r="MZN231" s="514"/>
      <c r="MZO231" s="514"/>
      <c r="MZP231" s="514"/>
      <c r="MZQ231" s="514"/>
      <c r="MZR231" s="514"/>
      <c r="MZS231" s="514"/>
      <c r="MZT231" s="514"/>
      <c r="MZU231" s="514"/>
      <c r="MZV231" s="514"/>
      <c r="MZW231" s="514"/>
      <c r="MZX231" s="514"/>
      <c r="MZY231" s="514"/>
      <c r="MZZ231" s="514"/>
      <c r="NAA231" s="514"/>
      <c r="NAB231" s="514"/>
      <c r="NAC231" s="514"/>
      <c r="NAD231" s="514"/>
      <c r="NAE231" s="514"/>
      <c r="NAF231" s="514"/>
      <c r="NAG231" s="514"/>
      <c r="NAH231" s="514"/>
      <c r="NAI231" s="514"/>
      <c r="NAJ231" s="514"/>
      <c r="NAK231" s="514"/>
      <c r="NAL231" s="514"/>
      <c r="NAM231" s="514"/>
      <c r="NAN231" s="514"/>
      <c r="NAO231" s="514"/>
      <c r="NAP231" s="514"/>
      <c r="NAQ231" s="514"/>
      <c r="NAR231" s="514"/>
      <c r="NAS231" s="514"/>
      <c r="NAT231" s="514"/>
      <c r="NAU231" s="514"/>
      <c r="NAV231" s="514"/>
      <c r="NAW231" s="514"/>
      <c r="NAX231" s="514"/>
      <c r="NAY231" s="514"/>
      <c r="NAZ231" s="514"/>
      <c r="NBA231" s="514"/>
      <c r="NBB231" s="514"/>
      <c r="NBC231" s="514"/>
      <c r="NBD231" s="514"/>
      <c r="NBE231" s="514"/>
      <c r="NBF231" s="514"/>
      <c r="NBG231" s="514"/>
      <c r="NBH231" s="514"/>
      <c r="NBI231" s="514"/>
      <c r="NBJ231" s="514"/>
      <c r="NBK231" s="514"/>
      <c r="NBL231" s="514"/>
      <c r="NBM231" s="514"/>
      <c r="NBN231" s="514"/>
      <c r="NBO231" s="514"/>
      <c r="NBP231" s="514"/>
      <c r="NBQ231" s="514"/>
      <c r="NBR231" s="514"/>
      <c r="NBS231" s="514"/>
      <c r="NBT231" s="514"/>
      <c r="NBU231" s="514"/>
      <c r="NBV231" s="514"/>
      <c r="NBW231" s="514"/>
      <c r="NBX231" s="514"/>
      <c r="NBY231" s="514"/>
      <c r="NBZ231" s="514"/>
      <c r="NCA231" s="514"/>
      <c r="NCB231" s="514"/>
      <c r="NCC231" s="514"/>
      <c r="NCD231" s="514"/>
      <c r="NCE231" s="514"/>
      <c r="NCF231" s="514"/>
      <c r="NCG231" s="514"/>
      <c r="NCH231" s="514"/>
      <c r="NCI231" s="514"/>
      <c r="NCJ231" s="514"/>
      <c r="NCK231" s="514"/>
      <c r="NCL231" s="514"/>
      <c r="NCM231" s="514"/>
      <c r="NCN231" s="514"/>
      <c r="NCO231" s="514"/>
      <c r="NCP231" s="514"/>
      <c r="NCQ231" s="514"/>
      <c r="NCR231" s="514"/>
      <c r="NCS231" s="514"/>
      <c r="NCT231" s="514"/>
      <c r="NCU231" s="514"/>
      <c r="NCV231" s="514"/>
      <c r="NCW231" s="514"/>
      <c r="NCX231" s="514"/>
      <c r="NCY231" s="514"/>
      <c r="NCZ231" s="514"/>
      <c r="NDA231" s="514"/>
      <c r="NDB231" s="514"/>
      <c r="NDC231" s="514"/>
      <c r="NDD231" s="514"/>
      <c r="NDE231" s="514"/>
      <c r="NDF231" s="514"/>
      <c r="NDG231" s="514"/>
      <c r="NDH231" s="514"/>
      <c r="NDI231" s="514"/>
      <c r="NDJ231" s="514"/>
      <c r="NDK231" s="514"/>
      <c r="NDL231" s="514"/>
      <c r="NDM231" s="514"/>
      <c r="NDN231" s="514"/>
      <c r="NDO231" s="514"/>
      <c r="NDP231" s="514"/>
      <c r="NDQ231" s="514"/>
      <c r="NDR231" s="514"/>
      <c r="NDS231" s="514"/>
      <c r="NDT231" s="514"/>
      <c r="NDU231" s="514"/>
      <c r="NDV231" s="514"/>
      <c r="NDW231" s="514"/>
      <c r="NDX231" s="514"/>
      <c r="NDY231" s="514"/>
      <c r="NDZ231" s="514"/>
      <c r="NEA231" s="514"/>
      <c r="NEB231" s="514"/>
      <c r="NEC231" s="514"/>
      <c r="NED231" s="514"/>
      <c r="NEE231" s="514"/>
      <c r="NEF231" s="514"/>
      <c r="NEG231" s="514"/>
      <c r="NEH231" s="514"/>
      <c r="NEI231" s="514"/>
      <c r="NEJ231" s="514"/>
      <c r="NEK231" s="514"/>
      <c r="NEL231" s="514"/>
      <c r="NEM231" s="514"/>
      <c r="NEN231" s="514"/>
      <c r="NEO231" s="514"/>
      <c r="NEP231" s="514"/>
      <c r="NEQ231" s="514"/>
      <c r="NER231" s="514"/>
      <c r="NES231" s="514"/>
      <c r="NET231" s="514"/>
      <c r="NEU231" s="514"/>
      <c r="NEV231" s="514"/>
      <c r="NEW231" s="514"/>
      <c r="NEX231" s="514"/>
      <c r="NEY231" s="514"/>
      <c r="NEZ231" s="514"/>
      <c r="NFA231" s="514"/>
      <c r="NFB231" s="514"/>
      <c r="NFC231" s="514"/>
      <c r="NFD231" s="514"/>
      <c r="NFE231" s="514"/>
      <c r="NFF231" s="514"/>
      <c r="NFG231" s="514"/>
      <c r="NFH231" s="514"/>
      <c r="NFI231" s="514"/>
      <c r="NFJ231" s="514"/>
      <c r="NFK231" s="514"/>
      <c r="NFL231" s="514"/>
      <c r="NFM231" s="514"/>
      <c r="NFN231" s="514"/>
      <c r="NFO231" s="514"/>
      <c r="NFP231" s="514"/>
      <c r="NFQ231" s="514"/>
      <c r="NFR231" s="514"/>
      <c r="NFS231" s="514"/>
      <c r="NFT231" s="514"/>
      <c r="NFU231" s="514"/>
      <c r="NFV231" s="514"/>
      <c r="NFW231" s="514"/>
      <c r="NFX231" s="514"/>
      <c r="NFY231" s="514"/>
      <c r="NFZ231" s="514"/>
      <c r="NGA231" s="514"/>
      <c r="NGB231" s="514"/>
      <c r="NGC231" s="514"/>
      <c r="NGD231" s="514"/>
      <c r="NGE231" s="514"/>
      <c r="NGF231" s="514"/>
      <c r="NGG231" s="514"/>
      <c r="NGH231" s="514"/>
      <c r="NGI231" s="514"/>
      <c r="NGJ231" s="514"/>
      <c r="NGK231" s="514"/>
      <c r="NGL231" s="514"/>
      <c r="NGM231" s="514"/>
      <c r="NGN231" s="514"/>
      <c r="NGO231" s="514"/>
      <c r="NGP231" s="514"/>
      <c r="NGQ231" s="514"/>
      <c r="NGR231" s="514"/>
      <c r="NGS231" s="514"/>
      <c r="NGT231" s="514"/>
      <c r="NGU231" s="514"/>
      <c r="NGV231" s="514"/>
      <c r="NGW231" s="514"/>
      <c r="NGX231" s="514"/>
      <c r="NGY231" s="514"/>
      <c r="NGZ231" s="514"/>
      <c r="NHA231" s="514"/>
      <c r="NHB231" s="514"/>
      <c r="NHC231" s="514"/>
      <c r="NHD231" s="514"/>
      <c r="NHE231" s="514"/>
      <c r="NHF231" s="514"/>
      <c r="NHG231" s="514"/>
      <c r="NHH231" s="514"/>
      <c r="NHI231" s="514"/>
      <c r="NHJ231" s="514"/>
      <c r="NHK231" s="514"/>
      <c r="NHL231" s="514"/>
      <c r="NHM231" s="514"/>
      <c r="NHN231" s="514"/>
      <c r="NHO231" s="514"/>
      <c r="NHP231" s="514"/>
      <c r="NHQ231" s="514"/>
      <c r="NHR231" s="514"/>
      <c r="NHS231" s="514"/>
      <c r="NHT231" s="514"/>
      <c r="NHU231" s="514"/>
      <c r="NHV231" s="514"/>
      <c r="NHW231" s="514"/>
      <c r="NHX231" s="514"/>
      <c r="NHY231" s="514"/>
      <c r="NHZ231" s="514"/>
      <c r="NIA231" s="514"/>
      <c r="NIB231" s="514"/>
      <c r="NIC231" s="514"/>
      <c r="NID231" s="514"/>
      <c r="NIE231" s="514"/>
      <c r="NIF231" s="514"/>
      <c r="NIG231" s="514"/>
      <c r="NIH231" s="514"/>
      <c r="NII231" s="514"/>
      <c r="NIJ231" s="514"/>
      <c r="NIK231" s="514"/>
      <c r="NIL231" s="514"/>
      <c r="NIM231" s="514"/>
      <c r="NIN231" s="514"/>
      <c r="NIO231" s="514"/>
      <c r="NIP231" s="514"/>
      <c r="NIQ231" s="514"/>
      <c r="NIR231" s="514"/>
      <c r="NIS231" s="514"/>
      <c r="NIT231" s="514"/>
      <c r="NIU231" s="514"/>
      <c r="NIV231" s="514"/>
      <c r="NIW231" s="514"/>
      <c r="NIX231" s="514"/>
      <c r="NIY231" s="514"/>
      <c r="NIZ231" s="514"/>
      <c r="NJA231" s="514"/>
      <c r="NJB231" s="514"/>
      <c r="NJC231" s="514"/>
      <c r="NJD231" s="514"/>
      <c r="NJE231" s="514"/>
      <c r="NJF231" s="514"/>
      <c r="NJG231" s="514"/>
      <c r="NJH231" s="514"/>
      <c r="NJI231" s="514"/>
      <c r="NJJ231" s="514"/>
      <c r="NJK231" s="514"/>
      <c r="NJL231" s="514"/>
      <c r="NJM231" s="514"/>
      <c r="NJN231" s="514"/>
      <c r="NJO231" s="514"/>
      <c r="NJP231" s="514"/>
      <c r="NJQ231" s="514"/>
      <c r="NJR231" s="514"/>
      <c r="NJS231" s="514"/>
      <c r="NJT231" s="514"/>
      <c r="NJU231" s="514"/>
      <c r="NJV231" s="514"/>
      <c r="NJW231" s="514"/>
      <c r="NJX231" s="514"/>
      <c r="NJY231" s="514"/>
      <c r="NJZ231" s="514"/>
      <c r="NKA231" s="514"/>
      <c r="NKB231" s="514"/>
      <c r="NKC231" s="514"/>
      <c r="NKD231" s="514"/>
      <c r="NKE231" s="514"/>
      <c r="NKF231" s="514"/>
      <c r="NKG231" s="514"/>
      <c r="NKH231" s="514"/>
      <c r="NKI231" s="514"/>
      <c r="NKJ231" s="514"/>
      <c r="NKK231" s="514"/>
      <c r="NKL231" s="514"/>
      <c r="NKM231" s="514"/>
      <c r="NKN231" s="514"/>
      <c r="NKO231" s="514"/>
      <c r="NKP231" s="514"/>
      <c r="NKQ231" s="514"/>
      <c r="NKR231" s="514"/>
      <c r="NKS231" s="514"/>
      <c r="NKT231" s="514"/>
      <c r="NKU231" s="514"/>
      <c r="NKV231" s="514"/>
      <c r="NKW231" s="514"/>
      <c r="NKX231" s="514"/>
      <c r="NKY231" s="514"/>
      <c r="NKZ231" s="514"/>
      <c r="NLA231" s="514"/>
      <c r="NLB231" s="514"/>
      <c r="NLC231" s="514"/>
      <c r="NLD231" s="514"/>
      <c r="NLE231" s="514"/>
      <c r="NLF231" s="514"/>
      <c r="NLG231" s="514"/>
      <c r="NLH231" s="514"/>
      <c r="NLI231" s="514"/>
      <c r="NLJ231" s="514"/>
      <c r="NLK231" s="514"/>
      <c r="NLL231" s="514"/>
      <c r="NLM231" s="514"/>
      <c r="NLN231" s="514"/>
      <c r="NLO231" s="514"/>
      <c r="NLP231" s="514"/>
      <c r="NLQ231" s="514"/>
      <c r="NLR231" s="514"/>
      <c r="NLS231" s="514"/>
      <c r="NLT231" s="514"/>
      <c r="NLU231" s="514"/>
      <c r="NLV231" s="514"/>
      <c r="NLW231" s="514"/>
      <c r="NLX231" s="514"/>
      <c r="NLY231" s="514"/>
      <c r="NLZ231" s="514"/>
      <c r="NMA231" s="514"/>
      <c r="NMB231" s="514"/>
      <c r="NMC231" s="514"/>
      <c r="NMD231" s="514"/>
      <c r="NME231" s="514"/>
      <c r="NMF231" s="514"/>
      <c r="NMG231" s="514"/>
      <c r="NMH231" s="514"/>
      <c r="NMI231" s="514"/>
      <c r="NMJ231" s="514"/>
      <c r="NMK231" s="514"/>
      <c r="NML231" s="514"/>
      <c r="NMM231" s="514"/>
      <c r="NMN231" s="514"/>
      <c r="NMO231" s="514"/>
      <c r="NMP231" s="514"/>
      <c r="NMQ231" s="514"/>
      <c r="NMR231" s="514"/>
      <c r="NMS231" s="514"/>
      <c r="NMT231" s="514"/>
      <c r="NMU231" s="514"/>
      <c r="NMV231" s="514"/>
      <c r="NMW231" s="514"/>
      <c r="NMX231" s="514"/>
      <c r="NMY231" s="514"/>
      <c r="NMZ231" s="514"/>
      <c r="NNA231" s="514"/>
      <c r="NNB231" s="514"/>
      <c r="NNC231" s="514"/>
      <c r="NND231" s="514"/>
      <c r="NNE231" s="514"/>
      <c r="NNF231" s="514"/>
      <c r="NNG231" s="514"/>
      <c r="NNH231" s="514"/>
      <c r="NNI231" s="514"/>
      <c r="NNJ231" s="514"/>
      <c r="NNK231" s="514"/>
      <c r="NNL231" s="514"/>
      <c r="NNM231" s="514"/>
      <c r="NNN231" s="514"/>
      <c r="NNO231" s="514"/>
      <c r="NNP231" s="514"/>
      <c r="NNQ231" s="514"/>
      <c r="NNR231" s="514"/>
      <c r="NNS231" s="514"/>
      <c r="NNT231" s="514"/>
      <c r="NNU231" s="514"/>
      <c r="NNV231" s="514"/>
      <c r="NNW231" s="514"/>
      <c r="NNX231" s="514"/>
      <c r="NNY231" s="514"/>
      <c r="NNZ231" s="514"/>
      <c r="NOA231" s="514"/>
      <c r="NOB231" s="514"/>
      <c r="NOC231" s="514"/>
      <c r="NOD231" s="514"/>
      <c r="NOE231" s="514"/>
      <c r="NOF231" s="514"/>
      <c r="NOG231" s="514"/>
      <c r="NOH231" s="514"/>
      <c r="NOI231" s="514"/>
      <c r="NOJ231" s="514"/>
      <c r="NOK231" s="514"/>
      <c r="NOL231" s="514"/>
      <c r="NOM231" s="514"/>
      <c r="NON231" s="514"/>
      <c r="NOO231" s="514"/>
      <c r="NOP231" s="514"/>
      <c r="NOQ231" s="514"/>
      <c r="NOR231" s="514"/>
      <c r="NOS231" s="514"/>
      <c r="NOT231" s="514"/>
      <c r="NOU231" s="514"/>
      <c r="NOV231" s="514"/>
      <c r="NOW231" s="514"/>
      <c r="NOX231" s="514"/>
      <c r="NOY231" s="514"/>
      <c r="NOZ231" s="514"/>
      <c r="NPA231" s="514"/>
      <c r="NPB231" s="514"/>
      <c r="NPC231" s="514"/>
      <c r="NPD231" s="514"/>
      <c r="NPE231" s="514"/>
      <c r="NPF231" s="514"/>
      <c r="NPG231" s="514"/>
      <c r="NPH231" s="514"/>
      <c r="NPI231" s="514"/>
      <c r="NPJ231" s="514"/>
      <c r="NPK231" s="514"/>
      <c r="NPL231" s="514"/>
      <c r="NPM231" s="514"/>
      <c r="NPN231" s="514"/>
      <c r="NPO231" s="514"/>
      <c r="NPP231" s="514"/>
      <c r="NPQ231" s="514"/>
      <c r="NPR231" s="514"/>
      <c r="NPS231" s="514"/>
      <c r="NPT231" s="514"/>
      <c r="NPU231" s="514"/>
      <c r="NPV231" s="514"/>
      <c r="NPW231" s="514"/>
      <c r="NPX231" s="514"/>
      <c r="NPY231" s="514"/>
      <c r="NPZ231" s="514"/>
      <c r="NQA231" s="514"/>
      <c r="NQB231" s="514"/>
      <c r="NQC231" s="514"/>
      <c r="NQD231" s="514"/>
      <c r="NQE231" s="514"/>
      <c r="NQF231" s="514"/>
      <c r="NQG231" s="514"/>
      <c r="NQH231" s="514"/>
      <c r="NQI231" s="514"/>
      <c r="NQJ231" s="514"/>
      <c r="NQK231" s="514"/>
      <c r="NQL231" s="514"/>
      <c r="NQM231" s="514"/>
      <c r="NQN231" s="514"/>
      <c r="NQO231" s="514"/>
      <c r="NQP231" s="514"/>
      <c r="NQQ231" s="514"/>
      <c r="NQR231" s="514"/>
      <c r="NQS231" s="514"/>
      <c r="NQT231" s="514"/>
      <c r="NQU231" s="514"/>
      <c r="NQV231" s="514"/>
      <c r="NQW231" s="514"/>
      <c r="NQX231" s="514"/>
      <c r="NQY231" s="514"/>
      <c r="NQZ231" s="514"/>
      <c r="NRA231" s="514"/>
      <c r="NRB231" s="514"/>
      <c r="NRC231" s="514"/>
      <c r="NRD231" s="514"/>
      <c r="NRE231" s="514"/>
      <c r="NRF231" s="514"/>
      <c r="NRG231" s="514"/>
      <c r="NRH231" s="514"/>
      <c r="NRI231" s="514"/>
      <c r="NRJ231" s="514"/>
      <c r="NRK231" s="514"/>
      <c r="NRL231" s="514"/>
      <c r="NRM231" s="514"/>
      <c r="NRN231" s="514"/>
      <c r="NRO231" s="514"/>
      <c r="NRP231" s="514"/>
      <c r="NRQ231" s="514"/>
      <c r="NRR231" s="514"/>
      <c r="NRS231" s="514"/>
      <c r="NRT231" s="514"/>
      <c r="NRU231" s="514"/>
      <c r="NRV231" s="514"/>
      <c r="NRW231" s="514"/>
      <c r="NRX231" s="514"/>
      <c r="NRY231" s="514"/>
      <c r="NRZ231" s="514"/>
      <c r="NSA231" s="514"/>
      <c r="NSB231" s="514"/>
      <c r="NSC231" s="514"/>
      <c r="NSD231" s="514"/>
      <c r="NSE231" s="514"/>
      <c r="NSF231" s="514"/>
      <c r="NSG231" s="514"/>
      <c r="NSH231" s="514"/>
      <c r="NSI231" s="514"/>
      <c r="NSJ231" s="514"/>
      <c r="NSK231" s="514"/>
      <c r="NSL231" s="514"/>
      <c r="NSM231" s="514"/>
      <c r="NSN231" s="514"/>
      <c r="NSO231" s="514"/>
      <c r="NSP231" s="514"/>
      <c r="NSQ231" s="514"/>
      <c r="NSR231" s="514"/>
      <c r="NSS231" s="514"/>
      <c r="NST231" s="514"/>
      <c r="NSU231" s="514"/>
      <c r="NSV231" s="514"/>
      <c r="NSW231" s="514"/>
      <c r="NSX231" s="514"/>
      <c r="NSY231" s="514"/>
      <c r="NSZ231" s="514"/>
      <c r="NTA231" s="514"/>
      <c r="NTB231" s="514"/>
      <c r="NTC231" s="514"/>
      <c r="NTD231" s="514"/>
      <c r="NTE231" s="514"/>
      <c r="NTF231" s="514"/>
      <c r="NTG231" s="514"/>
      <c r="NTH231" s="514"/>
      <c r="NTI231" s="514"/>
      <c r="NTJ231" s="514"/>
      <c r="NTK231" s="514"/>
      <c r="NTL231" s="514"/>
      <c r="NTM231" s="514"/>
      <c r="NTN231" s="514"/>
      <c r="NTO231" s="514"/>
      <c r="NTP231" s="514"/>
      <c r="NTQ231" s="514"/>
      <c r="NTR231" s="514"/>
      <c r="NTS231" s="514"/>
      <c r="NTT231" s="514"/>
      <c r="NTU231" s="514"/>
      <c r="NTV231" s="514"/>
      <c r="NTW231" s="514"/>
      <c r="NTX231" s="514"/>
      <c r="NTY231" s="514"/>
      <c r="NTZ231" s="514"/>
      <c r="NUA231" s="514"/>
      <c r="NUB231" s="514"/>
      <c r="NUC231" s="514"/>
      <c r="NUD231" s="514"/>
      <c r="NUE231" s="514"/>
      <c r="NUF231" s="514"/>
      <c r="NUG231" s="514"/>
      <c r="NUH231" s="514"/>
      <c r="NUI231" s="514"/>
      <c r="NUJ231" s="514"/>
      <c r="NUK231" s="514"/>
      <c r="NUL231" s="514"/>
      <c r="NUM231" s="514"/>
      <c r="NUN231" s="514"/>
      <c r="NUO231" s="514"/>
      <c r="NUP231" s="514"/>
      <c r="NUQ231" s="514"/>
      <c r="NUR231" s="514"/>
      <c r="NUS231" s="514"/>
      <c r="NUT231" s="514"/>
      <c r="NUU231" s="514"/>
      <c r="NUV231" s="514"/>
      <c r="NUW231" s="514"/>
      <c r="NUX231" s="514"/>
      <c r="NUY231" s="514"/>
      <c r="NUZ231" s="514"/>
      <c r="NVA231" s="514"/>
      <c r="NVB231" s="514"/>
      <c r="NVC231" s="514"/>
      <c r="NVD231" s="514"/>
      <c r="NVE231" s="514"/>
      <c r="NVF231" s="514"/>
      <c r="NVG231" s="514"/>
      <c r="NVH231" s="514"/>
      <c r="NVI231" s="514"/>
      <c r="NVJ231" s="514"/>
      <c r="NVK231" s="514"/>
      <c r="NVL231" s="514"/>
      <c r="NVM231" s="514"/>
      <c r="NVN231" s="514"/>
      <c r="NVO231" s="514"/>
      <c r="NVP231" s="514"/>
      <c r="NVQ231" s="514"/>
      <c r="NVR231" s="514"/>
      <c r="NVS231" s="514"/>
      <c r="NVT231" s="514"/>
      <c r="NVU231" s="514"/>
      <c r="NVV231" s="514"/>
      <c r="NVW231" s="514"/>
      <c r="NVX231" s="514"/>
      <c r="NVY231" s="514"/>
      <c r="NVZ231" s="514"/>
      <c r="NWA231" s="514"/>
      <c r="NWB231" s="514"/>
      <c r="NWC231" s="514"/>
      <c r="NWD231" s="514"/>
      <c r="NWE231" s="514"/>
      <c r="NWF231" s="514"/>
      <c r="NWG231" s="514"/>
      <c r="NWH231" s="514"/>
      <c r="NWI231" s="514"/>
      <c r="NWJ231" s="514"/>
      <c r="NWK231" s="514"/>
      <c r="NWL231" s="514"/>
      <c r="NWM231" s="514"/>
      <c r="NWN231" s="514"/>
      <c r="NWO231" s="514"/>
      <c r="NWP231" s="514"/>
      <c r="NWQ231" s="514"/>
      <c r="NWR231" s="514"/>
      <c r="NWS231" s="514"/>
      <c r="NWT231" s="514"/>
      <c r="NWU231" s="514"/>
      <c r="NWV231" s="514"/>
      <c r="NWW231" s="514"/>
      <c r="NWX231" s="514"/>
      <c r="NWY231" s="514"/>
      <c r="NWZ231" s="514"/>
      <c r="NXA231" s="514"/>
      <c r="NXB231" s="514"/>
      <c r="NXC231" s="514"/>
      <c r="NXD231" s="514"/>
      <c r="NXE231" s="514"/>
      <c r="NXF231" s="514"/>
      <c r="NXG231" s="514"/>
      <c r="NXH231" s="514"/>
      <c r="NXI231" s="514"/>
      <c r="NXJ231" s="514"/>
      <c r="NXK231" s="514"/>
      <c r="NXL231" s="514"/>
      <c r="NXM231" s="514"/>
      <c r="NXN231" s="514"/>
      <c r="NXO231" s="514"/>
      <c r="NXP231" s="514"/>
      <c r="NXQ231" s="514"/>
      <c r="NXR231" s="514"/>
      <c r="NXS231" s="514"/>
      <c r="NXT231" s="514"/>
      <c r="NXU231" s="514"/>
      <c r="NXV231" s="514"/>
      <c r="NXW231" s="514"/>
      <c r="NXX231" s="514"/>
      <c r="NXY231" s="514"/>
      <c r="NXZ231" s="514"/>
      <c r="NYA231" s="514"/>
      <c r="NYB231" s="514"/>
      <c r="NYC231" s="514"/>
      <c r="NYD231" s="514"/>
      <c r="NYE231" s="514"/>
      <c r="NYF231" s="514"/>
      <c r="NYG231" s="514"/>
      <c r="NYH231" s="514"/>
      <c r="NYI231" s="514"/>
      <c r="NYJ231" s="514"/>
      <c r="NYK231" s="514"/>
      <c r="NYL231" s="514"/>
      <c r="NYM231" s="514"/>
      <c r="NYN231" s="514"/>
      <c r="NYO231" s="514"/>
      <c r="NYP231" s="514"/>
      <c r="NYQ231" s="514"/>
      <c r="NYR231" s="514"/>
      <c r="NYS231" s="514"/>
      <c r="NYT231" s="514"/>
      <c r="NYU231" s="514"/>
      <c r="NYV231" s="514"/>
      <c r="NYW231" s="514"/>
      <c r="NYX231" s="514"/>
      <c r="NYY231" s="514"/>
      <c r="NYZ231" s="514"/>
      <c r="NZA231" s="514"/>
      <c r="NZB231" s="514"/>
      <c r="NZC231" s="514"/>
      <c r="NZD231" s="514"/>
      <c r="NZE231" s="514"/>
      <c r="NZF231" s="514"/>
      <c r="NZG231" s="514"/>
      <c r="NZH231" s="514"/>
      <c r="NZI231" s="514"/>
      <c r="NZJ231" s="514"/>
      <c r="NZK231" s="514"/>
      <c r="NZL231" s="514"/>
      <c r="NZM231" s="514"/>
      <c r="NZN231" s="514"/>
      <c r="NZO231" s="514"/>
      <c r="NZP231" s="514"/>
      <c r="NZQ231" s="514"/>
      <c r="NZR231" s="514"/>
      <c r="NZS231" s="514"/>
      <c r="NZT231" s="514"/>
      <c r="NZU231" s="514"/>
      <c r="NZV231" s="514"/>
      <c r="NZW231" s="514"/>
      <c r="NZX231" s="514"/>
      <c r="NZY231" s="514"/>
      <c r="NZZ231" s="514"/>
      <c r="OAA231" s="514"/>
      <c r="OAB231" s="514"/>
      <c r="OAC231" s="514"/>
      <c r="OAD231" s="514"/>
      <c r="OAE231" s="514"/>
      <c r="OAF231" s="514"/>
      <c r="OAG231" s="514"/>
      <c r="OAH231" s="514"/>
      <c r="OAI231" s="514"/>
      <c r="OAJ231" s="514"/>
      <c r="OAK231" s="514"/>
      <c r="OAL231" s="514"/>
      <c r="OAM231" s="514"/>
      <c r="OAN231" s="514"/>
      <c r="OAO231" s="514"/>
      <c r="OAP231" s="514"/>
      <c r="OAQ231" s="514"/>
      <c r="OAR231" s="514"/>
      <c r="OAS231" s="514"/>
      <c r="OAT231" s="514"/>
      <c r="OAU231" s="514"/>
      <c r="OAV231" s="514"/>
      <c r="OAW231" s="514"/>
      <c r="OAX231" s="514"/>
      <c r="OAY231" s="514"/>
      <c r="OAZ231" s="514"/>
      <c r="OBA231" s="514"/>
      <c r="OBB231" s="514"/>
      <c r="OBC231" s="514"/>
      <c r="OBD231" s="514"/>
      <c r="OBE231" s="514"/>
      <c r="OBF231" s="514"/>
      <c r="OBG231" s="514"/>
      <c r="OBH231" s="514"/>
      <c r="OBI231" s="514"/>
      <c r="OBJ231" s="514"/>
      <c r="OBK231" s="514"/>
      <c r="OBL231" s="514"/>
      <c r="OBM231" s="514"/>
      <c r="OBN231" s="514"/>
      <c r="OBO231" s="514"/>
      <c r="OBP231" s="514"/>
      <c r="OBQ231" s="514"/>
      <c r="OBR231" s="514"/>
      <c r="OBS231" s="514"/>
      <c r="OBT231" s="514"/>
      <c r="OBU231" s="514"/>
      <c r="OBV231" s="514"/>
      <c r="OBW231" s="514"/>
      <c r="OBX231" s="514"/>
      <c r="OBY231" s="514"/>
      <c r="OBZ231" s="514"/>
      <c r="OCA231" s="514"/>
      <c r="OCB231" s="514"/>
      <c r="OCC231" s="514"/>
      <c r="OCD231" s="514"/>
      <c r="OCE231" s="514"/>
      <c r="OCF231" s="514"/>
      <c r="OCG231" s="514"/>
      <c r="OCH231" s="514"/>
      <c r="OCI231" s="514"/>
      <c r="OCJ231" s="514"/>
      <c r="OCK231" s="514"/>
      <c r="OCL231" s="514"/>
      <c r="OCM231" s="514"/>
      <c r="OCN231" s="514"/>
      <c r="OCO231" s="514"/>
      <c r="OCP231" s="514"/>
      <c r="OCQ231" s="514"/>
      <c r="OCR231" s="514"/>
      <c r="OCS231" s="514"/>
      <c r="OCT231" s="514"/>
      <c r="OCU231" s="514"/>
      <c r="OCV231" s="514"/>
      <c r="OCW231" s="514"/>
      <c r="OCX231" s="514"/>
      <c r="OCY231" s="514"/>
      <c r="OCZ231" s="514"/>
      <c r="ODA231" s="514"/>
      <c r="ODB231" s="514"/>
      <c r="ODC231" s="514"/>
      <c r="ODD231" s="514"/>
      <c r="ODE231" s="514"/>
      <c r="ODF231" s="514"/>
      <c r="ODG231" s="514"/>
      <c r="ODH231" s="514"/>
      <c r="ODI231" s="514"/>
      <c r="ODJ231" s="514"/>
      <c r="ODK231" s="514"/>
      <c r="ODL231" s="514"/>
      <c r="ODM231" s="514"/>
      <c r="ODN231" s="514"/>
      <c r="ODO231" s="514"/>
      <c r="ODP231" s="514"/>
      <c r="ODQ231" s="514"/>
      <c r="ODR231" s="514"/>
      <c r="ODS231" s="514"/>
      <c r="ODT231" s="514"/>
      <c r="ODU231" s="514"/>
      <c r="ODV231" s="514"/>
      <c r="ODW231" s="514"/>
      <c r="ODX231" s="514"/>
      <c r="ODY231" s="514"/>
      <c r="ODZ231" s="514"/>
      <c r="OEA231" s="514"/>
      <c r="OEB231" s="514"/>
      <c r="OEC231" s="514"/>
      <c r="OED231" s="514"/>
      <c r="OEE231" s="514"/>
      <c r="OEF231" s="514"/>
      <c r="OEG231" s="514"/>
      <c r="OEH231" s="514"/>
      <c r="OEI231" s="514"/>
      <c r="OEJ231" s="514"/>
      <c r="OEK231" s="514"/>
      <c r="OEL231" s="514"/>
      <c r="OEM231" s="514"/>
      <c r="OEN231" s="514"/>
      <c r="OEO231" s="514"/>
      <c r="OEP231" s="514"/>
      <c r="OEQ231" s="514"/>
      <c r="OER231" s="514"/>
      <c r="OES231" s="514"/>
      <c r="OET231" s="514"/>
      <c r="OEU231" s="514"/>
      <c r="OEV231" s="514"/>
      <c r="OEW231" s="514"/>
      <c r="OEX231" s="514"/>
      <c r="OEY231" s="514"/>
      <c r="OEZ231" s="514"/>
      <c r="OFA231" s="514"/>
      <c r="OFB231" s="514"/>
      <c r="OFC231" s="514"/>
      <c r="OFD231" s="514"/>
      <c r="OFE231" s="514"/>
      <c r="OFF231" s="514"/>
      <c r="OFG231" s="514"/>
      <c r="OFH231" s="514"/>
      <c r="OFI231" s="514"/>
      <c r="OFJ231" s="514"/>
      <c r="OFK231" s="514"/>
      <c r="OFL231" s="514"/>
      <c r="OFM231" s="514"/>
      <c r="OFN231" s="514"/>
      <c r="OFO231" s="514"/>
      <c r="OFP231" s="514"/>
      <c r="OFQ231" s="514"/>
      <c r="OFR231" s="514"/>
      <c r="OFS231" s="514"/>
      <c r="OFT231" s="514"/>
      <c r="OFU231" s="514"/>
      <c r="OFV231" s="514"/>
      <c r="OFW231" s="514"/>
      <c r="OFX231" s="514"/>
      <c r="OFY231" s="514"/>
      <c r="OFZ231" s="514"/>
      <c r="OGA231" s="514"/>
      <c r="OGB231" s="514"/>
      <c r="OGC231" s="514"/>
      <c r="OGD231" s="514"/>
      <c r="OGE231" s="514"/>
      <c r="OGF231" s="514"/>
      <c r="OGG231" s="514"/>
      <c r="OGH231" s="514"/>
      <c r="OGI231" s="514"/>
      <c r="OGJ231" s="514"/>
      <c r="OGK231" s="514"/>
      <c r="OGL231" s="514"/>
      <c r="OGM231" s="514"/>
      <c r="OGN231" s="514"/>
      <c r="OGO231" s="514"/>
      <c r="OGP231" s="514"/>
      <c r="OGQ231" s="514"/>
      <c r="OGR231" s="514"/>
      <c r="OGS231" s="514"/>
      <c r="OGT231" s="514"/>
      <c r="OGU231" s="514"/>
      <c r="OGV231" s="514"/>
      <c r="OGW231" s="514"/>
      <c r="OGX231" s="514"/>
      <c r="OGY231" s="514"/>
      <c r="OGZ231" s="514"/>
      <c r="OHA231" s="514"/>
      <c r="OHB231" s="514"/>
      <c r="OHC231" s="514"/>
      <c r="OHD231" s="514"/>
      <c r="OHE231" s="514"/>
      <c r="OHF231" s="514"/>
      <c r="OHG231" s="514"/>
      <c r="OHH231" s="514"/>
      <c r="OHI231" s="514"/>
      <c r="OHJ231" s="514"/>
      <c r="OHK231" s="514"/>
      <c r="OHL231" s="514"/>
      <c r="OHM231" s="514"/>
      <c r="OHN231" s="514"/>
      <c r="OHO231" s="514"/>
      <c r="OHP231" s="514"/>
      <c r="OHQ231" s="514"/>
      <c r="OHR231" s="514"/>
      <c r="OHS231" s="514"/>
      <c r="OHT231" s="514"/>
      <c r="OHU231" s="514"/>
      <c r="OHV231" s="514"/>
      <c r="OHW231" s="514"/>
      <c r="OHX231" s="514"/>
      <c r="OHY231" s="514"/>
      <c r="OHZ231" s="514"/>
      <c r="OIA231" s="514"/>
      <c r="OIB231" s="514"/>
      <c r="OIC231" s="514"/>
      <c r="OID231" s="514"/>
      <c r="OIE231" s="514"/>
      <c r="OIF231" s="514"/>
      <c r="OIG231" s="514"/>
      <c r="OIH231" s="514"/>
      <c r="OII231" s="514"/>
      <c r="OIJ231" s="514"/>
      <c r="OIK231" s="514"/>
      <c r="OIL231" s="514"/>
      <c r="OIM231" s="514"/>
      <c r="OIN231" s="514"/>
      <c r="OIO231" s="514"/>
      <c r="OIP231" s="514"/>
      <c r="OIQ231" s="514"/>
      <c r="OIR231" s="514"/>
      <c r="OIS231" s="514"/>
      <c r="OIT231" s="514"/>
      <c r="OIU231" s="514"/>
      <c r="OIV231" s="514"/>
      <c r="OIW231" s="514"/>
      <c r="OIX231" s="514"/>
      <c r="OIY231" s="514"/>
      <c r="OIZ231" s="514"/>
      <c r="OJA231" s="514"/>
      <c r="OJB231" s="514"/>
      <c r="OJC231" s="514"/>
      <c r="OJD231" s="514"/>
      <c r="OJE231" s="514"/>
      <c r="OJF231" s="514"/>
      <c r="OJG231" s="514"/>
      <c r="OJH231" s="514"/>
      <c r="OJI231" s="514"/>
      <c r="OJJ231" s="514"/>
      <c r="OJK231" s="514"/>
      <c r="OJL231" s="514"/>
      <c r="OJM231" s="514"/>
      <c r="OJN231" s="514"/>
      <c r="OJO231" s="514"/>
      <c r="OJP231" s="514"/>
      <c r="OJQ231" s="514"/>
      <c r="OJR231" s="514"/>
      <c r="OJS231" s="514"/>
      <c r="OJT231" s="514"/>
      <c r="OJU231" s="514"/>
      <c r="OJV231" s="514"/>
      <c r="OJW231" s="514"/>
      <c r="OJX231" s="514"/>
      <c r="OJY231" s="514"/>
      <c r="OJZ231" s="514"/>
      <c r="OKA231" s="514"/>
      <c r="OKB231" s="514"/>
      <c r="OKC231" s="514"/>
      <c r="OKD231" s="514"/>
      <c r="OKE231" s="514"/>
      <c r="OKF231" s="514"/>
      <c r="OKG231" s="514"/>
      <c r="OKH231" s="514"/>
      <c r="OKI231" s="514"/>
      <c r="OKJ231" s="514"/>
      <c r="OKK231" s="514"/>
      <c r="OKL231" s="514"/>
      <c r="OKM231" s="514"/>
      <c r="OKN231" s="514"/>
      <c r="OKO231" s="514"/>
      <c r="OKP231" s="514"/>
      <c r="OKQ231" s="514"/>
      <c r="OKR231" s="514"/>
      <c r="OKS231" s="514"/>
      <c r="OKT231" s="514"/>
      <c r="OKU231" s="514"/>
      <c r="OKV231" s="514"/>
      <c r="OKW231" s="514"/>
      <c r="OKX231" s="514"/>
      <c r="OKY231" s="514"/>
      <c r="OKZ231" s="514"/>
      <c r="OLA231" s="514"/>
      <c r="OLB231" s="514"/>
      <c r="OLC231" s="514"/>
      <c r="OLD231" s="514"/>
      <c r="OLE231" s="514"/>
      <c r="OLF231" s="514"/>
      <c r="OLG231" s="514"/>
      <c r="OLH231" s="514"/>
      <c r="OLI231" s="514"/>
      <c r="OLJ231" s="514"/>
      <c r="OLK231" s="514"/>
      <c r="OLL231" s="514"/>
      <c r="OLM231" s="514"/>
      <c r="OLN231" s="514"/>
      <c r="OLO231" s="514"/>
      <c r="OLP231" s="514"/>
      <c r="OLQ231" s="514"/>
      <c r="OLR231" s="514"/>
      <c r="OLS231" s="514"/>
      <c r="OLT231" s="514"/>
      <c r="OLU231" s="514"/>
      <c r="OLV231" s="514"/>
      <c r="OLW231" s="514"/>
      <c r="OLX231" s="514"/>
      <c r="OLY231" s="514"/>
      <c r="OLZ231" s="514"/>
      <c r="OMA231" s="514"/>
      <c r="OMB231" s="514"/>
      <c r="OMC231" s="514"/>
      <c r="OMD231" s="514"/>
      <c r="OME231" s="514"/>
      <c r="OMF231" s="514"/>
      <c r="OMG231" s="514"/>
      <c r="OMH231" s="514"/>
      <c r="OMI231" s="514"/>
      <c r="OMJ231" s="514"/>
      <c r="OMK231" s="514"/>
      <c r="OML231" s="514"/>
      <c r="OMM231" s="514"/>
      <c r="OMN231" s="514"/>
      <c r="OMO231" s="514"/>
      <c r="OMP231" s="514"/>
      <c r="OMQ231" s="514"/>
      <c r="OMR231" s="514"/>
      <c r="OMS231" s="514"/>
      <c r="OMT231" s="514"/>
      <c r="OMU231" s="514"/>
      <c r="OMV231" s="514"/>
      <c r="OMW231" s="514"/>
      <c r="OMX231" s="514"/>
      <c r="OMY231" s="514"/>
      <c r="OMZ231" s="514"/>
      <c r="ONA231" s="514"/>
      <c r="ONB231" s="514"/>
      <c r="ONC231" s="514"/>
      <c r="OND231" s="514"/>
      <c r="ONE231" s="514"/>
      <c r="ONF231" s="514"/>
      <c r="ONG231" s="514"/>
      <c r="ONH231" s="514"/>
      <c r="ONI231" s="514"/>
      <c r="ONJ231" s="514"/>
      <c r="ONK231" s="514"/>
      <c r="ONL231" s="514"/>
      <c r="ONM231" s="514"/>
      <c r="ONN231" s="514"/>
      <c r="ONO231" s="514"/>
      <c r="ONP231" s="514"/>
      <c r="ONQ231" s="514"/>
      <c r="ONR231" s="514"/>
      <c r="ONS231" s="514"/>
      <c r="ONT231" s="514"/>
      <c r="ONU231" s="514"/>
      <c r="ONV231" s="514"/>
      <c r="ONW231" s="514"/>
      <c r="ONX231" s="514"/>
      <c r="ONY231" s="514"/>
      <c r="ONZ231" s="514"/>
      <c r="OOA231" s="514"/>
      <c r="OOB231" s="514"/>
      <c r="OOC231" s="514"/>
      <c r="OOD231" s="514"/>
      <c r="OOE231" s="514"/>
      <c r="OOF231" s="514"/>
      <c r="OOG231" s="514"/>
      <c r="OOH231" s="514"/>
      <c r="OOI231" s="514"/>
      <c r="OOJ231" s="514"/>
      <c r="OOK231" s="514"/>
      <c r="OOL231" s="514"/>
      <c r="OOM231" s="514"/>
      <c r="OON231" s="514"/>
      <c r="OOO231" s="514"/>
      <c r="OOP231" s="514"/>
      <c r="OOQ231" s="514"/>
      <c r="OOR231" s="514"/>
      <c r="OOS231" s="514"/>
      <c r="OOT231" s="514"/>
      <c r="OOU231" s="514"/>
      <c r="OOV231" s="514"/>
      <c r="OOW231" s="514"/>
      <c r="OOX231" s="514"/>
      <c r="OOY231" s="514"/>
      <c r="OOZ231" s="514"/>
      <c r="OPA231" s="514"/>
      <c r="OPB231" s="514"/>
      <c r="OPC231" s="514"/>
      <c r="OPD231" s="514"/>
      <c r="OPE231" s="514"/>
      <c r="OPF231" s="514"/>
      <c r="OPG231" s="514"/>
      <c r="OPH231" s="514"/>
      <c r="OPI231" s="514"/>
      <c r="OPJ231" s="514"/>
      <c r="OPK231" s="514"/>
      <c r="OPL231" s="514"/>
      <c r="OPM231" s="514"/>
      <c r="OPN231" s="514"/>
      <c r="OPO231" s="514"/>
      <c r="OPP231" s="514"/>
      <c r="OPQ231" s="514"/>
      <c r="OPR231" s="514"/>
      <c r="OPS231" s="514"/>
      <c r="OPT231" s="514"/>
      <c r="OPU231" s="514"/>
      <c r="OPV231" s="514"/>
      <c r="OPW231" s="514"/>
      <c r="OPX231" s="514"/>
      <c r="OPY231" s="514"/>
      <c r="OPZ231" s="514"/>
      <c r="OQA231" s="514"/>
      <c r="OQB231" s="514"/>
      <c r="OQC231" s="514"/>
      <c r="OQD231" s="514"/>
      <c r="OQE231" s="514"/>
      <c r="OQF231" s="514"/>
      <c r="OQG231" s="514"/>
      <c r="OQH231" s="514"/>
      <c r="OQI231" s="514"/>
      <c r="OQJ231" s="514"/>
      <c r="OQK231" s="514"/>
      <c r="OQL231" s="514"/>
      <c r="OQM231" s="514"/>
      <c r="OQN231" s="514"/>
      <c r="OQO231" s="514"/>
      <c r="OQP231" s="514"/>
      <c r="OQQ231" s="514"/>
      <c r="OQR231" s="514"/>
      <c r="OQS231" s="514"/>
      <c r="OQT231" s="514"/>
      <c r="OQU231" s="514"/>
      <c r="OQV231" s="514"/>
      <c r="OQW231" s="514"/>
      <c r="OQX231" s="514"/>
      <c r="OQY231" s="514"/>
      <c r="OQZ231" s="514"/>
      <c r="ORA231" s="514"/>
      <c r="ORB231" s="514"/>
      <c r="ORC231" s="514"/>
      <c r="ORD231" s="514"/>
      <c r="ORE231" s="514"/>
      <c r="ORF231" s="514"/>
      <c r="ORG231" s="514"/>
      <c r="ORH231" s="514"/>
      <c r="ORI231" s="514"/>
      <c r="ORJ231" s="514"/>
      <c r="ORK231" s="514"/>
      <c r="ORL231" s="514"/>
      <c r="ORM231" s="514"/>
      <c r="ORN231" s="514"/>
      <c r="ORO231" s="514"/>
      <c r="ORP231" s="514"/>
      <c r="ORQ231" s="514"/>
      <c r="ORR231" s="514"/>
      <c r="ORS231" s="514"/>
      <c r="ORT231" s="514"/>
      <c r="ORU231" s="514"/>
      <c r="ORV231" s="514"/>
      <c r="ORW231" s="514"/>
      <c r="ORX231" s="514"/>
      <c r="ORY231" s="514"/>
      <c r="ORZ231" s="514"/>
      <c r="OSA231" s="514"/>
      <c r="OSB231" s="514"/>
      <c r="OSC231" s="514"/>
      <c r="OSD231" s="514"/>
      <c r="OSE231" s="514"/>
      <c r="OSF231" s="514"/>
      <c r="OSG231" s="514"/>
      <c r="OSH231" s="514"/>
      <c r="OSI231" s="514"/>
      <c r="OSJ231" s="514"/>
      <c r="OSK231" s="514"/>
      <c r="OSL231" s="514"/>
      <c r="OSM231" s="514"/>
      <c r="OSN231" s="514"/>
      <c r="OSO231" s="514"/>
      <c r="OSP231" s="514"/>
      <c r="OSQ231" s="514"/>
      <c r="OSR231" s="514"/>
      <c r="OSS231" s="514"/>
      <c r="OST231" s="514"/>
      <c r="OSU231" s="514"/>
      <c r="OSV231" s="514"/>
      <c r="OSW231" s="514"/>
      <c r="OSX231" s="514"/>
      <c r="OSY231" s="514"/>
      <c r="OSZ231" s="514"/>
      <c r="OTA231" s="514"/>
      <c r="OTB231" s="514"/>
      <c r="OTC231" s="514"/>
      <c r="OTD231" s="514"/>
      <c r="OTE231" s="514"/>
      <c r="OTF231" s="514"/>
      <c r="OTG231" s="514"/>
      <c r="OTH231" s="514"/>
      <c r="OTI231" s="514"/>
      <c r="OTJ231" s="514"/>
      <c r="OTK231" s="514"/>
      <c r="OTL231" s="514"/>
      <c r="OTM231" s="514"/>
      <c r="OTN231" s="514"/>
      <c r="OTO231" s="514"/>
      <c r="OTP231" s="514"/>
      <c r="OTQ231" s="514"/>
      <c r="OTR231" s="514"/>
      <c r="OTS231" s="514"/>
      <c r="OTT231" s="514"/>
      <c r="OTU231" s="514"/>
      <c r="OTV231" s="514"/>
      <c r="OTW231" s="514"/>
      <c r="OTX231" s="514"/>
      <c r="OTY231" s="514"/>
      <c r="OTZ231" s="514"/>
      <c r="OUA231" s="514"/>
      <c r="OUB231" s="514"/>
      <c r="OUC231" s="514"/>
      <c r="OUD231" s="514"/>
      <c r="OUE231" s="514"/>
      <c r="OUF231" s="514"/>
      <c r="OUG231" s="514"/>
      <c r="OUH231" s="514"/>
      <c r="OUI231" s="514"/>
      <c r="OUJ231" s="514"/>
      <c r="OUK231" s="514"/>
      <c r="OUL231" s="514"/>
      <c r="OUM231" s="514"/>
      <c r="OUN231" s="514"/>
      <c r="OUO231" s="514"/>
      <c r="OUP231" s="514"/>
      <c r="OUQ231" s="514"/>
      <c r="OUR231" s="514"/>
      <c r="OUS231" s="514"/>
      <c r="OUT231" s="514"/>
      <c r="OUU231" s="514"/>
      <c r="OUV231" s="514"/>
      <c r="OUW231" s="514"/>
      <c r="OUX231" s="514"/>
      <c r="OUY231" s="514"/>
      <c r="OUZ231" s="514"/>
      <c r="OVA231" s="514"/>
      <c r="OVB231" s="514"/>
      <c r="OVC231" s="514"/>
      <c r="OVD231" s="514"/>
      <c r="OVE231" s="514"/>
      <c r="OVF231" s="514"/>
      <c r="OVG231" s="514"/>
      <c r="OVH231" s="514"/>
      <c r="OVI231" s="514"/>
      <c r="OVJ231" s="514"/>
      <c r="OVK231" s="514"/>
      <c r="OVL231" s="514"/>
      <c r="OVM231" s="514"/>
      <c r="OVN231" s="514"/>
      <c r="OVO231" s="514"/>
      <c r="OVP231" s="514"/>
      <c r="OVQ231" s="514"/>
      <c r="OVR231" s="514"/>
      <c r="OVS231" s="514"/>
      <c r="OVT231" s="514"/>
      <c r="OVU231" s="514"/>
      <c r="OVV231" s="514"/>
      <c r="OVW231" s="514"/>
      <c r="OVX231" s="514"/>
      <c r="OVY231" s="514"/>
      <c r="OVZ231" s="514"/>
      <c r="OWA231" s="514"/>
      <c r="OWB231" s="514"/>
      <c r="OWC231" s="514"/>
      <c r="OWD231" s="514"/>
      <c r="OWE231" s="514"/>
      <c r="OWF231" s="514"/>
      <c r="OWG231" s="514"/>
      <c r="OWH231" s="514"/>
      <c r="OWI231" s="514"/>
      <c r="OWJ231" s="514"/>
      <c r="OWK231" s="514"/>
      <c r="OWL231" s="514"/>
      <c r="OWM231" s="514"/>
      <c r="OWN231" s="514"/>
      <c r="OWO231" s="514"/>
      <c r="OWP231" s="514"/>
      <c r="OWQ231" s="514"/>
      <c r="OWR231" s="514"/>
      <c r="OWS231" s="514"/>
      <c r="OWT231" s="514"/>
      <c r="OWU231" s="514"/>
      <c r="OWV231" s="514"/>
      <c r="OWW231" s="514"/>
      <c r="OWX231" s="514"/>
      <c r="OWY231" s="514"/>
      <c r="OWZ231" s="514"/>
      <c r="OXA231" s="514"/>
      <c r="OXB231" s="514"/>
      <c r="OXC231" s="514"/>
      <c r="OXD231" s="514"/>
      <c r="OXE231" s="514"/>
      <c r="OXF231" s="514"/>
      <c r="OXG231" s="514"/>
      <c r="OXH231" s="514"/>
      <c r="OXI231" s="514"/>
      <c r="OXJ231" s="514"/>
      <c r="OXK231" s="514"/>
      <c r="OXL231" s="514"/>
      <c r="OXM231" s="514"/>
      <c r="OXN231" s="514"/>
      <c r="OXO231" s="514"/>
      <c r="OXP231" s="514"/>
      <c r="OXQ231" s="514"/>
      <c r="OXR231" s="514"/>
      <c r="OXS231" s="514"/>
      <c r="OXT231" s="514"/>
      <c r="OXU231" s="514"/>
      <c r="OXV231" s="514"/>
      <c r="OXW231" s="514"/>
      <c r="OXX231" s="514"/>
      <c r="OXY231" s="514"/>
      <c r="OXZ231" s="514"/>
      <c r="OYA231" s="514"/>
      <c r="OYB231" s="514"/>
      <c r="OYC231" s="514"/>
      <c r="OYD231" s="514"/>
      <c r="OYE231" s="514"/>
      <c r="OYF231" s="514"/>
      <c r="OYG231" s="514"/>
      <c r="OYH231" s="514"/>
      <c r="OYI231" s="514"/>
      <c r="OYJ231" s="514"/>
      <c r="OYK231" s="514"/>
      <c r="OYL231" s="514"/>
      <c r="OYM231" s="514"/>
      <c r="OYN231" s="514"/>
      <c r="OYO231" s="514"/>
      <c r="OYP231" s="514"/>
      <c r="OYQ231" s="514"/>
      <c r="OYR231" s="514"/>
      <c r="OYS231" s="514"/>
      <c r="OYT231" s="514"/>
      <c r="OYU231" s="514"/>
      <c r="OYV231" s="514"/>
      <c r="OYW231" s="514"/>
      <c r="OYX231" s="514"/>
      <c r="OYY231" s="514"/>
      <c r="OYZ231" s="514"/>
      <c r="OZA231" s="514"/>
      <c r="OZB231" s="514"/>
      <c r="OZC231" s="514"/>
      <c r="OZD231" s="514"/>
      <c r="OZE231" s="514"/>
      <c r="OZF231" s="514"/>
      <c r="OZG231" s="514"/>
      <c r="OZH231" s="514"/>
      <c r="OZI231" s="514"/>
      <c r="OZJ231" s="514"/>
      <c r="OZK231" s="514"/>
      <c r="OZL231" s="514"/>
      <c r="OZM231" s="514"/>
      <c r="OZN231" s="514"/>
      <c r="OZO231" s="514"/>
      <c r="OZP231" s="514"/>
      <c r="OZQ231" s="514"/>
      <c r="OZR231" s="514"/>
      <c r="OZS231" s="514"/>
      <c r="OZT231" s="514"/>
      <c r="OZU231" s="514"/>
      <c r="OZV231" s="514"/>
      <c r="OZW231" s="514"/>
      <c r="OZX231" s="514"/>
      <c r="OZY231" s="514"/>
      <c r="OZZ231" s="514"/>
      <c r="PAA231" s="514"/>
      <c r="PAB231" s="514"/>
      <c r="PAC231" s="514"/>
      <c r="PAD231" s="514"/>
      <c r="PAE231" s="514"/>
      <c r="PAF231" s="514"/>
      <c r="PAG231" s="514"/>
      <c r="PAH231" s="514"/>
      <c r="PAI231" s="514"/>
      <c r="PAJ231" s="514"/>
      <c r="PAK231" s="514"/>
      <c r="PAL231" s="514"/>
      <c r="PAM231" s="514"/>
      <c r="PAN231" s="514"/>
      <c r="PAO231" s="514"/>
      <c r="PAP231" s="514"/>
      <c r="PAQ231" s="514"/>
      <c r="PAR231" s="514"/>
      <c r="PAS231" s="514"/>
      <c r="PAT231" s="514"/>
      <c r="PAU231" s="514"/>
      <c r="PAV231" s="514"/>
      <c r="PAW231" s="514"/>
      <c r="PAX231" s="514"/>
      <c r="PAY231" s="514"/>
      <c r="PAZ231" s="514"/>
      <c r="PBA231" s="514"/>
      <c r="PBB231" s="514"/>
      <c r="PBC231" s="514"/>
      <c r="PBD231" s="514"/>
      <c r="PBE231" s="514"/>
      <c r="PBF231" s="514"/>
      <c r="PBG231" s="514"/>
      <c r="PBH231" s="514"/>
      <c r="PBI231" s="514"/>
      <c r="PBJ231" s="514"/>
      <c r="PBK231" s="514"/>
      <c r="PBL231" s="514"/>
      <c r="PBM231" s="514"/>
      <c r="PBN231" s="514"/>
      <c r="PBO231" s="514"/>
      <c r="PBP231" s="514"/>
      <c r="PBQ231" s="514"/>
      <c r="PBR231" s="514"/>
      <c r="PBS231" s="514"/>
      <c r="PBT231" s="514"/>
      <c r="PBU231" s="514"/>
      <c r="PBV231" s="514"/>
      <c r="PBW231" s="514"/>
      <c r="PBX231" s="514"/>
      <c r="PBY231" s="514"/>
      <c r="PBZ231" s="514"/>
      <c r="PCA231" s="514"/>
      <c r="PCB231" s="514"/>
      <c r="PCC231" s="514"/>
      <c r="PCD231" s="514"/>
      <c r="PCE231" s="514"/>
      <c r="PCF231" s="514"/>
      <c r="PCG231" s="514"/>
      <c r="PCH231" s="514"/>
      <c r="PCI231" s="514"/>
      <c r="PCJ231" s="514"/>
      <c r="PCK231" s="514"/>
      <c r="PCL231" s="514"/>
      <c r="PCM231" s="514"/>
      <c r="PCN231" s="514"/>
      <c r="PCO231" s="514"/>
      <c r="PCP231" s="514"/>
      <c r="PCQ231" s="514"/>
      <c r="PCR231" s="514"/>
      <c r="PCS231" s="514"/>
      <c r="PCT231" s="514"/>
      <c r="PCU231" s="514"/>
      <c r="PCV231" s="514"/>
      <c r="PCW231" s="514"/>
      <c r="PCX231" s="514"/>
      <c r="PCY231" s="514"/>
      <c r="PCZ231" s="514"/>
      <c r="PDA231" s="514"/>
      <c r="PDB231" s="514"/>
      <c r="PDC231" s="514"/>
      <c r="PDD231" s="514"/>
      <c r="PDE231" s="514"/>
      <c r="PDF231" s="514"/>
      <c r="PDG231" s="514"/>
      <c r="PDH231" s="514"/>
      <c r="PDI231" s="514"/>
      <c r="PDJ231" s="514"/>
      <c r="PDK231" s="514"/>
      <c r="PDL231" s="514"/>
      <c r="PDM231" s="514"/>
      <c r="PDN231" s="514"/>
      <c r="PDO231" s="514"/>
      <c r="PDP231" s="514"/>
      <c r="PDQ231" s="514"/>
      <c r="PDR231" s="514"/>
      <c r="PDS231" s="514"/>
      <c r="PDT231" s="514"/>
      <c r="PDU231" s="514"/>
      <c r="PDV231" s="514"/>
      <c r="PDW231" s="514"/>
      <c r="PDX231" s="514"/>
      <c r="PDY231" s="514"/>
      <c r="PDZ231" s="514"/>
      <c r="PEA231" s="514"/>
      <c r="PEB231" s="514"/>
      <c r="PEC231" s="514"/>
      <c r="PED231" s="514"/>
      <c r="PEE231" s="514"/>
      <c r="PEF231" s="514"/>
      <c r="PEG231" s="514"/>
      <c r="PEH231" s="514"/>
      <c r="PEI231" s="514"/>
      <c r="PEJ231" s="514"/>
      <c r="PEK231" s="514"/>
      <c r="PEL231" s="514"/>
      <c r="PEM231" s="514"/>
      <c r="PEN231" s="514"/>
      <c r="PEO231" s="514"/>
      <c r="PEP231" s="514"/>
      <c r="PEQ231" s="514"/>
      <c r="PER231" s="514"/>
      <c r="PES231" s="514"/>
      <c r="PET231" s="514"/>
      <c r="PEU231" s="514"/>
      <c r="PEV231" s="514"/>
      <c r="PEW231" s="514"/>
      <c r="PEX231" s="514"/>
      <c r="PEY231" s="514"/>
      <c r="PEZ231" s="514"/>
      <c r="PFA231" s="514"/>
      <c r="PFB231" s="514"/>
      <c r="PFC231" s="514"/>
      <c r="PFD231" s="514"/>
      <c r="PFE231" s="514"/>
      <c r="PFF231" s="514"/>
      <c r="PFG231" s="514"/>
      <c r="PFH231" s="514"/>
      <c r="PFI231" s="514"/>
      <c r="PFJ231" s="514"/>
      <c r="PFK231" s="514"/>
      <c r="PFL231" s="514"/>
      <c r="PFM231" s="514"/>
      <c r="PFN231" s="514"/>
      <c r="PFO231" s="514"/>
      <c r="PFP231" s="514"/>
      <c r="PFQ231" s="514"/>
      <c r="PFR231" s="514"/>
      <c r="PFS231" s="514"/>
      <c r="PFT231" s="514"/>
      <c r="PFU231" s="514"/>
      <c r="PFV231" s="514"/>
      <c r="PFW231" s="514"/>
      <c r="PFX231" s="514"/>
      <c r="PFY231" s="514"/>
      <c r="PFZ231" s="514"/>
      <c r="PGA231" s="514"/>
      <c r="PGB231" s="514"/>
      <c r="PGC231" s="514"/>
      <c r="PGD231" s="514"/>
      <c r="PGE231" s="514"/>
      <c r="PGF231" s="514"/>
      <c r="PGG231" s="514"/>
      <c r="PGH231" s="514"/>
      <c r="PGI231" s="514"/>
      <c r="PGJ231" s="514"/>
      <c r="PGK231" s="514"/>
      <c r="PGL231" s="514"/>
      <c r="PGM231" s="514"/>
      <c r="PGN231" s="514"/>
      <c r="PGO231" s="514"/>
      <c r="PGP231" s="514"/>
      <c r="PGQ231" s="514"/>
      <c r="PGR231" s="514"/>
      <c r="PGS231" s="514"/>
      <c r="PGT231" s="514"/>
      <c r="PGU231" s="514"/>
      <c r="PGV231" s="514"/>
      <c r="PGW231" s="514"/>
      <c r="PGX231" s="514"/>
      <c r="PGY231" s="514"/>
      <c r="PGZ231" s="514"/>
      <c r="PHA231" s="514"/>
      <c r="PHB231" s="514"/>
      <c r="PHC231" s="514"/>
      <c r="PHD231" s="514"/>
      <c r="PHE231" s="514"/>
      <c r="PHF231" s="514"/>
      <c r="PHG231" s="514"/>
      <c r="PHH231" s="514"/>
      <c r="PHI231" s="514"/>
      <c r="PHJ231" s="514"/>
      <c r="PHK231" s="514"/>
      <c r="PHL231" s="514"/>
      <c r="PHM231" s="514"/>
      <c r="PHN231" s="514"/>
      <c r="PHO231" s="514"/>
      <c r="PHP231" s="514"/>
      <c r="PHQ231" s="514"/>
      <c r="PHR231" s="514"/>
      <c r="PHS231" s="514"/>
      <c r="PHT231" s="514"/>
      <c r="PHU231" s="514"/>
      <c r="PHV231" s="514"/>
      <c r="PHW231" s="514"/>
      <c r="PHX231" s="514"/>
      <c r="PHY231" s="514"/>
      <c r="PHZ231" s="514"/>
      <c r="PIA231" s="514"/>
      <c r="PIB231" s="514"/>
      <c r="PIC231" s="514"/>
      <c r="PID231" s="514"/>
      <c r="PIE231" s="514"/>
      <c r="PIF231" s="514"/>
      <c r="PIG231" s="514"/>
      <c r="PIH231" s="514"/>
      <c r="PII231" s="514"/>
      <c r="PIJ231" s="514"/>
      <c r="PIK231" s="514"/>
      <c r="PIL231" s="514"/>
      <c r="PIM231" s="514"/>
      <c r="PIN231" s="514"/>
      <c r="PIO231" s="514"/>
      <c r="PIP231" s="514"/>
      <c r="PIQ231" s="514"/>
      <c r="PIR231" s="514"/>
      <c r="PIS231" s="514"/>
      <c r="PIT231" s="514"/>
      <c r="PIU231" s="514"/>
      <c r="PIV231" s="514"/>
      <c r="PIW231" s="514"/>
      <c r="PIX231" s="514"/>
      <c r="PIY231" s="514"/>
      <c r="PIZ231" s="514"/>
      <c r="PJA231" s="514"/>
      <c r="PJB231" s="514"/>
      <c r="PJC231" s="514"/>
      <c r="PJD231" s="514"/>
      <c r="PJE231" s="514"/>
      <c r="PJF231" s="514"/>
      <c r="PJG231" s="514"/>
      <c r="PJH231" s="514"/>
      <c r="PJI231" s="514"/>
      <c r="PJJ231" s="514"/>
      <c r="PJK231" s="514"/>
      <c r="PJL231" s="514"/>
      <c r="PJM231" s="514"/>
      <c r="PJN231" s="514"/>
      <c r="PJO231" s="514"/>
      <c r="PJP231" s="514"/>
      <c r="PJQ231" s="514"/>
      <c r="PJR231" s="514"/>
      <c r="PJS231" s="514"/>
      <c r="PJT231" s="514"/>
      <c r="PJU231" s="514"/>
      <c r="PJV231" s="514"/>
      <c r="PJW231" s="514"/>
      <c r="PJX231" s="514"/>
      <c r="PJY231" s="514"/>
      <c r="PJZ231" s="514"/>
      <c r="PKA231" s="514"/>
      <c r="PKB231" s="514"/>
      <c r="PKC231" s="514"/>
      <c r="PKD231" s="514"/>
      <c r="PKE231" s="514"/>
      <c r="PKF231" s="514"/>
      <c r="PKG231" s="514"/>
      <c r="PKH231" s="514"/>
      <c r="PKI231" s="514"/>
      <c r="PKJ231" s="514"/>
      <c r="PKK231" s="514"/>
      <c r="PKL231" s="514"/>
      <c r="PKM231" s="514"/>
      <c r="PKN231" s="514"/>
      <c r="PKO231" s="514"/>
      <c r="PKP231" s="514"/>
      <c r="PKQ231" s="514"/>
      <c r="PKR231" s="514"/>
      <c r="PKS231" s="514"/>
      <c r="PKT231" s="514"/>
      <c r="PKU231" s="514"/>
      <c r="PKV231" s="514"/>
      <c r="PKW231" s="514"/>
      <c r="PKX231" s="514"/>
      <c r="PKY231" s="514"/>
      <c r="PKZ231" s="514"/>
      <c r="PLA231" s="514"/>
      <c r="PLB231" s="514"/>
      <c r="PLC231" s="514"/>
      <c r="PLD231" s="514"/>
      <c r="PLE231" s="514"/>
      <c r="PLF231" s="514"/>
      <c r="PLG231" s="514"/>
      <c r="PLH231" s="514"/>
      <c r="PLI231" s="514"/>
      <c r="PLJ231" s="514"/>
      <c r="PLK231" s="514"/>
      <c r="PLL231" s="514"/>
      <c r="PLM231" s="514"/>
      <c r="PLN231" s="514"/>
      <c r="PLO231" s="514"/>
      <c r="PLP231" s="514"/>
      <c r="PLQ231" s="514"/>
      <c r="PLR231" s="514"/>
      <c r="PLS231" s="514"/>
      <c r="PLT231" s="514"/>
      <c r="PLU231" s="514"/>
      <c r="PLV231" s="514"/>
      <c r="PLW231" s="514"/>
      <c r="PLX231" s="514"/>
      <c r="PLY231" s="514"/>
      <c r="PLZ231" s="514"/>
      <c r="PMA231" s="514"/>
      <c r="PMB231" s="514"/>
      <c r="PMC231" s="514"/>
      <c r="PMD231" s="514"/>
      <c r="PME231" s="514"/>
      <c r="PMF231" s="514"/>
      <c r="PMG231" s="514"/>
      <c r="PMH231" s="514"/>
      <c r="PMI231" s="514"/>
      <c r="PMJ231" s="514"/>
      <c r="PMK231" s="514"/>
      <c r="PML231" s="514"/>
      <c r="PMM231" s="514"/>
      <c r="PMN231" s="514"/>
      <c r="PMO231" s="514"/>
      <c r="PMP231" s="514"/>
      <c r="PMQ231" s="514"/>
      <c r="PMR231" s="514"/>
      <c r="PMS231" s="514"/>
      <c r="PMT231" s="514"/>
      <c r="PMU231" s="514"/>
      <c r="PMV231" s="514"/>
      <c r="PMW231" s="514"/>
      <c r="PMX231" s="514"/>
      <c r="PMY231" s="514"/>
      <c r="PMZ231" s="514"/>
      <c r="PNA231" s="514"/>
      <c r="PNB231" s="514"/>
      <c r="PNC231" s="514"/>
      <c r="PND231" s="514"/>
      <c r="PNE231" s="514"/>
      <c r="PNF231" s="514"/>
      <c r="PNG231" s="514"/>
      <c r="PNH231" s="514"/>
      <c r="PNI231" s="514"/>
      <c r="PNJ231" s="514"/>
      <c r="PNK231" s="514"/>
      <c r="PNL231" s="514"/>
      <c r="PNM231" s="514"/>
      <c r="PNN231" s="514"/>
      <c r="PNO231" s="514"/>
      <c r="PNP231" s="514"/>
      <c r="PNQ231" s="514"/>
      <c r="PNR231" s="514"/>
      <c r="PNS231" s="514"/>
      <c r="PNT231" s="514"/>
      <c r="PNU231" s="514"/>
      <c r="PNV231" s="514"/>
      <c r="PNW231" s="514"/>
      <c r="PNX231" s="514"/>
      <c r="PNY231" s="514"/>
      <c r="PNZ231" s="514"/>
      <c r="POA231" s="514"/>
      <c r="POB231" s="514"/>
      <c r="POC231" s="514"/>
      <c r="POD231" s="514"/>
      <c r="POE231" s="514"/>
      <c r="POF231" s="514"/>
      <c r="POG231" s="514"/>
      <c r="POH231" s="514"/>
      <c r="POI231" s="514"/>
      <c r="POJ231" s="514"/>
      <c r="POK231" s="514"/>
      <c r="POL231" s="514"/>
      <c r="POM231" s="514"/>
      <c r="PON231" s="514"/>
      <c r="POO231" s="514"/>
      <c r="POP231" s="514"/>
      <c r="POQ231" s="514"/>
      <c r="POR231" s="514"/>
      <c r="POS231" s="514"/>
      <c r="POT231" s="514"/>
      <c r="POU231" s="514"/>
      <c r="POV231" s="514"/>
      <c r="POW231" s="514"/>
      <c r="POX231" s="514"/>
      <c r="POY231" s="514"/>
      <c r="POZ231" s="514"/>
      <c r="PPA231" s="514"/>
      <c r="PPB231" s="514"/>
      <c r="PPC231" s="514"/>
      <c r="PPD231" s="514"/>
      <c r="PPE231" s="514"/>
      <c r="PPF231" s="514"/>
      <c r="PPG231" s="514"/>
      <c r="PPH231" s="514"/>
      <c r="PPI231" s="514"/>
      <c r="PPJ231" s="514"/>
      <c r="PPK231" s="514"/>
      <c r="PPL231" s="514"/>
      <c r="PPM231" s="514"/>
      <c r="PPN231" s="514"/>
      <c r="PPO231" s="514"/>
      <c r="PPP231" s="514"/>
      <c r="PPQ231" s="514"/>
      <c r="PPR231" s="514"/>
      <c r="PPS231" s="514"/>
      <c r="PPT231" s="514"/>
      <c r="PPU231" s="514"/>
      <c r="PPV231" s="514"/>
      <c r="PPW231" s="514"/>
      <c r="PPX231" s="514"/>
      <c r="PPY231" s="514"/>
      <c r="PPZ231" s="514"/>
      <c r="PQA231" s="514"/>
      <c r="PQB231" s="514"/>
      <c r="PQC231" s="514"/>
      <c r="PQD231" s="514"/>
      <c r="PQE231" s="514"/>
      <c r="PQF231" s="514"/>
      <c r="PQG231" s="514"/>
      <c r="PQH231" s="514"/>
      <c r="PQI231" s="514"/>
      <c r="PQJ231" s="514"/>
      <c r="PQK231" s="514"/>
      <c r="PQL231" s="514"/>
      <c r="PQM231" s="514"/>
      <c r="PQN231" s="514"/>
      <c r="PQO231" s="514"/>
      <c r="PQP231" s="514"/>
      <c r="PQQ231" s="514"/>
      <c r="PQR231" s="514"/>
      <c r="PQS231" s="514"/>
      <c r="PQT231" s="514"/>
      <c r="PQU231" s="514"/>
      <c r="PQV231" s="514"/>
      <c r="PQW231" s="514"/>
      <c r="PQX231" s="514"/>
      <c r="PQY231" s="514"/>
      <c r="PQZ231" s="514"/>
      <c r="PRA231" s="514"/>
      <c r="PRB231" s="514"/>
      <c r="PRC231" s="514"/>
      <c r="PRD231" s="514"/>
      <c r="PRE231" s="514"/>
      <c r="PRF231" s="514"/>
      <c r="PRG231" s="514"/>
      <c r="PRH231" s="514"/>
      <c r="PRI231" s="514"/>
      <c r="PRJ231" s="514"/>
      <c r="PRK231" s="514"/>
      <c r="PRL231" s="514"/>
      <c r="PRM231" s="514"/>
      <c r="PRN231" s="514"/>
      <c r="PRO231" s="514"/>
      <c r="PRP231" s="514"/>
      <c r="PRQ231" s="514"/>
      <c r="PRR231" s="514"/>
      <c r="PRS231" s="514"/>
      <c r="PRT231" s="514"/>
      <c r="PRU231" s="514"/>
      <c r="PRV231" s="514"/>
      <c r="PRW231" s="514"/>
      <c r="PRX231" s="514"/>
      <c r="PRY231" s="514"/>
      <c r="PRZ231" s="514"/>
      <c r="PSA231" s="514"/>
      <c r="PSB231" s="514"/>
      <c r="PSC231" s="514"/>
      <c r="PSD231" s="514"/>
      <c r="PSE231" s="514"/>
      <c r="PSF231" s="514"/>
      <c r="PSG231" s="514"/>
      <c r="PSH231" s="514"/>
      <c r="PSI231" s="514"/>
      <c r="PSJ231" s="514"/>
      <c r="PSK231" s="514"/>
      <c r="PSL231" s="514"/>
      <c r="PSM231" s="514"/>
      <c r="PSN231" s="514"/>
      <c r="PSO231" s="514"/>
      <c r="PSP231" s="514"/>
      <c r="PSQ231" s="514"/>
      <c r="PSR231" s="514"/>
      <c r="PSS231" s="514"/>
      <c r="PST231" s="514"/>
      <c r="PSU231" s="514"/>
      <c r="PSV231" s="514"/>
      <c r="PSW231" s="514"/>
      <c r="PSX231" s="514"/>
      <c r="PSY231" s="514"/>
      <c r="PSZ231" s="514"/>
      <c r="PTA231" s="514"/>
      <c r="PTB231" s="514"/>
      <c r="PTC231" s="514"/>
      <c r="PTD231" s="514"/>
      <c r="PTE231" s="514"/>
      <c r="PTF231" s="514"/>
      <c r="PTG231" s="514"/>
      <c r="PTH231" s="514"/>
      <c r="PTI231" s="514"/>
      <c r="PTJ231" s="514"/>
      <c r="PTK231" s="514"/>
      <c r="PTL231" s="514"/>
      <c r="PTM231" s="514"/>
      <c r="PTN231" s="514"/>
      <c r="PTO231" s="514"/>
      <c r="PTP231" s="514"/>
      <c r="PTQ231" s="514"/>
      <c r="PTR231" s="514"/>
      <c r="PTS231" s="514"/>
      <c r="PTT231" s="514"/>
      <c r="PTU231" s="514"/>
      <c r="PTV231" s="514"/>
      <c r="PTW231" s="514"/>
      <c r="PTX231" s="514"/>
      <c r="PTY231" s="514"/>
      <c r="PTZ231" s="514"/>
      <c r="PUA231" s="514"/>
      <c r="PUB231" s="514"/>
      <c r="PUC231" s="514"/>
      <c r="PUD231" s="514"/>
      <c r="PUE231" s="514"/>
      <c r="PUF231" s="514"/>
      <c r="PUG231" s="514"/>
      <c r="PUH231" s="514"/>
      <c r="PUI231" s="514"/>
      <c r="PUJ231" s="514"/>
      <c r="PUK231" s="514"/>
      <c r="PUL231" s="514"/>
      <c r="PUM231" s="514"/>
      <c r="PUN231" s="514"/>
      <c r="PUO231" s="514"/>
      <c r="PUP231" s="514"/>
      <c r="PUQ231" s="514"/>
      <c r="PUR231" s="514"/>
      <c r="PUS231" s="514"/>
      <c r="PUT231" s="514"/>
      <c r="PUU231" s="514"/>
      <c r="PUV231" s="514"/>
      <c r="PUW231" s="514"/>
      <c r="PUX231" s="514"/>
      <c r="PUY231" s="514"/>
      <c r="PUZ231" s="514"/>
      <c r="PVA231" s="514"/>
      <c r="PVB231" s="514"/>
      <c r="PVC231" s="514"/>
      <c r="PVD231" s="514"/>
      <c r="PVE231" s="514"/>
      <c r="PVF231" s="514"/>
      <c r="PVG231" s="514"/>
      <c r="PVH231" s="514"/>
      <c r="PVI231" s="514"/>
      <c r="PVJ231" s="514"/>
      <c r="PVK231" s="514"/>
      <c r="PVL231" s="514"/>
      <c r="PVM231" s="514"/>
      <c r="PVN231" s="514"/>
      <c r="PVO231" s="514"/>
      <c r="PVP231" s="514"/>
      <c r="PVQ231" s="514"/>
      <c r="PVR231" s="514"/>
      <c r="PVS231" s="514"/>
      <c r="PVT231" s="514"/>
      <c r="PVU231" s="514"/>
      <c r="PVV231" s="514"/>
      <c r="PVW231" s="514"/>
      <c r="PVX231" s="514"/>
      <c r="PVY231" s="514"/>
      <c r="PVZ231" s="514"/>
      <c r="PWA231" s="514"/>
      <c r="PWB231" s="514"/>
      <c r="PWC231" s="514"/>
      <c r="PWD231" s="514"/>
      <c r="PWE231" s="514"/>
      <c r="PWF231" s="514"/>
      <c r="PWG231" s="514"/>
      <c r="PWH231" s="514"/>
      <c r="PWI231" s="514"/>
      <c r="PWJ231" s="514"/>
      <c r="PWK231" s="514"/>
      <c r="PWL231" s="514"/>
      <c r="PWM231" s="514"/>
      <c r="PWN231" s="514"/>
      <c r="PWO231" s="514"/>
      <c r="PWP231" s="514"/>
      <c r="PWQ231" s="514"/>
      <c r="PWR231" s="514"/>
      <c r="PWS231" s="514"/>
      <c r="PWT231" s="514"/>
      <c r="PWU231" s="514"/>
      <c r="PWV231" s="514"/>
      <c r="PWW231" s="514"/>
      <c r="PWX231" s="514"/>
      <c r="PWY231" s="514"/>
      <c r="PWZ231" s="514"/>
      <c r="PXA231" s="514"/>
      <c r="PXB231" s="514"/>
      <c r="PXC231" s="514"/>
      <c r="PXD231" s="514"/>
      <c r="PXE231" s="514"/>
      <c r="PXF231" s="514"/>
      <c r="PXG231" s="514"/>
      <c r="PXH231" s="514"/>
      <c r="PXI231" s="514"/>
      <c r="PXJ231" s="514"/>
      <c r="PXK231" s="514"/>
      <c r="PXL231" s="514"/>
      <c r="PXM231" s="514"/>
      <c r="PXN231" s="514"/>
      <c r="PXO231" s="514"/>
      <c r="PXP231" s="514"/>
      <c r="PXQ231" s="514"/>
      <c r="PXR231" s="514"/>
      <c r="PXS231" s="514"/>
      <c r="PXT231" s="514"/>
      <c r="PXU231" s="514"/>
      <c r="PXV231" s="514"/>
      <c r="PXW231" s="514"/>
      <c r="PXX231" s="514"/>
      <c r="PXY231" s="514"/>
      <c r="PXZ231" s="514"/>
      <c r="PYA231" s="514"/>
      <c r="PYB231" s="514"/>
      <c r="PYC231" s="514"/>
      <c r="PYD231" s="514"/>
      <c r="PYE231" s="514"/>
      <c r="PYF231" s="514"/>
      <c r="PYG231" s="514"/>
      <c r="PYH231" s="514"/>
      <c r="PYI231" s="514"/>
      <c r="PYJ231" s="514"/>
      <c r="PYK231" s="514"/>
      <c r="PYL231" s="514"/>
      <c r="PYM231" s="514"/>
      <c r="PYN231" s="514"/>
      <c r="PYO231" s="514"/>
      <c r="PYP231" s="514"/>
      <c r="PYQ231" s="514"/>
      <c r="PYR231" s="514"/>
      <c r="PYS231" s="514"/>
      <c r="PYT231" s="514"/>
      <c r="PYU231" s="514"/>
      <c r="PYV231" s="514"/>
      <c r="PYW231" s="514"/>
      <c r="PYX231" s="514"/>
      <c r="PYY231" s="514"/>
      <c r="PYZ231" s="514"/>
      <c r="PZA231" s="514"/>
      <c r="PZB231" s="514"/>
      <c r="PZC231" s="514"/>
      <c r="PZD231" s="514"/>
      <c r="PZE231" s="514"/>
      <c r="PZF231" s="514"/>
      <c r="PZG231" s="514"/>
      <c r="PZH231" s="514"/>
      <c r="PZI231" s="514"/>
      <c r="PZJ231" s="514"/>
      <c r="PZK231" s="514"/>
      <c r="PZL231" s="514"/>
      <c r="PZM231" s="514"/>
      <c r="PZN231" s="514"/>
      <c r="PZO231" s="514"/>
      <c r="PZP231" s="514"/>
      <c r="PZQ231" s="514"/>
      <c r="PZR231" s="514"/>
      <c r="PZS231" s="514"/>
      <c r="PZT231" s="514"/>
      <c r="PZU231" s="514"/>
      <c r="PZV231" s="514"/>
      <c r="PZW231" s="514"/>
      <c r="PZX231" s="514"/>
      <c r="PZY231" s="514"/>
      <c r="PZZ231" s="514"/>
      <c r="QAA231" s="514"/>
      <c r="QAB231" s="514"/>
      <c r="QAC231" s="514"/>
      <c r="QAD231" s="514"/>
      <c r="QAE231" s="514"/>
      <c r="QAF231" s="514"/>
      <c r="QAG231" s="514"/>
      <c r="QAH231" s="514"/>
      <c r="QAI231" s="514"/>
      <c r="QAJ231" s="514"/>
      <c r="QAK231" s="514"/>
      <c r="QAL231" s="514"/>
      <c r="QAM231" s="514"/>
      <c r="QAN231" s="514"/>
      <c r="QAO231" s="514"/>
      <c r="QAP231" s="514"/>
      <c r="QAQ231" s="514"/>
      <c r="QAR231" s="514"/>
      <c r="QAS231" s="514"/>
      <c r="QAT231" s="514"/>
      <c r="QAU231" s="514"/>
      <c r="QAV231" s="514"/>
      <c r="QAW231" s="514"/>
      <c r="QAX231" s="514"/>
      <c r="QAY231" s="514"/>
      <c r="QAZ231" s="514"/>
      <c r="QBA231" s="514"/>
      <c r="QBB231" s="514"/>
      <c r="QBC231" s="514"/>
      <c r="QBD231" s="514"/>
      <c r="QBE231" s="514"/>
      <c r="QBF231" s="514"/>
      <c r="QBG231" s="514"/>
      <c r="QBH231" s="514"/>
      <c r="QBI231" s="514"/>
      <c r="QBJ231" s="514"/>
      <c r="QBK231" s="514"/>
      <c r="QBL231" s="514"/>
      <c r="QBM231" s="514"/>
      <c r="QBN231" s="514"/>
      <c r="QBO231" s="514"/>
      <c r="QBP231" s="514"/>
      <c r="QBQ231" s="514"/>
      <c r="QBR231" s="514"/>
      <c r="QBS231" s="514"/>
      <c r="QBT231" s="514"/>
      <c r="QBU231" s="514"/>
      <c r="QBV231" s="514"/>
      <c r="QBW231" s="514"/>
      <c r="QBX231" s="514"/>
      <c r="QBY231" s="514"/>
      <c r="QBZ231" s="514"/>
      <c r="QCA231" s="514"/>
      <c r="QCB231" s="514"/>
      <c r="QCC231" s="514"/>
      <c r="QCD231" s="514"/>
      <c r="QCE231" s="514"/>
      <c r="QCF231" s="514"/>
      <c r="QCG231" s="514"/>
      <c r="QCH231" s="514"/>
      <c r="QCI231" s="514"/>
      <c r="QCJ231" s="514"/>
      <c r="QCK231" s="514"/>
      <c r="QCL231" s="514"/>
      <c r="QCM231" s="514"/>
      <c r="QCN231" s="514"/>
      <c r="QCO231" s="514"/>
      <c r="QCP231" s="514"/>
      <c r="QCQ231" s="514"/>
      <c r="QCR231" s="514"/>
      <c r="QCS231" s="514"/>
      <c r="QCT231" s="514"/>
      <c r="QCU231" s="514"/>
      <c r="QCV231" s="514"/>
      <c r="QCW231" s="514"/>
      <c r="QCX231" s="514"/>
      <c r="QCY231" s="514"/>
      <c r="QCZ231" s="514"/>
      <c r="QDA231" s="514"/>
      <c r="QDB231" s="514"/>
      <c r="QDC231" s="514"/>
      <c r="QDD231" s="514"/>
      <c r="QDE231" s="514"/>
      <c r="QDF231" s="514"/>
      <c r="QDG231" s="514"/>
      <c r="QDH231" s="514"/>
      <c r="QDI231" s="514"/>
      <c r="QDJ231" s="514"/>
      <c r="QDK231" s="514"/>
      <c r="QDL231" s="514"/>
      <c r="QDM231" s="514"/>
      <c r="QDN231" s="514"/>
      <c r="QDO231" s="514"/>
      <c r="QDP231" s="514"/>
      <c r="QDQ231" s="514"/>
      <c r="QDR231" s="514"/>
      <c r="QDS231" s="514"/>
      <c r="QDT231" s="514"/>
      <c r="QDU231" s="514"/>
      <c r="QDV231" s="514"/>
      <c r="QDW231" s="514"/>
      <c r="QDX231" s="514"/>
      <c r="QDY231" s="514"/>
      <c r="QDZ231" s="514"/>
      <c r="QEA231" s="514"/>
      <c r="QEB231" s="514"/>
      <c r="QEC231" s="514"/>
      <c r="QED231" s="514"/>
      <c r="QEE231" s="514"/>
      <c r="QEF231" s="514"/>
      <c r="QEG231" s="514"/>
      <c r="QEH231" s="514"/>
      <c r="QEI231" s="514"/>
      <c r="QEJ231" s="514"/>
      <c r="QEK231" s="514"/>
      <c r="QEL231" s="514"/>
      <c r="QEM231" s="514"/>
      <c r="QEN231" s="514"/>
      <c r="QEO231" s="514"/>
      <c r="QEP231" s="514"/>
      <c r="QEQ231" s="514"/>
      <c r="QER231" s="514"/>
      <c r="QES231" s="514"/>
      <c r="QET231" s="514"/>
      <c r="QEU231" s="514"/>
      <c r="QEV231" s="514"/>
      <c r="QEW231" s="514"/>
      <c r="QEX231" s="514"/>
      <c r="QEY231" s="514"/>
      <c r="QEZ231" s="514"/>
      <c r="QFA231" s="514"/>
      <c r="QFB231" s="514"/>
      <c r="QFC231" s="514"/>
      <c r="QFD231" s="514"/>
      <c r="QFE231" s="514"/>
      <c r="QFF231" s="514"/>
      <c r="QFG231" s="514"/>
      <c r="QFH231" s="514"/>
      <c r="QFI231" s="514"/>
      <c r="QFJ231" s="514"/>
      <c r="QFK231" s="514"/>
      <c r="QFL231" s="514"/>
      <c r="QFM231" s="514"/>
      <c r="QFN231" s="514"/>
      <c r="QFO231" s="514"/>
      <c r="QFP231" s="514"/>
      <c r="QFQ231" s="514"/>
      <c r="QFR231" s="514"/>
      <c r="QFS231" s="514"/>
      <c r="QFT231" s="514"/>
      <c r="QFU231" s="514"/>
      <c r="QFV231" s="514"/>
      <c r="QFW231" s="514"/>
      <c r="QFX231" s="514"/>
      <c r="QFY231" s="514"/>
      <c r="QFZ231" s="514"/>
      <c r="QGA231" s="514"/>
      <c r="QGB231" s="514"/>
      <c r="QGC231" s="514"/>
      <c r="QGD231" s="514"/>
      <c r="QGE231" s="514"/>
      <c r="QGF231" s="514"/>
      <c r="QGG231" s="514"/>
      <c r="QGH231" s="514"/>
      <c r="QGI231" s="514"/>
      <c r="QGJ231" s="514"/>
      <c r="QGK231" s="514"/>
      <c r="QGL231" s="514"/>
      <c r="QGM231" s="514"/>
      <c r="QGN231" s="514"/>
      <c r="QGO231" s="514"/>
      <c r="QGP231" s="514"/>
      <c r="QGQ231" s="514"/>
      <c r="QGR231" s="514"/>
      <c r="QGS231" s="514"/>
      <c r="QGT231" s="514"/>
      <c r="QGU231" s="514"/>
      <c r="QGV231" s="514"/>
      <c r="QGW231" s="514"/>
      <c r="QGX231" s="514"/>
      <c r="QGY231" s="514"/>
      <c r="QGZ231" s="514"/>
      <c r="QHA231" s="514"/>
      <c r="QHB231" s="514"/>
      <c r="QHC231" s="514"/>
      <c r="QHD231" s="514"/>
      <c r="QHE231" s="514"/>
      <c r="QHF231" s="514"/>
      <c r="QHG231" s="514"/>
      <c r="QHH231" s="514"/>
      <c r="QHI231" s="514"/>
      <c r="QHJ231" s="514"/>
      <c r="QHK231" s="514"/>
      <c r="QHL231" s="514"/>
      <c r="QHM231" s="514"/>
      <c r="QHN231" s="514"/>
      <c r="QHO231" s="514"/>
      <c r="QHP231" s="514"/>
      <c r="QHQ231" s="514"/>
      <c r="QHR231" s="514"/>
      <c r="QHS231" s="514"/>
      <c r="QHT231" s="514"/>
      <c r="QHU231" s="514"/>
      <c r="QHV231" s="514"/>
      <c r="QHW231" s="514"/>
      <c r="QHX231" s="514"/>
      <c r="QHY231" s="514"/>
      <c r="QHZ231" s="514"/>
      <c r="QIA231" s="514"/>
      <c r="QIB231" s="514"/>
      <c r="QIC231" s="514"/>
      <c r="QID231" s="514"/>
      <c r="QIE231" s="514"/>
      <c r="QIF231" s="514"/>
      <c r="QIG231" s="514"/>
      <c r="QIH231" s="514"/>
      <c r="QII231" s="514"/>
      <c r="QIJ231" s="514"/>
      <c r="QIK231" s="514"/>
      <c r="QIL231" s="514"/>
      <c r="QIM231" s="514"/>
      <c r="QIN231" s="514"/>
      <c r="QIO231" s="514"/>
      <c r="QIP231" s="514"/>
      <c r="QIQ231" s="514"/>
      <c r="QIR231" s="514"/>
      <c r="QIS231" s="514"/>
      <c r="QIT231" s="514"/>
      <c r="QIU231" s="514"/>
      <c r="QIV231" s="514"/>
      <c r="QIW231" s="514"/>
      <c r="QIX231" s="514"/>
      <c r="QIY231" s="514"/>
      <c r="QIZ231" s="514"/>
      <c r="QJA231" s="514"/>
      <c r="QJB231" s="514"/>
      <c r="QJC231" s="514"/>
      <c r="QJD231" s="514"/>
      <c r="QJE231" s="514"/>
      <c r="QJF231" s="514"/>
      <c r="QJG231" s="514"/>
      <c r="QJH231" s="514"/>
      <c r="QJI231" s="514"/>
      <c r="QJJ231" s="514"/>
      <c r="QJK231" s="514"/>
      <c r="QJL231" s="514"/>
      <c r="QJM231" s="514"/>
      <c r="QJN231" s="514"/>
      <c r="QJO231" s="514"/>
      <c r="QJP231" s="514"/>
      <c r="QJQ231" s="514"/>
      <c r="QJR231" s="514"/>
      <c r="QJS231" s="514"/>
      <c r="QJT231" s="514"/>
      <c r="QJU231" s="514"/>
      <c r="QJV231" s="514"/>
      <c r="QJW231" s="514"/>
      <c r="QJX231" s="514"/>
      <c r="QJY231" s="514"/>
      <c r="QJZ231" s="514"/>
      <c r="QKA231" s="514"/>
      <c r="QKB231" s="514"/>
      <c r="QKC231" s="514"/>
      <c r="QKD231" s="514"/>
      <c r="QKE231" s="514"/>
      <c r="QKF231" s="514"/>
      <c r="QKG231" s="514"/>
      <c r="QKH231" s="514"/>
      <c r="QKI231" s="514"/>
      <c r="QKJ231" s="514"/>
      <c r="QKK231" s="514"/>
      <c r="QKL231" s="514"/>
      <c r="QKM231" s="514"/>
      <c r="QKN231" s="514"/>
      <c r="QKO231" s="514"/>
      <c r="QKP231" s="514"/>
      <c r="QKQ231" s="514"/>
      <c r="QKR231" s="514"/>
      <c r="QKS231" s="514"/>
      <c r="QKT231" s="514"/>
      <c r="QKU231" s="514"/>
      <c r="QKV231" s="514"/>
      <c r="QKW231" s="514"/>
      <c r="QKX231" s="514"/>
      <c r="QKY231" s="514"/>
      <c r="QKZ231" s="514"/>
      <c r="QLA231" s="514"/>
      <c r="QLB231" s="514"/>
      <c r="QLC231" s="514"/>
      <c r="QLD231" s="514"/>
      <c r="QLE231" s="514"/>
      <c r="QLF231" s="514"/>
      <c r="QLG231" s="514"/>
      <c r="QLH231" s="514"/>
      <c r="QLI231" s="514"/>
      <c r="QLJ231" s="514"/>
      <c r="QLK231" s="514"/>
      <c r="QLL231" s="514"/>
      <c r="QLM231" s="514"/>
      <c r="QLN231" s="514"/>
      <c r="QLO231" s="514"/>
      <c r="QLP231" s="514"/>
      <c r="QLQ231" s="514"/>
      <c r="QLR231" s="514"/>
      <c r="QLS231" s="514"/>
      <c r="QLT231" s="514"/>
      <c r="QLU231" s="514"/>
      <c r="QLV231" s="514"/>
      <c r="QLW231" s="514"/>
      <c r="QLX231" s="514"/>
      <c r="QLY231" s="514"/>
      <c r="QLZ231" s="514"/>
      <c r="QMA231" s="514"/>
      <c r="QMB231" s="514"/>
      <c r="QMC231" s="514"/>
      <c r="QMD231" s="514"/>
      <c r="QME231" s="514"/>
      <c r="QMF231" s="514"/>
      <c r="QMG231" s="514"/>
      <c r="QMH231" s="514"/>
      <c r="QMI231" s="514"/>
      <c r="QMJ231" s="514"/>
      <c r="QMK231" s="514"/>
      <c r="QML231" s="514"/>
      <c r="QMM231" s="514"/>
      <c r="QMN231" s="514"/>
      <c r="QMO231" s="514"/>
      <c r="QMP231" s="514"/>
      <c r="QMQ231" s="514"/>
      <c r="QMR231" s="514"/>
      <c r="QMS231" s="514"/>
      <c r="QMT231" s="514"/>
      <c r="QMU231" s="514"/>
      <c r="QMV231" s="514"/>
      <c r="QMW231" s="514"/>
      <c r="QMX231" s="514"/>
      <c r="QMY231" s="514"/>
      <c r="QMZ231" s="514"/>
      <c r="QNA231" s="514"/>
      <c r="QNB231" s="514"/>
      <c r="QNC231" s="514"/>
      <c r="QND231" s="514"/>
      <c r="QNE231" s="514"/>
      <c r="QNF231" s="514"/>
      <c r="QNG231" s="514"/>
      <c r="QNH231" s="514"/>
      <c r="QNI231" s="514"/>
      <c r="QNJ231" s="514"/>
      <c r="QNK231" s="514"/>
      <c r="QNL231" s="514"/>
      <c r="QNM231" s="514"/>
      <c r="QNN231" s="514"/>
      <c r="QNO231" s="514"/>
      <c r="QNP231" s="514"/>
      <c r="QNQ231" s="514"/>
      <c r="QNR231" s="514"/>
      <c r="QNS231" s="514"/>
      <c r="QNT231" s="514"/>
      <c r="QNU231" s="514"/>
      <c r="QNV231" s="514"/>
      <c r="QNW231" s="514"/>
      <c r="QNX231" s="514"/>
      <c r="QNY231" s="514"/>
      <c r="QNZ231" s="514"/>
      <c r="QOA231" s="514"/>
      <c r="QOB231" s="514"/>
      <c r="QOC231" s="514"/>
      <c r="QOD231" s="514"/>
      <c r="QOE231" s="514"/>
      <c r="QOF231" s="514"/>
      <c r="QOG231" s="514"/>
      <c r="QOH231" s="514"/>
      <c r="QOI231" s="514"/>
      <c r="QOJ231" s="514"/>
      <c r="QOK231" s="514"/>
      <c r="QOL231" s="514"/>
      <c r="QOM231" s="514"/>
      <c r="QON231" s="514"/>
      <c r="QOO231" s="514"/>
      <c r="QOP231" s="514"/>
      <c r="QOQ231" s="514"/>
      <c r="QOR231" s="514"/>
      <c r="QOS231" s="514"/>
      <c r="QOT231" s="514"/>
      <c r="QOU231" s="514"/>
      <c r="QOV231" s="514"/>
      <c r="QOW231" s="514"/>
      <c r="QOX231" s="514"/>
      <c r="QOY231" s="514"/>
      <c r="QOZ231" s="514"/>
      <c r="QPA231" s="514"/>
      <c r="QPB231" s="514"/>
      <c r="QPC231" s="514"/>
      <c r="QPD231" s="514"/>
      <c r="QPE231" s="514"/>
      <c r="QPF231" s="514"/>
      <c r="QPG231" s="514"/>
      <c r="QPH231" s="514"/>
      <c r="QPI231" s="514"/>
      <c r="QPJ231" s="514"/>
      <c r="QPK231" s="514"/>
      <c r="QPL231" s="514"/>
      <c r="QPM231" s="514"/>
      <c r="QPN231" s="514"/>
      <c r="QPO231" s="514"/>
      <c r="QPP231" s="514"/>
      <c r="QPQ231" s="514"/>
      <c r="QPR231" s="514"/>
      <c r="QPS231" s="514"/>
      <c r="QPT231" s="514"/>
      <c r="QPU231" s="514"/>
      <c r="QPV231" s="514"/>
      <c r="QPW231" s="514"/>
      <c r="QPX231" s="514"/>
      <c r="QPY231" s="514"/>
      <c r="QPZ231" s="514"/>
      <c r="QQA231" s="514"/>
      <c r="QQB231" s="514"/>
      <c r="QQC231" s="514"/>
      <c r="QQD231" s="514"/>
      <c r="QQE231" s="514"/>
      <c r="QQF231" s="514"/>
      <c r="QQG231" s="514"/>
      <c r="QQH231" s="514"/>
      <c r="QQI231" s="514"/>
      <c r="QQJ231" s="514"/>
      <c r="QQK231" s="514"/>
      <c r="QQL231" s="514"/>
      <c r="QQM231" s="514"/>
      <c r="QQN231" s="514"/>
      <c r="QQO231" s="514"/>
      <c r="QQP231" s="514"/>
      <c r="QQQ231" s="514"/>
      <c r="QQR231" s="514"/>
      <c r="QQS231" s="514"/>
      <c r="QQT231" s="514"/>
      <c r="QQU231" s="514"/>
      <c r="QQV231" s="514"/>
      <c r="QQW231" s="514"/>
      <c r="QQX231" s="514"/>
      <c r="QQY231" s="514"/>
      <c r="QQZ231" s="514"/>
      <c r="QRA231" s="514"/>
      <c r="QRB231" s="514"/>
      <c r="QRC231" s="514"/>
      <c r="QRD231" s="514"/>
      <c r="QRE231" s="514"/>
      <c r="QRF231" s="514"/>
      <c r="QRG231" s="514"/>
      <c r="QRH231" s="514"/>
      <c r="QRI231" s="514"/>
      <c r="QRJ231" s="514"/>
      <c r="QRK231" s="514"/>
      <c r="QRL231" s="514"/>
      <c r="QRM231" s="514"/>
      <c r="QRN231" s="514"/>
      <c r="QRO231" s="514"/>
      <c r="QRP231" s="514"/>
      <c r="QRQ231" s="514"/>
      <c r="QRR231" s="514"/>
      <c r="QRS231" s="514"/>
      <c r="QRT231" s="514"/>
      <c r="QRU231" s="514"/>
      <c r="QRV231" s="514"/>
      <c r="QRW231" s="514"/>
      <c r="QRX231" s="514"/>
      <c r="QRY231" s="514"/>
      <c r="QRZ231" s="514"/>
      <c r="QSA231" s="514"/>
      <c r="QSB231" s="514"/>
      <c r="QSC231" s="514"/>
      <c r="QSD231" s="514"/>
      <c r="QSE231" s="514"/>
      <c r="QSF231" s="514"/>
      <c r="QSG231" s="514"/>
      <c r="QSH231" s="514"/>
      <c r="QSI231" s="514"/>
      <c r="QSJ231" s="514"/>
      <c r="QSK231" s="514"/>
      <c r="QSL231" s="514"/>
      <c r="QSM231" s="514"/>
      <c r="QSN231" s="514"/>
      <c r="QSO231" s="514"/>
      <c r="QSP231" s="514"/>
      <c r="QSQ231" s="514"/>
      <c r="QSR231" s="514"/>
      <c r="QSS231" s="514"/>
      <c r="QST231" s="514"/>
      <c r="QSU231" s="514"/>
      <c r="QSV231" s="514"/>
      <c r="QSW231" s="514"/>
      <c r="QSX231" s="514"/>
      <c r="QSY231" s="514"/>
      <c r="QSZ231" s="514"/>
      <c r="QTA231" s="514"/>
      <c r="QTB231" s="514"/>
      <c r="QTC231" s="514"/>
      <c r="QTD231" s="514"/>
      <c r="QTE231" s="514"/>
      <c r="QTF231" s="514"/>
      <c r="QTG231" s="514"/>
      <c r="QTH231" s="514"/>
      <c r="QTI231" s="514"/>
      <c r="QTJ231" s="514"/>
      <c r="QTK231" s="514"/>
      <c r="QTL231" s="514"/>
      <c r="QTM231" s="514"/>
      <c r="QTN231" s="514"/>
      <c r="QTO231" s="514"/>
      <c r="QTP231" s="514"/>
      <c r="QTQ231" s="514"/>
      <c r="QTR231" s="514"/>
      <c r="QTS231" s="514"/>
      <c r="QTT231" s="514"/>
      <c r="QTU231" s="514"/>
      <c r="QTV231" s="514"/>
      <c r="QTW231" s="514"/>
      <c r="QTX231" s="514"/>
      <c r="QTY231" s="514"/>
      <c r="QTZ231" s="514"/>
      <c r="QUA231" s="514"/>
      <c r="QUB231" s="514"/>
      <c r="QUC231" s="514"/>
      <c r="QUD231" s="514"/>
      <c r="QUE231" s="514"/>
      <c r="QUF231" s="514"/>
      <c r="QUG231" s="514"/>
      <c r="QUH231" s="514"/>
      <c r="QUI231" s="514"/>
      <c r="QUJ231" s="514"/>
      <c r="QUK231" s="514"/>
      <c r="QUL231" s="514"/>
      <c r="QUM231" s="514"/>
      <c r="QUN231" s="514"/>
      <c r="QUO231" s="514"/>
      <c r="QUP231" s="514"/>
      <c r="QUQ231" s="514"/>
      <c r="QUR231" s="514"/>
      <c r="QUS231" s="514"/>
      <c r="QUT231" s="514"/>
      <c r="QUU231" s="514"/>
      <c r="QUV231" s="514"/>
      <c r="QUW231" s="514"/>
      <c r="QUX231" s="514"/>
      <c r="QUY231" s="514"/>
      <c r="QUZ231" s="514"/>
      <c r="QVA231" s="514"/>
      <c r="QVB231" s="514"/>
      <c r="QVC231" s="514"/>
      <c r="QVD231" s="514"/>
      <c r="QVE231" s="514"/>
      <c r="QVF231" s="514"/>
      <c r="QVG231" s="514"/>
      <c r="QVH231" s="514"/>
      <c r="QVI231" s="514"/>
      <c r="QVJ231" s="514"/>
      <c r="QVK231" s="514"/>
      <c r="QVL231" s="514"/>
      <c r="QVM231" s="514"/>
      <c r="QVN231" s="514"/>
      <c r="QVO231" s="514"/>
      <c r="QVP231" s="514"/>
      <c r="QVQ231" s="514"/>
      <c r="QVR231" s="514"/>
      <c r="QVS231" s="514"/>
      <c r="QVT231" s="514"/>
      <c r="QVU231" s="514"/>
      <c r="QVV231" s="514"/>
      <c r="QVW231" s="514"/>
      <c r="QVX231" s="514"/>
      <c r="QVY231" s="514"/>
      <c r="QVZ231" s="514"/>
      <c r="QWA231" s="514"/>
      <c r="QWB231" s="514"/>
      <c r="QWC231" s="514"/>
      <c r="QWD231" s="514"/>
      <c r="QWE231" s="514"/>
      <c r="QWF231" s="514"/>
      <c r="QWG231" s="514"/>
      <c r="QWH231" s="514"/>
      <c r="QWI231" s="514"/>
      <c r="QWJ231" s="514"/>
      <c r="QWK231" s="514"/>
      <c r="QWL231" s="514"/>
      <c r="QWM231" s="514"/>
      <c r="QWN231" s="514"/>
      <c r="QWO231" s="514"/>
      <c r="QWP231" s="514"/>
      <c r="QWQ231" s="514"/>
      <c r="QWR231" s="514"/>
      <c r="QWS231" s="514"/>
      <c r="QWT231" s="514"/>
      <c r="QWU231" s="514"/>
      <c r="QWV231" s="514"/>
      <c r="QWW231" s="514"/>
      <c r="QWX231" s="514"/>
      <c r="QWY231" s="514"/>
      <c r="QWZ231" s="514"/>
      <c r="QXA231" s="514"/>
      <c r="QXB231" s="514"/>
      <c r="QXC231" s="514"/>
      <c r="QXD231" s="514"/>
      <c r="QXE231" s="514"/>
      <c r="QXF231" s="514"/>
      <c r="QXG231" s="514"/>
      <c r="QXH231" s="514"/>
      <c r="QXI231" s="514"/>
      <c r="QXJ231" s="514"/>
      <c r="QXK231" s="514"/>
      <c r="QXL231" s="514"/>
      <c r="QXM231" s="514"/>
      <c r="QXN231" s="514"/>
      <c r="QXO231" s="514"/>
      <c r="QXP231" s="514"/>
      <c r="QXQ231" s="514"/>
      <c r="QXR231" s="514"/>
      <c r="QXS231" s="514"/>
      <c r="QXT231" s="514"/>
      <c r="QXU231" s="514"/>
      <c r="QXV231" s="514"/>
      <c r="QXW231" s="514"/>
      <c r="QXX231" s="514"/>
      <c r="QXY231" s="514"/>
      <c r="QXZ231" s="514"/>
      <c r="QYA231" s="514"/>
      <c r="QYB231" s="514"/>
      <c r="QYC231" s="514"/>
      <c r="QYD231" s="514"/>
      <c r="QYE231" s="514"/>
      <c r="QYF231" s="514"/>
      <c r="QYG231" s="514"/>
      <c r="QYH231" s="514"/>
      <c r="QYI231" s="514"/>
      <c r="QYJ231" s="514"/>
      <c r="QYK231" s="514"/>
      <c r="QYL231" s="514"/>
      <c r="QYM231" s="514"/>
      <c r="QYN231" s="514"/>
      <c r="QYO231" s="514"/>
      <c r="QYP231" s="514"/>
      <c r="QYQ231" s="514"/>
      <c r="QYR231" s="514"/>
      <c r="QYS231" s="514"/>
      <c r="QYT231" s="514"/>
      <c r="QYU231" s="514"/>
      <c r="QYV231" s="514"/>
      <c r="QYW231" s="514"/>
      <c r="QYX231" s="514"/>
      <c r="QYY231" s="514"/>
      <c r="QYZ231" s="514"/>
      <c r="QZA231" s="514"/>
      <c r="QZB231" s="514"/>
      <c r="QZC231" s="514"/>
      <c r="QZD231" s="514"/>
      <c r="QZE231" s="514"/>
      <c r="QZF231" s="514"/>
      <c r="QZG231" s="514"/>
      <c r="QZH231" s="514"/>
      <c r="QZI231" s="514"/>
      <c r="QZJ231" s="514"/>
      <c r="QZK231" s="514"/>
      <c r="QZL231" s="514"/>
      <c r="QZM231" s="514"/>
      <c r="QZN231" s="514"/>
      <c r="QZO231" s="514"/>
      <c r="QZP231" s="514"/>
      <c r="QZQ231" s="514"/>
      <c r="QZR231" s="514"/>
      <c r="QZS231" s="514"/>
      <c r="QZT231" s="514"/>
      <c r="QZU231" s="514"/>
      <c r="QZV231" s="514"/>
      <c r="QZW231" s="514"/>
      <c r="QZX231" s="514"/>
      <c r="QZY231" s="514"/>
      <c r="QZZ231" s="514"/>
      <c r="RAA231" s="514"/>
      <c r="RAB231" s="514"/>
      <c r="RAC231" s="514"/>
      <c r="RAD231" s="514"/>
      <c r="RAE231" s="514"/>
      <c r="RAF231" s="514"/>
      <c r="RAG231" s="514"/>
      <c r="RAH231" s="514"/>
      <c r="RAI231" s="514"/>
      <c r="RAJ231" s="514"/>
      <c r="RAK231" s="514"/>
      <c r="RAL231" s="514"/>
      <c r="RAM231" s="514"/>
      <c r="RAN231" s="514"/>
      <c r="RAO231" s="514"/>
      <c r="RAP231" s="514"/>
      <c r="RAQ231" s="514"/>
      <c r="RAR231" s="514"/>
      <c r="RAS231" s="514"/>
      <c r="RAT231" s="514"/>
      <c r="RAU231" s="514"/>
      <c r="RAV231" s="514"/>
      <c r="RAW231" s="514"/>
      <c r="RAX231" s="514"/>
      <c r="RAY231" s="514"/>
      <c r="RAZ231" s="514"/>
      <c r="RBA231" s="514"/>
      <c r="RBB231" s="514"/>
      <c r="RBC231" s="514"/>
      <c r="RBD231" s="514"/>
      <c r="RBE231" s="514"/>
      <c r="RBF231" s="514"/>
      <c r="RBG231" s="514"/>
      <c r="RBH231" s="514"/>
      <c r="RBI231" s="514"/>
      <c r="RBJ231" s="514"/>
      <c r="RBK231" s="514"/>
      <c r="RBL231" s="514"/>
      <c r="RBM231" s="514"/>
      <c r="RBN231" s="514"/>
      <c r="RBO231" s="514"/>
      <c r="RBP231" s="514"/>
      <c r="RBQ231" s="514"/>
      <c r="RBR231" s="514"/>
      <c r="RBS231" s="514"/>
      <c r="RBT231" s="514"/>
      <c r="RBU231" s="514"/>
      <c r="RBV231" s="514"/>
      <c r="RBW231" s="514"/>
      <c r="RBX231" s="514"/>
      <c r="RBY231" s="514"/>
      <c r="RBZ231" s="514"/>
      <c r="RCA231" s="514"/>
      <c r="RCB231" s="514"/>
      <c r="RCC231" s="514"/>
      <c r="RCD231" s="514"/>
      <c r="RCE231" s="514"/>
      <c r="RCF231" s="514"/>
      <c r="RCG231" s="514"/>
      <c r="RCH231" s="514"/>
      <c r="RCI231" s="514"/>
      <c r="RCJ231" s="514"/>
      <c r="RCK231" s="514"/>
      <c r="RCL231" s="514"/>
      <c r="RCM231" s="514"/>
      <c r="RCN231" s="514"/>
      <c r="RCO231" s="514"/>
      <c r="RCP231" s="514"/>
      <c r="RCQ231" s="514"/>
      <c r="RCR231" s="514"/>
      <c r="RCS231" s="514"/>
      <c r="RCT231" s="514"/>
      <c r="RCU231" s="514"/>
      <c r="RCV231" s="514"/>
      <c r="RCW231" s="514"/>
      <c r="RCX231" s="514"/>
      <c r="RCY231" s="514"/>
      <c r="RCZ231" s="514"/>
      <c r="RDA231" s="514"/>
      <c r="RDB231" s="514"/>
      <c r="RDC231" s="514"/>
      <c r="RDD231" s="514"/>
      <c r="RDE231" s="514"/>
      <c r="RDF231" s="514"/>
      <c r="RDG231" s="514"/>
      <c r="RDH231" s="514"/>
      <c r="RDI231" s="514"/>
      <c r="RDJ231" s="514"/>
      <c r="RDK231" s="514"/>
      <c r="RDL231" s="514"/>
      <c r="RDM231" s="514"/>
      <c r="RDN231" s="514"/>
      <c r="RDO231" s="514"/>
      <c r="RDP231" s="514"/>
      <c r="RDQ231" s="514"/>
      <c r="RDR231" s="514"/>
      <c r="RDS231" s="514"/>
      <c r="RDT231" s="514"/>
      <c r="RDU231" s="514"/>
      <c r="RDV231" s="514"/>
      <c r="RDW231" s="514"/>
      <c r="RDX231" s="514"/>
      <c r="RDY231" s="514"/>
      <c r="RDZ231" s="514"/>
      <c r="REA231" s="514"/>
      <c r="REB231" s="514"/>
      <c r="REC231" s="514"/>
      <c r="RED231" s="514"/>
      <c r="REE231" s="514"/>
      <c r="REF231" s="514"/>
      <c r="REG231" s="514"/>
      <c r="REH231" s="514"/>
      <c r="REI231" s="514"/>
      <c r="REJ231" s="514"/>
      <c r="REK231" s="514"/>
      <c r="REL231" s="514"/>
      <c r="REM231" s="514"/>
      <c r="REN231" s="514"/>
      <c r="REO231" s="514"/>
      <c r="REP231" s="514"/>
      <c r="REQ231" s="514"/>
      <c r="RER231" s="514"/>
      <c r="RES231" s="514"/>
      <c r="RET231" s="514"/>
      <c r="REU231" s="514"/>
      <c r="REV231" s="514"/>
      <c r="REW231" s="514"/>
      <c r="REX231" s="514"/>
      <c r="REY231" s="514"/>
      <c r="REZ231" s="514"/>
      <c r="RFA231" s="514"/>
      <c r="RFB231" s="514"/>
      <c r="RFC231" s="514"/>
      <c r="RFD231" s="514"/>
      <c r="RFE231" s="514"/>
      <c r="RFF231" s="514"/>
      <c r="RFG231" s="514"/>
      <c r="RFH231" s="514"/>
      <c r="RFI231" s="514"/>
      <c r="RFJ231" s="514"/>
      <c r="RFK231" s="514"/>
      <c r="RFL231" s="514"/>
      <c r="RFM231" s="514"/>
      <c r="RFN231" s="514"/>
      <c r="RFO231" s="514"/>
      <c r="RFP231" s="514"/>
      <c r="RFQ231" s="514"/>
      <c r="RFR231" s="514"/>
      <c r="RFS231" s="514"/>
      <c r="RFT231" s="514"/>
      <c r="RFU231" s="514"/>
      <c r="RFV231" s="514"/>
      <c r="RFW231" s="514"/>
      <c r="RFX231" s="514"/>
      <c r="RFY231" s="514"/>
      <c r="RFZ231" s="514"/>
      <c r="RGA231" s="514"/>
      <c r="RGB231" s="514"/>
      <c r="RGC231" s="514"/>
      <c r="RGD231" s="514"/>
      <c r="RGE231" s="514"/>
      <c r="RGF231" s="514"/>
      <c r="RGG231" s="514"/>
      <c r="RGH231" s="514"/>
      <c r="RGI231" s="514"/>
      <c r="RGJ231" s="514"/>
      <c r="RGK231" s="514"/>
      <c r="RGL231" s="514"/>
      <c r="RGM231" s="514"/>
      <c r="RGN231" s="514"/>
      <c r="RGO231" s="514"/>
      <c r="RGP231" s="514"/>
      <c r="RGQ231" s="514"/>
      <c r="RGR231" s="514"/>
      <c r="RGS231" s="514"/>
      <c r="RGT231" s="514"/>
      <c r="RGU231" s="514"/>
      <c r="RGV231" s="514"/>
      <c r="RGW231" s="514"/>
      <c r="RGX231" s="514"/>
      <c r="RGY231" s="514"/>
      <c r="RGZ231" s="514"/>
      <c r="RHA231" s="514"/>
      <c r="RHB231" s="514"/>
      <c r="RHC231" s="514"/>
      <c r="RHD231" s="514"/>
      <c r="RHE231" s="514"/>
      <c r="RHF231" s="514"/>
      <c r="RHG231" s="514"/>
      <c r="RHH231" s="514"/>
      <c r="RHI231" s="514"/>
      <c r="RHJ231" s="514"/>
      <c r="RHK231" s="514"/>
      <c r="RHL231" s="514"/>
      <c r="RHM231" s="514"/>
      <c r="RHN231" s="514"/>
      <c r="RHO231" s="514"/>
      <c r="RHP231" s="514"/>
      <c r="RHQ231" s="514"/>
      <c r="RHR231" s="514"/>
      <c r="RHS231" s="514"/>
      <c r="RHT231" s="514"/>
      <c r="RHU231" s="514"/>
      <c r="RHV231" s="514"/>
      <c r="RHW231" s="514"/>
      <c r="RHX231" s="514"/>
      <c r="RHY231" s="514"/>
      <c r="RHZ231" s="514"/>
      <c r="RIA231" s="514"/>
      <c r="RIB231" s="514"/>
      <c r="RIC231" s="514"/>
      <c r="RID231" s="514"/>
      <c r="RIE231" s="514"/>
      <c r="RIF231" s="514"/>
      <c r="RIG231" s="514"/>
      <c r="RIH231" s="514"/>
      <c r="RII231" s="514"/>
      <c r="RIJ231" s="514"/>
      <c r="RIK231" s="514"/>
      <c r="RIL231" s="514"/>
      <c r="RIM231" s="514"/>
      <c r="RIN231" s="514"/>
      <c r="RIO231" s="514"/>
      <c r="RIP231" s="514"/>
      <c r="RIQ231" s="514"/>
      <c r="RIR231" s="514"/>
      <c r="RIS231" s="514"/>
      <c r="RIT231" s="514"/>
      <c r="RIU231" s="514"/>
      <c r="RIV231" s="514"/>
      <c r="RIW231" s="514"/>
      <c r="RIX231" s="514"/>
      <c r="RIY231" s="514"/>
      <c r="RIZ231" s="514"/>
      <c r="RJA231" s="514"/>
      <c r="RJB231" s="514"/>
      <c r="RJC231" s="514"/>
      <c r="RJD231" s="514"/>
      <c r="RJE231" s="514"/>
      <c r="RJF231" s="514"/>
      <c r="RJG231" s="514"/>
      <c r="RJH231" s="514"/>
      <c r="RJI231" s="514"/>
      <c r="RJJ231" s="514"/>
      <c r="RJK231" s="514"/>
      <c r="RJL231" s="514"/>
      <c r="RJM231" s="514"/>
      <c r="RJN231" s="514"/>
      <c r="RJO231" s="514"/>
      <c r="RJP231" s="514"/>
      <c r="RJQ231" s="514"/>
      <c r="RJR231" s="514"/>
      <c r="RJS231" s="514"/>
      <c r="RJT231" s="514"/>
      <c r="RJU231" s="514"/>
      <c r="RJV231" s="514"/>
      <c r="RJW231" s="514"/>
      <c r="RJX231" s="514"/>
      <c r="RJY231" s="514"/>
      <c r="RJZ231" s="514"/>
      <c r="RKA231" s="514"/>
      <c r="RKB231" s="514"/>
      <c r="RKC231" s="514"/>
      <c r="RKD231" s="514"/>
      <c r="RKE231" s="514"/>
      <c r="RKF231" s="514"/>
      <c r="RKG231" s="514"/>
      <c r="RKH231" s="514"/>
      <c r="RKI231" s="514"/>
      <c r="RKJ231" s="514"/>
      <c r="RKK231" s="514"/>
      <c r="RKL231" s="514"/>
      <c r="RKM231" s="514"/>
      <c r="RKN231" s="514"/>
      <c r="RKO231" s="514"/>
      <c r="RKP231" s="514"/>
      <c r="RKQ231" s="514"/>
      <c r="RKR231" s="514"/>
      <c r="RKS231" s="514"/>
      <c r="RKT231" s="514"/>
      <c r="RKU231" s="514"/>
      <c r="RKV231" s="514"/>
      <c r="RKW231" s="514"/>
      <c r="RKX231" s="514"/>
      <c r="RKY231" s="514"/>
      <c r="RKZ231" s="514"/>
      <c r="RLA231" s="514"/>
      <c r="RLB231" s="514"/>
      <c r="RLC231" s="514"/>
      <c r="RLD231" s="514"/>
      <c r="RLE231" s="514"/>
      <c r="RLF231" s="514"/>
      <c r="RLG231" s="514"/>
      <c r="RLH231" s="514"/>
      <c r="RLI231" s="514"/>
      <c r="RLJ231" s="514"/>
      <c r="RLK231" s="514"/>
      <c r="RLL231" s="514"/>
      <c r="RLM231" s="514"/>
      <c r="RLN231" s="514"/>
      <c r="RLO231" s="514"/>
      <c r="RLP231" s="514"/>
      <c r="RLQ231" s="514"/>
      <c r="RLR231" s="514"/>
      <c r="RLS231" s="514"/>
      <c r="RLT231" s="514"/>
      <c r="RLU231" s="514"/>
      <c r="RLV231" s="514"/>
      <c r="RLW231" s="514"/>
      <c r="RLX231" s="514"/>
      <c r="RLY231" s="514"/>
      <c r="RLZ231" s="514"/>
      <c r="RMA231" s="514"/>
      <c r="RMB231" s="514"/>
      <c r="RMC231" s="514"/>
      <c r="RMD231" s="514"/>
      <c r="RME231" s="514"/>
      <c r="RMF231" s="514"/>
      <c r="RMG231" s="514"/>
      <c r="RMH231" s="514"/>
      <c r="RMI231" s="514"/>
      <c r="RMJ231" s="514"/>
      <c r="RMK231" s="514"/>
      <c r="RML231" s="514"/>
      <c r="RMM231" s="514"/>
      <c r="RMN231" s="514"/>
      <c r="RMO231" s="514"/>
      <c r="RMP231" s="514"/>
      <c r="RMQ231" s="514"/>
      <c r="RMR231" s="514"/>
      <c r="RMS231" s="514"/>
      <c r="RMT231" s="514"/>
      <c r="RMU231" s="514"/>
      <c r="RMV231" s="514"/>
      <c r="RMW231" s="514"/>
      <c r="RMX231" s="514"/>
      <c r="RMY231" s="514"/>
      <c r="RMZ231" s="514"/>
      <c r="RNA231" s="514"/>
      <c r="RNB231" s="514"/>
      <c r="RNC231" s="514"/>
      <c r="RND231" s="514"/>
      <c r="RNE231" s="514"/>
      <c r="RNF231" s="514"/>
      <c r="RNG231" s="514"/>
      <c r="RNH231" s="514"/>
      <c r="RNI231" s="514"/>
      <c r="RNJ231" s="514"/>
      <c r="RNK231" s="514"/>
      <c r="RNL231" s="514"/>
      <c r="RNM231" s="514"/>
      <c r="RNN231" s="514"/>
      <c r="RNO231" s="514"/>
      <c r="RNP231" s="514"/>
      <c r="RNQ231" s="514"/>
      <c r="RNR231" s="514"/>
      <c r="RNS231" s="514"/>
      <c r="RNT231" s="514"/>
      <c r="RNU231" s="514"/>
      <c r="RNV231" s="514"/>
      <c r="RNW231" s="514"/>
      <c r="RNX231" s="514"/>
      <c r="RNY231" s="514"/>
      <c r="RNZ231" s="514"/>
      <c r="ROA231" s="514"/>
      <c r="ROB231" s="514"/>
      <c r="ROC231" s="514"/>
      <c r="ROD231" s="514"/>
      <c r="ROE231" s="514"/>
      <c r="ROF231" s="514"/>
      <c r="ROG231" s="514"/>
      <c r="ROH231" s="514"/>
      <c r="ROI231" s="514"/>
      <c r="ROJ231" s="514"/>
      <c r="ROK231" s="514"/>
      <c r="ROL231" s="514"/>
      <c r="ROM231" s="514"/>
      <c r="RON231" s="514"/>
      <c r="ROO231" s="514"/>
      <c r="ROP231" s="514"/>
      <c r="ROQ231" s="514"/>
      <c r="ROR231" s="514"/>
      <c r="ROS231" s="514"/>
      <c r="ROT231" s="514"/>
      <c r="ROU231" s="514"/>
      <c r="ROV231" s="514"/>
      <c r="ROW231" s="514"/>
      <c r="ROX231" s="514"/>
      <c r="ROY231" s="514"/>
      <c r="ROZ231" s="514"/>
      <c r="RPA231" s="514"/>
      <c r="RPB231" s="514"/>
      <c r="RPC231" s="514"/>
      <c r="RPD231" s="514"/>
      <c r="RPE231" s="514"/>
      <c r="RPF231" s="514"/>
      <c r="RPG231" s="514"/>
      <c r="RPH231" s="514"/>
      <c r="RPI231" s="514"/>
      <c r="RPJ231" s="514"/>
      <c r="RPK231" s="514"/>
      <c r="RPL231" s="514"/>
      <c r="RPM231" s="514"/>
      <c r="RPN231" s="514"/>
      <c r="RPO231" s="514"/>
      <c r="RPP231" s="514"/>
      <c r="RPQ231" s="514"/>
      <c r="RPR231" s="514"/>
      <c r="RPS231" s="514"/>
      <c r="RPT231" s="514"/>
      <c r="RPU231" s="514"/>
      <c r="RPV231" s="514"/>
      <c r="RPW231" s="514"/>
      <c r="RPX231" s="514"/>
      <c r="RPY231" s="514"/>
      <c r="RPZ231" s="514"/>
      <c r="RQA231" s="514"/>
      <c r="RQB231" s="514"/>
      <c r="RQC231" s="514"/>
      <c r="RQD231" s="514"/>
      <c r="RQE231" s="514"/>
      <c r="RQF231" s="514"/>
      <c r="RQG231" s="514"/>
      <c r="RQH231" s="514"/>
      <c r="RQI231" s="514"/>
      <c r="RQJ231" s="514"/>
      <c r="RQK231" s="514"/>
      <c r="RQL231" s="514"/>
      <c r="RQM231" s="514"/>
      <c r="RQN231" s="514"/>
      <c r="RQO231" s="514"/>
      <c r="RQP231" s="514"/>
      <c r="RQQ231" s="514"/>
      <c r="RQR231" s="514"/>
      <c r="RQS231" s="514"/>
      <c r="RQT231" s="514"/>
      <c r="RQU231" s="514"/>
      <c r="RQV231" s="514"/>
      <c r="RQW231" s="514"/>
      <c r="RQX231" s="514"/>
      <c r="RQY231" s="514"/>
      <c r="RQZ231" s="514"/>
      <c r="RRA231" s="514"/>
      <c r="RRB231" s="514"/>
      <c r="RRC231" s="514"/>
      <c r="RRD231" s="514"/>
      <c r="RRE231" s="514"/>
      <c r="RRF231" s="514"/>
      <c r="RRG231" s="514"/>
      <c r="RRH231" s="514"/>
      <c r="RRI231" s="514"/>
      <c r="RRJ231" s="514"/>
      <c r="RRK231" s="514"/>
      <c r="RRL231" s="514"/>
      <c r="RRM231" s="514"/>
      <c r="RRN231" s="514"/>
      <c r="RRO231" s="514"/>
      <c r="RRP231" s="514"/>
      <c r="RRQ231" s="514"/>
      <c r="RRR231" s="514"/>
      <c r="RRS231" s="514"/>
      <c r="RRT231" s="514"/>
      <c r="RRU231" s="514"/>
      <c r="RRV231" s="514"/>
      <c r="RRW231" s="514"/>
      <c r="RRX231" s="514"/>
      <c r="RRY231" s="514"/>
      <c r="RRZ231" s="514"/>
      <c r="RSA231" s="514"/>
      <c r="RSB231" s="514"/>
      <c r="RSC231" s="514"/>
      <c r="RSD231" s="514"/>
      <c r="RSE231" s="514"/>
      <c r="RSF231" s="514"/>
      <c r="RSG231" s="514"/>
      <c r="RSH231" s="514"/>
      <c r="RSI231" s="514"/>
      <c r="RSJ231" s="514"/>
      <c r="RSK231" s="514"/>
      <c r="RSL231" s="514"/>
      <c r="RSM231" s="514"/>
      <c r="RSN231" s="514"/>
      <c r="RSO231" s="514"/>
      <c r="RSP231" s="514"/>
      <c r="RSQ231" s="514"/>
      <c r="RSR231" s="514"/>
      <c r="RSS231" s="514"/>
      <c r="RST231" s="514"/>
      <c r="RSU231" s="514"/>
      <c r="RSV231" s="514"/>
      <c r="RSW231" s="514"/>
      <c r="RSX231" s="514"/>
      <c r="RSY231" s="514"/>
      <c r="RSZ231" s="514"/>
      <c r="RTA231" s="514"/>
      <c r="RTB231" s="514"/>
      <c r="RTC231" s="514"/>
      <c r="RTD231" s="514"/>
      <c r="RTE231" s="514"/>
      <c r="RTF231" s="514"/>
      <c r="RTG231" s="514"/>
      <c r="RTH231" s="514"/>
      <c r="RTI231" s="514"/>
      <c r="RTJ231" s="514"/>
      <c r="RTK231" s="514"/>
      <c r="RTL231" s="514"/>
      <c r="RTM231" s="514"/>
      <c r="RTN231" s="514"/>
      <c r="RTO231" s="514"/>
      <c r="RTP231" s="514"/>
      <c r="RTQ231" s="514"/>
      <c r="RTR231" s="514"/>
      <c r="RTS231" s="514"/>
      <c r="RTT231" s="514"/>
      <c r="RTU231" s="514"/>
      <c r="RTV231" s="514"/>
      <c r="RTW231" s="514"/>
      <c r="RTX231" s="514"/>
      <c r="RTY231" s="514"/>
      <c r="RTZ231" s="514"/>
      <c r="RUA231" s="514"/>
      <c r="RUB231" s="514"/>
      <c r="RUC231" s="514"/>
      <c r="RUD231" s="514"/>
      <c r="RUE231" s="514"/>
      <c r="RUF231" s="514"/>
      <c r="RUG231" s="514"/>
      <c r="RUH231" s="514"/>
      <c r="RUI231" s="514"/>
      <c r="RUJ231" s="514"/>
      <c r="RUK231" s="514"/>
      <c r="RUL231" s="514"/>
      <c r="RUM231" s="514"/>
      <c r="RUN231" s="514"/>
      <c r="RUO231" s="514"/>
      <c r="RUP231" s="514"/>
      <c r="RUQ231" s="514"/>
      <c r="RUR231" s="514"/>
      <c r="RUS231" s="514"/>
      <c r="RUT231" s="514"/>
      <c r="RUU231" s="514"/>
      <c r="RUV231" s="514"/>
      <c r="RUW231" s="514"/>
      <c r="RUX231" s="514"/>
      <c r="RUY231" s="514"/>
      <c r="RUZ231" s="514"/>
      <c r="RVA231" s="514"/>
      <c r="RVB231" s="514"/>
      <c r="RVC231" s="514"/>
      <c r="RVD231" s="514"/>
      <c r="RVE231" s="514"/>
      <c r="RVF231" s="514"/>
      <c r="RVG231" s="514"/>
      <c r="RVH231" s="514"/>
      <c r="RVI231" s="514"/>
      <c r="RVJ231" s="514"/>
      <c r="RVK231" s="514"/>
      <c r="RVL231" s="514"/>
      <c r="RVM231" s="514"/>
      <c r="RVN231" s="514"/>
      <c r="RVO231" s="514"/>
      <c r="RVP231" s="514"/>
      <c r="RVQ231" s="514"/>
      <c r="RVR231" s="514"/>
      <c r="RVS231" s="514"/>
      <c r="RVT231" s="514"/>
      <c r="RVU231" s="514"/>
      <c r="RVV231" s="514"/>
      <c r="RVW231" s="514"/>
      <c r="RVX231" s="514"/>
      <c r="RVY231" s="514"/>
      <c r="RVZ231" s="514"/>
      <c r="RWA231" s="514"/>
      <c r="RWB231" s="514"/>
      <c r="RWC231" s="514"/>
      <c r="RWD231" s="514"/>
      <c r="RWE231" s="514"/>
      <c r="RWF231" s="514"/>
      <c r="RWG231" s="514"/>
      <c r="RWH231" s="514"/>
      <c r="RWI231" s="514"/>
      <c r="RWJ231" s="514"/>
      <c r="RWK231" s="514"/>
      <c r="RWL231" s="514"/>
      <c r="RWM231" s="514"/>
      <c r="RWN231" s="514"/>
      <c r="RWO231" s="514"/>
      <c r="RWP231" s="514"/>
      <c r="RWQ231" s="514"/>
      <c r="RWR231" s="514"/>
      <c r="RWS231" s="514"/>
      <c r="RWT231" s="514"/>
      <c r="RWU231" s="514"/>
      <c r="RWV231" s="514"/>
      <c r="RWW231" s="514"/>
      <c r="RWX231" s="514"/>
      <c r="RWY231" s="514"/>
      <c r="RWZ231" s="514"/>
      <c r="RXA231" s="514"/>
      <c r="RXB231" s="514"/>
      <c r="RXC231" s="514"/>
      <c r="RXD231" s="514"/>
      <c r="RXE231" s="514"/>
      <c r="RXF231" s="514"/>
      <c r="RXG231" s="514"/>
      <c r="RXH231" s="514"/>
      <c r="RXI231" s="514"/>
      <c r="RXJ231" s="514"/>
      <c r="RXK231" s="514"/>
      <c r="RXL231" s="514"/>
      <c r="RXM231" s="514"/>
      <c r="RXN231" s="514"/>
      <c r="RXO231" s="514"/>
      <c r="RXP231" s="514"/>
      <c r="RXQ231" s="514"/>
      <c r="RXR231" s="514"/>
      <c r="RXS231" s="514"/>
      <c r="RXT231" s="514"/>
      <c r="RXU231" s="514"/>
      <c r="RXV231" s="514"/>
      <c r="RXW231" s="514"/>
      <c r="RXX231" s="514"/>
      <c r="RXY231" s="514"/>
      <c r="RXZ231" s="514"/>
      <c r="RYA231" s="514"/>
      <c r="RYB231" s="514"/>
      <c r="RYC231" s="514"/>
      <c r="RYD231" s="514"/>
      <c r="RYE231" s="514"/>
      <c r="RYF231" s="514"/>
      <c r="RYG231" s="514"/>
      <c r="RYH231" s="514"/>
      <c r="RYI231" s="514"/>
      <c r="RYJ231" s="514"/>
      <c r="RYK231" s="514"/>
      <c r="RYL231" s="514"/>
      <c r="RYM231" s="514"/>
      <c r="RYN231" s="514"/>
      <c r="RYO231" s="514"/>
      <c r="RYP231" s="514"/>
      <c r="RYQ231" s="514"/>
      <c r="RYR231" s="514"/>
      <c r="RYS231" s="514"/>
      <c r="RYT231" s="514"/>
      <c r="RYU231" s="514"/>
      <c r="RYV231" s="514"/>
      <c r="RYW231" s="514"/>
      <c r="RYX231" s="514"/>
      <c r="RYY231" s="514"/>
      <c r="RYZ231" s="514"/>
      <c r="RZA231" s="514"/>
      <c r="RZB231" s="514"/>
      <c r="RZC231" s="514"/>
      <c r="RZD231" s="514"/>
      <c r="RZE231" s="514"/>
      <c r="RZF231" s="514"/>
      <c r="RZG231" s="514"/>
      <c r="RZH231" s="514"/>
      <c r="RZI231" s="514"/>
      <c r="RZJ231" s="514"/>
      <c r="RZK231" s="514"/>
      <c r="RZL231" s="514"/>
      <c r="RZM231" s="514"/>
      <c r="RZN231" s="514"/>
      <c r="RZO231" s="514"/>
      <c r="RZP231" s="514"/>
      <c r="RZQ231" s="514"/>
      <c r="RZR231" s="514"/>
      <c r="RZS231" s="514"/>
      <c r="RZT231" s="514"/>
      <c r="RZU231" s="514"/>
      <c r="RZV231" s="514"/>
      <c r="RZW231" s="514"/>
      <c r="RZX231" s="514"/>
      <c r="RZY231" s="514"/>
      <c r="RZZ231" s="514"/>
      <c r="SAA231" s="514"/>
      <c r="SAB231" s="514"/>
      <c r="SAC231" s="514"/>
      <c r="SAD231" s="514"/>
      <c r="SAE231" s="514"/>
      <c r="SAF231" s="514"/>
      <c r="SAG231" s="514"/>
      <c r="SAH231" s="514"/>
      <c r="SAI231" s="514"/>
      <c r="SAJ231" s="514"/>
      <c r="SAK231" s="514"/>
      <c r="SAL231" s="514"/>
      <c r="SAM231" s="514"/>
      <c r="SAN231" s="514"/>
      <c r="SAO231" s="514"/>
      <c r="SAP231" s="514"/>
      <c r="SAQ231" s="514"/>
      <c r="SAR231" s="514"/>
      <c r="SAS231" s="514"/>
      <c r="SAT231" s="514"/>
      <c r="SAU231" s="514"/>
      <c r="SAV231" s="514"/>
      <c r="SAW231" s="514"/>
      <c r="SAX231" s="514"/>
      <c r="SAY231" s="514"/>
      <c r="SAZ231" s="514"/>
      <c r="SBA231" s="514"/>
      <c r="SBB231" s="514"/>
      <c r="SBC231" s="514"/>
      <c r="SBD231" s="514"/>
      <c r="SBE231" s="514"/>
      <c r="SBF231" s="514"/>
      <c r="SBG231" s="514"/>
      <c r="SBH231" s="514"/>
      <c r="SBI231" s="514"/>
      <c r="SBJ231" s="514"/>
      <c r="SBK231" s="514"/>
      <c r="SBL231" s="514"/>
      <c r="SBM231" s="514"/>
      <c r="SBN231" s="514"/>
      <c r="SBO231" s="514"/>
      <c r="SBP231" s="514"/>
      <c r="SBQ231" s="514"/>
      <c r="SBR231" s="514"/>
      <c r="SBS231" s="514"/>
      <c r="SBT231" s="514"/>
      <c r="SBU231" s="514"/>
      <c r="SBV231" s="514"/>
      <c r="SBW231" s="514"/>
      <c r="SBX231" s="514"/>
      <c r="SBY231" s="514"/>
      <c r="SBZ231" s="514"/>
      <c r="SCA231" s="514"/>
      <c r="SCB231" s="514"/>
      <c r="SCC231" s="514"/>
      <c r="SCD231" s="514"/>
      <c r="SCE231" s="514"/>
      <c r="SCF231" s="514"/>
      <c r="SCG231" s="514"/>
      <c r="SCH231" s="514"/>
      <c r="SCI231" s="514"/>
      <c r="SCJ231" s="514"/>
      <c r="SCK231" s="514"/>
      <c r="SCL231" s="514"/>
      <c r="SCM231" s="514"/>
      <c r="SCN231" s="514"/>
      <c r="SCO231" s="514"/>
      <c r="SCP231" s="514"/>
      <c r="SCQ231" s="514"/>
      <c r="SCR231" s="514"/>
      <c r="SCS231" s="514"/>
      <c r="SCT231" s="514"/>
      <c r="SCU231" s="514"/>
      <c r="SCV231" s="514"/>
      <c r="SCW231" s="514"/>
      <c r="SCX231" s="514"/>
      <c r="SCY231" s="514"/>
      <c r="SCZ231" s="514"/>
      <c r="SDA231" s="514"/>
      <c r="SDB231" s="514"/>
      <c r="SDC231" s="514"/>
      <c r="SDD231" s="514"/>
      <c r="SDE231" s="514"/>
      <c r="SDF231" s="514"/>
      <c r="SDG231" s="514"/>
      <c r="SDH231" s="514"/>
      <c r="SDI231" s="514"/>
      <c r="SDJ231" s="514"/>
      <c r="SDK231" s="514"/>
      <c r="SDL231" s="514"/>
      <c r="SDM231" s="514"/>
      <c r="SDN231" s="514"/>
      <c r="SDO231" s="514"/>
      <c r="SDP231" s="514"/>
      <c r="SDQ231" s="514"/>
      <c r="SDR231" s="514"/>
      <c r="SDS231" s="514"/>
      <c r="SDT231" s="514"/>
      <c r="SDU231" s="514"/>
      <c r="SDV231" s="514"/>
      <c r="SDW231" s="514"/>
      <c r="SDX231" s="514"/>
      <c r="SDY231" s="514"/>
      <c r="SDZ231" s="514"/>
      <c r="SEA231" s="514"/>
      <c r="SEB231" s="514"/>
      <c r="SEC231" s="514"/>
      <c r="SED231" s="514"/>
      <c r="SEE231" s="514"/>
      <c r="SEF231" s="514"/>
      <c r="SEG231" s="514"/>
      <c r="SEH231" s="514"/>
      <c r="SEI231" s="514"/>
      <c r="SEJ231" s="514"/>
      <c r="SEK231" s="514"/>
      <c r="SEL231" s="514"/>
      <c r="SEM231" s="514"/>
      <c r="SEN231" s="514"/>
      <c r="SEO231" s="514"/>
      <c r="SEP231" s="514"/>
      <c r="SEQ231" s="514"/>
      <c r="SER231" s="514"/>
      <c r="SES231" s="514"/>
      <c r="SET231" s="514"/>
      <c r="SEU231" s="514"/>
      <c r="SEV231" s="514"/>
      <c r="SEW231" s="514"/>
      <c r="SEX231" s="514"/>
      <c r="SEY231" s="514"/>
      <c r="SEZ231" s="514"/>
      <c r="SFA231" s="514"/>
      <c r="SFB231" s="514"/>
      <c r="SFC231" s="514"/>
      <c r="SFD231" s="514"/>
      <c r="SFE231" s="514"/>
      <c r="SFF231" s="514"/>
      <c r="SFG231" s="514"/>
      <c r="SFH231" s="514"/>
      <c r="SFI231" s="514"/>
      <c r="SFJ231" s="514"/>
      <c r="SFK231" s="514"/>
      <c r="SFL231" s="514"/>
      <c r="SFM231" s="514"/>
      <c r="SFN231" s="514"/>
      <c r="SFO231" s="514"/>
      <c r="SFP231" s="514"/>
      <c r="SFQ231" s="514"/>
      <c r="SFR231" s="514"/>
      <c r="SFS231" s="514"/>
      <c r="SFT231" s="514"/>
      <c r="SFU231" s="514"/>
      <c r="SFV231" s="514"/>
      <c r="SFW231" s="514"/>
      <c r="SFX231" s="514"/>
      <c r="SFY231" s="514"/>
      <c r="SFZ231" s="514"/>
      <c r="SGA231" s="514"/>
      <c r="SGB231" s="514"/>
      <c r="SGC231" s="514"/>
      <c r="SGD231" s="514"/>
      <c r="SGE231" s="514"/>
      <c r="SGF231" s="514"/>
      <c r="SGG231" s="514"/>
      <c r="SGH231" s="514"/>
      <c r="SGI231" s="514"/>
      <c r="SGJ231" s="514"/>
      <c r="SGK231" s="514"/>
      <c r="SGL231" s="514"/>
      <c r="SGM231" s="514"/>
      <c r="SGN231" s="514"/>
      <c r="SGO231" s="514"/>
      <c r="SGP231" s="514"/>
      <c r="SGQ231" s="514"/>
      <c r="SGR231" s="514"/>
      <c r="SGS231" s="514"/>
      <c r="SGT231" s="514"/>
      <c r="SGU231" s="514"/>
      <c r="SGV231" s="514"/>
      <c r="SGW231" s="514"/>
      <c r="SGX231" s="514"/>
      <c r="SGY231" s="514"/>
      <c r="SGZ231" s="514"/>
      <c r="SHA231" s="514"/>
      <c r="SHB231" s="514"/>
      <c r="SHC231" s="514"/>
      <c r="SHD231" s="514"/>
      <c r="SHE231" s="514"/>
      <c r="SHF231" s="514"/>
      <c r="SHG231" s="514"/>
      <c r="SHH231" s="514"/>
      <c r="SHI231" s="514"/>
      <c r="SHJ231" s="514"/>
      <c r="SHK231" s="514"/>
      <c r="SHL231" s="514"/>
      <c r="SHM231" s="514"/>
      <c r="SHN231" s="514"/>
      <c r="SHO231" s="514"/>
      <c r="SHP231" s="514"/>
      <c r="SHQ231" s="514"/>
      <c r="SHR231" s="514"/>
      <c r="SHS231" s="514"/>
      <c r="SHT231" s="514"/>
      <c r="SHU231" s="514"/>
      <c r="SHV231" s="514"/>
      <c r="SHW231" s="514"/>
      <c r="SHX231" s="514"/>
      <c r="SHY231" s="514"/>
      <c r="SHZ231" s="514"/>
      <c r="SIA231" s="514"/>
      <c r="SIB231" s="514"/>
      <c r="SIC231" s="514"/>
      <c r="SID231" s="514"/>
      <c r="SIE231" s="514"/>
      <c r="SIF231" s="514"/>
      <c r="SIG231" s="514"/>
      <c r="SIH231" s="514"/>
      <c r="SII231" s="514"/>
      <c r="SIJ231" s="514"/>
      <c r="SIK231" s="514"/>
      <c r="SIL231" s="514"/>
      <c r="SIM231" s="514"/>
      <c r="SIN231" s="514"/>
      <c r="SIO231" s="514"/>
      <c r="SIP231" s="514"/>
      <c r="SIQ231" s="514"/>
      <c r="SIR231" s="514"/>
      <c r="SIS231" s="514"/>
      <c r="SIT231" s="514"/>
      <c r="SIU231" s="514"/>
      <c r="SIV231" s="514"/>
      <c r="SIW231" s="514"/>
      <c r="SIX231" s="514"/>
      <c r="SIY231" s="514"/>
      <c r="SIZ231" s="514"/>
      <c r="SJA231" s="514"/>
      <c r="SJB231" s="514"/>
      <c r="SJC231" s="514"/>
      <c r="SJD231" s="514"/>
      <c r="SJE231" s="514"/>
      <c r="SJF231" s="514"/>
      <c r="SJG231" s="514"/>
      <c r="SJH231" s="514"/>
      <c r="SJI231" s="514"/>
      <c r="SJJ231" s="514"/>
      <c r="SJK231" s="514"/>
      <c r="SJL231" s="514"/>
      <c r="SJM231" s="514"/>
      <c r="SJN231" s="514"/>
      <c r="SJO231" s="514"/>
      <c r="SJP231" s="514"/>
      <c r="SJQ231" s="514"/>
      <c r="SJR231" s="514"/>
      <c r="SJS231" s="514"/>
      <c r="SJT231" s="514"/>
      <c r="SJU231" s="514"/>
      <c r="SJV231" s="514"/>
      <c r="SJW231" s="514"/>
      <c r="SJX231" s="514"/>
      <c r="SJY231" s="514"/>
      <c r="SJZ231" s="514"/>
      <c r="SKA231" s="514"/>
      <c r="SKB231" s="514"/>
      <c r="SKC231" s="514"/>
      <c r="SKD231" s="514"/>
      <c r="SKE231" s="514"/>
      <c r="SKF231" s="514"/>
      <c r="SKG231" s="514"/>
      <c r="SKH231" s="514"/>
      <c r="SKI231" s="514"/>
      <c r="SKJ231" s="514"/>
      <c r="SKK231" s="514"/>
      <c r="SKL231" s="514"/>
      <c r="SKM231" s="514"/>
      <c r="SKN231" s="514"/>
      <c r="SKO231" s="514"/>
      <c r="SKP231" s="514"/>
      <c r="SKQ231" s="514"/>
      <c r="SKR231" s="514"/>
      <c r="SKS231" s="514"/>
      <c r="SKT231" s="514"/>
      <c r="SKU231" s="514"/>
      <c r="SKV231" s="514"/>
      <c r="SKW231" s="514"/>
      <c r="SKX231" s="514"/>
      <c r="SKY231" s="514"/>
      <c r="SKZ231" s="514"/>
      <c r="SLA231" s="514"/>
      <c r="SLB231" s="514"/>
      <c r="SLC231" s="514"/>
      <c r="SLD231" s="514"/>
      <c r="SLE231" s="514"/>
      <c r="SLF231" s="514"/>
      <c r="SLG231" s="514"/>
      <c r="SLH231" s="514"/>
      <c r="SLI231" s="514"/>
      <c r="SLJ231" s="514"/>
      <c r="SLK231" s="514"/>
      <c r="SLL231" s="514"/>
      <c r="SLM231" s="514"/>
      <c r="SLN231" s="514"/>
      <c r="SLO231" s="514"/>
      <c r="SLP231" s="514"/>
      <c r="SLQ231" s="514"/>
      <c r="SLR231" s="514"/>
      <c r="SLS231" s="514"/>
      <c r="SLT231" s="514"/>
      <c r="SLU231" s="514"/>
      <c r="SLV231" s="514"/>
      <c r="SLW231" s="514"/>
      <c r="SLX231" s="514"/>
      <c r="SLY231" s="514"/>
      <c r="SLZ231" s="514"/>
      <c r="SMA231" s="514"/>
      <c r="SMB231" s="514"/>
      <c r="SMC231" s="514"/>
      <c r="SMD231" s="514"/>
      <c r="SME231" s="514"/>
      <c r="SMF231" s="514"/>
      <c r="SMG231" s="514"/>
      <c r="SMH231" s="514"/>
      <c r="SMI231" s="514"/>
      <c r="SMJ231" s="514"/>
      <c r="SMK231" s="514"/>
      <c r="SML231" s="514"/>
      <c r="SMM231" s="514"/>
      <c r="SMN231" s="514"/>
      <c r="SMO231" s="514"/>
      <c r="SMP231" s="514"/>
      <c r="SMQ231" s="514"/>
      <c r="SMR231" s="514"/>
      <c r="SMS231" s="514"/>
      <c r="SMT231" s="514"/>
      <c r="SMU231" s="514"/>
      <c r="SMV231" s="514"/>
      <c r="SMW231" s="514"/>
      <c r="SMX231" s="514"/>
      <c r="SMY231" s="514"/>
      <c r="SMZ231" s="514"/>
      <c r="SNA231" s="514"/>
      <c r="SNB231" s="514"/>
      <c r="SNC231" s="514"/>
      <c r="SND231" s="514"/>
      <c r="SNE231" s="514"/>
      <c r="SNF231" s="514"/>
      <c r="SNG231" s="514"/>
      <c r="SNH231" s="514"/>
      <c r="SNI231" s="514"/>
      <c r="SNJ231" s="514"/>
      <c r="SNK231" s="514"/>
      <c r="SNL231" s="514"/>
      <c r="SNM231" s="514"/>
      <c r="SNN231" s="514"/>
      <c r="SNO231" s="514"/>
      <c r="SNP231" s="514"/>
      <c r="SNQ231" s="514"/>
      <c r="SNR231" s="514"/>
      <c r="SNS231" s="514"/>
      <c r="SNT231" s="514"/>
      <c r="SNU231" s="514"/>
      <c r="SNV231" s="514"/>
      <c r="SNW231" s="514"/>
      <c r="SNX231" s="514"/>
      <c r="SNY231" s="514"/>
      <c r="SNZ231" s="514"/>
      <c r="SOA231" s="514"/>
      <c r="SOB231" s="514"/>
      <c r="SOC231" s="514"/>
      <c r="SOD231" s="514"/>
      <c r="SOE231" s="514"/>
      <c r="SOF231" s="514"/>
      <c r="SOG231" s="514"/>
      <c r="SOH231" s="514"/>
      <c r="SOI231" s="514"/>
      <c r="SOJ231" s="514"/>
      <c r="SOK231" s="514"/>
      <c r="SOL231" s="514"/>
      <c r="SOM231" s="514"/>
      <c r="SON231" s="514"/>
      <c r="SOO231" s="514"/>
      <c r="SOP231" s="514"/>
      <c r="SOQ231" s="514"/>
      <c r="SOR231" s="514"/>
      <c r="SOS231" s="514"/>
      <c r="SOT231" s="514"/>
      <c r="SOU231" s="514"/>
      <c r="SOV231" s="514"/>
      <c r="SOW231" s="514"/>
      <c r="SOX231" s="514"/>
      <c r="SOY231" s="514"/>
      <c r="SOZ231" s="514"/>
      <c r="SPA231" s="514"/>
      <c r="SPB231" s="514"/>
      <c r="SPC231" s="514"/>
      <c r="SPD231" s="514"/>
      <c r="SPE231" s="514"/>
      <c r="SPF231" s="514"/>
      <c r="SPG231" s="514"/>
      <c r="SPH231" s="514"/>
      <c r="SPI231" s="514"/>
      <c r="SPJ231" s="514"/>
      <c r="SPK231" s="514"/>
      <c r="SPL231" s="514"/>
      <c r="SPM231" s="514"/>
      <c r="SPN231" s="514"/>
      <c r="SPO231" s="514"/>
      <c r="SPP231" s="514"/>
      <c r="SPQ231" s="514"/>
      <c r="SPR231" s="514"/>
      <c r="SPS231" s="514"/>
      <c r="SPT231" s="514"/>
      <c r="SPU231" s="514"/>
      <c r="SPV231" s="514"/>
      <c r="SPW231" s="514"/>
      <c r="SPX231" s="514"/>
      <c r="SPY231" s="514"/>
      <c r="SPZ231" s="514"/>
      <c r="SQA231" s="514"/>
      <c r="SQB231" s="514"/>
      <c r="SQC231" s="514"/>
      <c r="SQD231" s="514"/>
      <c r="SQE231" s="514"/>
      <c r="SQF231" s="514"/>
      <c r="SQG231" s="514"/>
      <c r="SQH231" s="514"/>
      <c r="SQI231" s="514"/>
      <c r="SQJ231" s="514"/>
      <c r="SQK231" s="514"/>
      <c r="SQL231" s="514"/>
      <c r="SQM231" s="514"/>
      <c r="SQN231" s="514"/>
      <c r="SQO231" s="514"/>
      <c r="SQP231" s="514"/>
      <c r="SQQ231" s="514"/>
      <c r="SQR231" s="514"/>
      <c r="SQS231" s="514"/>
      <c r="SQT231" s="514"/>
      <c r="SQU231" s="514"/>
      <c r="SQV231" s="514"/>
      <c r="SQW231" s="514"/>
      <c r="SQX231" s="514"/>
      <c r="SQY231" s="514"/>
      <c r="SQZ231" s="514"/>
      <c r="SRA231" s="514"/>
      <c r="SRB231" s="514"/>
      <c r="SRC231" s="514"/>
      <c r="SRD231" s="514"/>
      <c r="SRE231" s="514"/>
      <c r="SRF231" s="514"/>
      <c r="SRG231" s="514"/>
      <c r="SRH231" s="514"/>
      <c r="SRI231" s="514"/>
      <c r="SRJ231" s="514"/>
      <c r="SRK231" s="514"/>
      <c r="SRL231" s="514"/>
      <c r="SRM231" s="514"/>
      <c r="SRN231" s="514"/>
      <c r="SRO231" s="514"/>
      <c r="SRP231" s="514"/>
      <c r="SRQ231" s="514"/>
      <c r="SRR231" s="514"/>
      <c r="SRS231" s="514"/>
      <c r="SRT231" s="514"/>
      <c r="SRU231" s="514"/>
      <c r="SRV231" s="514"/>
      <c r="SRW231" s="514"/>
      <c r="SRX231" s="514"/>
      <c r="SRY231" s="514"/>
      <c r="SRZ231" s="514"/>
      <c r="SSA231" s="514"/>
      <c r="SSB231" s="514"/>
      <c r="SSC231" s="514"/>
      <c r="SSD231" s="514"/>
      <c r="SSE231" s="514"/>
      <c r="SSF231" s="514"/>
      <c r="SSG231" s="514"/>
      <c r="SSH231" s="514"/>
      <c r="SSI231" s="514"/>
      <c r="SSJ231" s="514"/>
      <c r="SSK231" s="514"/>
      <c r="SSL231" s="514"/>
      <c r="SSM231" s="514"/>
      <c r="SSN231" s="514"/>
      <c r="SSO231" s="514"/>
      <c r="SSP231" s="514"/>
      <c r="SSQ231" s="514"/>
      <c r="SSR231" s="514"/>
      <c r="SSS231" s="514"/>
      <c r="SST231" s="514"/>
      <c r="SSU231" s="514"/>
      <c r="SSV231" s="514"/>
      <c r="SSW231" s="514"/>
      <c r="SSX231" s="514"/>
      <c r="SSY231" s="514"/>
      <c r="SSZ231" s="514"/>
      <c r="STA231" s="514"/>
      <c r="STB231" s="514"/>
      <c r="STC231" s="514"/>
      <c r="STD231" s="514"/>
      <c r="STE231" s="514"/>
      <c r="STF231" s="514"/>
      <c r="STG231" s="514"/>
      <c r="STH231" s="514"/>
      <c r="STI231" s="514"/>
      <c r="STJ231" s="514"/>
      <c r="STK231" s="514"/>
      <c r="STL231" s="514"/>
      <c r="STM231" s="514"/>
      <c r="STN231" s="514"/>
      <c r="STO231" s="514"/>
      <c r="STP231" s="514"/>
      <c r="STQ231" s="514"/>
      <c r="STR231" s="514"/>
      <c r="STS231" s="514"/>
      <c r="STT231" s="514"/>
      <c r="STU231" s="514"/>
      <c r="STV231" s="514"/>
      <c r="STW231" s="514"/>
      <c r="STX231" s="514"/>
      <c r="STY231" s="514"/>
      <c r="STZ231" s="514"/>
      <c r="SUA231" s="514"/>
      <c r="SUB231" s="514"/>
      <c r="SUC231" s="514"/>
      <c r="SUD231" s="514"/>
      <c r="SUE231" s="514"/>
      <c r="SUF231" s="514"/>
      <c r="SUG231" s="514"/>
      <c r="SUH231" s="514"/>
      <c r="SUI231" s="514"/>
      <c r="SUJ231" s="514"/>
      <c r="SUK231" s="514"/>
      <c r="SUL231" s="514"/>
      <c r="SUM231" s="514"/>
      <c r="SUN231" s="514"/>
      <c r="SUO231" s="514"/>
      <c r="SUP231" s="514"/>
      <c r="SUQ231" s="514"/>
      <c r="SUR231" s="514"/>
      <c r="SUS231" s="514"/>
      <c r="SUT231" s="514"/>
      <c r="SUU231" s="514"/>
      <c r="SUV231" s="514"/>
      <c r="SUW231" s="514"/>
      <c r="SUX231" s="514"/>
      <c r="SUY231" s="514"/>
      <c r="SUZ231" s="514"/>
      <c r="SVA231" s="514"/>
      <c r="SVB231" s="514"/>
      <c r="SVC231" s="514"/>
      <c r="SVD231" s="514"/>
      <c r="SVE231" s="514"/>
      <c r="SVF231" s="514"/>
      <c r="SVG231" s="514"/>
      <c r="SVH231" s="514"/>
      <c r="SVI231" s="514"/>
      <c r="SVJ231" s="514"/>
      <c r="SVK231" s="514"/>
      <c r="SVL231" s="514"/>
      <c r="SVM231" s="514"/>
      <c r="SVN231" s="514"/>
      <c r="SVO231" s="514"/>
      <c r="SVP231" s="514"/>
      <c r="SVQ231" s="514"/>
      <c r="SVR231" s="514"/>
      <c r="SVS231" s="514"/>
      <c r="SVT231" s="514"/>
      <c r="SVU231" s="514"/>
      <c r="SVV231" s="514"/>
      <c r="SVW231" s="514"/>
      <c r="SVX231" s="514"/>
      <c r="SVY231" s="514"/>
      <c r="SVZ231" s="514"/>
      <c r="SWA231" s="514"/>
      <c r="SWB231" s="514"/>
      <c r="SWC231" s="514"/>
      <c r="SWD231" s="514"/>
      <c r="SWE231" s="514"/>
      <c r="SWF231" s="514"/>
      <c r="SWG231" s="514"/>
      <c r="SWH231" s="514"/>
      <c r="SWI231" s="514"/>
      <c r="SWJ231" s="514"/>
      <c r="SWK231" s="514"/>
      <c r="SWL231" s="514"/>
      <c r="SWM231" s="514"/>
      <c r="SWN231" s="514"/>
      <c r="SWO231" s="514"/>
      <c r="SWP231" s="514"/>
      <c r="SWQ231" s="514"/>
      <c r="SWR231" s="514"/>
      <c r="SWS231" s="514"/>
      <c r="SWT231" s="514"/>
      <c r="SWU231" s="514"/>
      <c r="SWV231" s="514"/>
      <c r="SWW231" s="514"/>
      <c r="SWX231" s="514"/>
      <c r="SWY231" s="514"/>
      <c r="SWZ231" s="514"/>
      <c r="SXA231" s="514"/>
      <c r="SXB231" s="514"/>
      <c r="SXC231" s="514"/>
      <c r="SXD231" s="514"/>
      <c r="SXE231" s="514"/>
      <c r="SXF231" s="514"/>
      <c r="SXG231" s="514"/>
      <c r="SXH231" s="514"/>
      <c r="SXI231" s="514"/>
      <c r="SXJ231" s="514"/>
      <c r="SXK231" s="514"/>
      <c r="SXL231" s="514"/>
      <c r="SXM231" s="514"/>
      <c r="SXN231" s="514"/>
      <c r="SXO231" s="514"/>
      <c r="SXP231" s="514"/>
      <c r="SXQ231" s="514"/>
      <c r="SXR231" s="514"/>
      <c r="SXS231" s="514"/>
      <c r="SXT231" s="514"/>
      <c r="SXU231" s="514"/>
      <c r="SXV231" s="514"/>
      <c r="SXW231" s="514"/>
      <c r="SXX231" s="514"/>
      <c r="SXY231" s="514"/>
      <c r="SXZ231" s="514"/>
      <c r="SYA231" s="514"/>
      <c r="SYB231" s="514"/>
      <c r="SYC231" s="514"/>
      <c r="SYD231" s="514"/>
      <c r="SYE231" s="514"/>
      <c r="SYF231" s="514"/>
      <c r="SYG231" s="514"/>
      <c r="SYH231" s="514"/>
      <c r="SYI231" s="514"/>
      <c r="SYJ231" s="514"/>
      <c r="SYK231" s="514"/>
      <c r="SYL231" s="514"/>
      <c r="SYM231" s="514"/>
      <c r="SYN231" s="514"/>
      <c r="SYO231" s="514"/>
      <c r="SYP231" s="514"/>
      <c r="SYQ231" s="514"/>
      <c r="SYR231" s="514"/>
      <c r="SYS231" s="514"/>
      <c r="SYT231" s="514"/>
      <c r="SYU231" s="514"/>
      <c r="SYV231" s="514"/>
      <c r="SYW231" s="514"/>
      <c r="SYX231" s="514"/>
      <c r="SYY231" s="514"/>
      <c r="SYZ231" s="514"/>
      <c r="SZA231" s="514"/>
      <c r="SZB231" s="514"/>
      <c r="SZC231" s="514"/>
      <c r="SZD231" s="514"/>
      <c r="SZE231" s="514"/>
      <c r="SZF231" s="514"/>
      <c r="SZG231" s="514"/>
      <c r="SZH231" s="514"/>
      <c r="SZI231" s="514"/>
      <c r="SZJ231" s="514"/>
      <c r="SZK231" s="514"/>
      <c r="SZL231" s="514"/>
      <c r="SZM231" s="514"/>
      <c r="SZN231" s="514"/>
      <c r="SZO231" s="514"/>
      <c r="SZP231" s="514"/>
      <c r="SZQ231" s="514"/>
      <c r="SZR231" s="514"/>
      <c r="SZS231" s="514"/>
      <c r="SZT231" s="514"/>
      <c r="SZU231" s="514"/>
      <c r="SZV231" s="514"/>
      <c r="SZW231" s="514"/>
      <c r="SZX231" s="514"/>
      <c r="SZY231" s="514"/>
      <c r="SZZ231" s="514"/>
      <c r="TAA231" s="514"/>
      <c r="TAB231" s="514"/>
      <c r="TAC231" s="514"/>
      <c r="TAD231" s="514"/>
      <c r="TAE231" s="514"/>
      <c r="TAF231" s="514"/>
      <c r="TAG231" s="514"/>
      <c r="TAH231" s="514"/>
      <c r="TAI231" s="514"/>
      <c r="TAJ231" s="514"/>
      <c r="TAK231" s="514"/>
      <c r="TAL231" s="514"/>
      <c r="TAM231" s="514"/>
      <c r="TAN231" s="514"/>
      <c r="TAO231" s="514"/>
      <c r="TAP231" s="514"/>
      <c r="TAQ231" s="514"/>
      <c r="TAR231" s="514"/>
      <c r="TAS231" s="514"/>
      <c r="TAT231" s="514"/>
      <c r="TAU231" s="514"/>
      <c r="TAV231" s="514"/>
      <c r="TAW231" s="514"/>
      <c r="TAX231" s="514"/>
      <c r="TAY231" s="514"/>
      <c r="TAZ231" s="514"/>
      <c r="TBA231" s="514"/>
      <c r="TBB231" s="514"/>
      <c r="TBC231" s="514"/>
      <c r="TBD231" s="514"/>
      <c r="TBE231" s="514"/>
      <c r="TBF231" s="514"/>
      <c r="TBG231" s="514"/>
      <c r="TBH231" s="514"/>
      <c r="TBI231" s="514"/>
      <c r="TBJ231" s="514"/>
      <c r="TBK231" s="514"/>
      <c r="TBL231" s="514"/>
      <c r="TBM231" s="514"/>
      <c r="TBN231" s="514"/>
      <c r="TBO231" s="514"/>
      <c r="TBP231" s="514"/>
      <c r="TBQ231" s="514"/>
      <c r="TBR231" s="514"/>
      <c r="TBS231" s="514"/>
      <c r="TBT231" s="514"/>
      <c r="TBU231" s="514"/>
      <c r="TBV231" s="514"/>
      <c r="TBW231" s="514"/>
      <c r="TBX231" s="514"/>
      <c r="TBY231" s="514"/>
      <c r="TBZ231" s="514"/>
      <c r="TCA231" s="514"/>
      <c r="TCB231" s="514"/>
      <c r="TCC231" s="514"/>
      <c r="TCD231" s="514"/>
      <c r="TCE231" s="514"/>
      <c r="TCF231" s="514"/>
      <c r="TCG231" s="514"/>
      <c r="TCH231" s="514"/>
      <c r="TCI231" s="514"/>
      <c r="TCJ231" s="514"/>
      <c r="TCK231" s="514"/>
      <c r="TCL231" s="514"/>
      <c r="TCM231" s="514"/>
      <c r="TCN231" s="514"/>
      <c r="TCO231" s="514"/>
      <c r="TCP231" s="514"/>
      <c r="TCQ231" s="514"/>
      <c r="TCR231" s="514"/>
      <c r="TCS231" s="514"/>
      <c r="TCT231" s="514"/>
      <c r="TCU231" s="514"/>
      <c r="TCV231" s="514"/>
      <c r="TCW231" s="514"/>
      <c r="TCX231" s="514"/>
      <c r="TCY231" s="514"/>
      <c r="TCZ231" s="514"/>
      <c r="TDA231" s="514"/>
      <c r="TDB231" s="514"/>
      <c r="TDC231" s="514"/>
      <c r="TDD231" s="514"/>
      <c r="TDE231" s="514"/>
      <c r="TDF231" s="514"/>
      <c r="TDG231" s="514"/>
      <c r="TDH231" s="514"/>
      <c r="TDI231" s="514"/>
      <c r="TDJ231" s="514"/>
      <c r="TDK231" s="514"/>
      <c r="TDL231" s="514"/>
      <c r="TDM231" s="514"/>
      <c r="TDN231" s="514"/>
      <c r="TDO231" s="514"/>
      <c r="TDP231" s="514"/>
      <c r="TDQ231" s="514"/>
      <c r="TDR231" s="514"/>
      <c r="TDS231" s="514"/>
      <c r="TDT231" s="514"/>
      <c r="TDU231" s="514"/>
      <c r="TDV231" s="514"/>
      <c r="TDW231" s="514"/>
      <c r="TDX231" s="514"/>
      <c r="TDY231" s="514"/>
      <c r="TDZ231" s="514"/>
      <c r="TEA231" s="514"/>
      <c r="TEB231" s="514"/>
      <c r="TEC231" s="514"/>
      <c r="TED231" s="514"/>
      <c r="TEE231" s="514"/>
      <c r="TEF231" s="514"/>
      <c r="TEG231" s="514"/>
      <c r="TEH231" s="514"/>
      <c r="TEI231" s="514"/>
      <c r="TEJ231" s="514"/>
      <c r="TEK231" s="514"/>
      <c r="TEL231" s="514"/>
      <c r="TEM231" s="514"/>
      <c r="TEN231" s="514"/>
      <c r="TEO231" s="514"/>
      <c r="TEP231" s="514"/>
      <c r="TEQ231" s="514"/>
      <c r="TER231" s="514"/>
      <c r="TES231" s="514"/>
      <c r="TET231" s="514"/>
      <c r="TEU231" s="514"/>
      <c r="TEV231" s="514"/>
      <c r="TEW231" s="514"/>
      <c r="TEX231" s="514"/>
      <c r="TEY231" s="514"/>
      <c r="TEZ231" s="514"/>
      <c r="TFA231" s="514"/>
      <c r="TFB231" s="514"/>
      <c r="TFC231" s="514"/>
      <c r="TFD231" s="514"/>
      <c r="TFE231" s="514"/>
      <c r="TFF231" s="514"/>
      <c r="TFG231" s="514"/>
      <c r="TFH231" s="514"/>
      <c r="TFI231" s="514"/>
      <c r="TFJ231" s="514"/>
      <c r="TFK231" s="514"/>
      <c r="TFL231" s="514"/>
      <c r="TFM231" s="514"/>
      <c r="TFN231" s="514"/>
      <c r="TFO231" s="514"/>
      <c r="TFP231" s="514"/>
      <c r="TFQ231" s="514"/>
      <c r="TFR231" s="514"/>
      <c r="TFS231" s="514"/>
      <c r="TFT231" s="514"/>
      <c r="TFU231" s="514"/>
      <c r="TFV231" s="514"/>
      <c r="TFW231" s="514"/>
      <c r="TFX231" s="514"/>
      <c r="TFY231" s="514"/>
      <c r="TFZ231" s="514"/>
      <c r="TGA231" s="514"/>
      <c r="TGB231" s="514"/>
      <c r="TGC231" s="514"/>
      <c r="TGD231" s="514"/>
      <c r="TGE231" s="514"/>
      <c r="TGF231" s="514"/>
      <c r="TGG231" s="514"/>
      <c r="TGH231" s="514"/>
      <c r="TGI231" s="514"/>
      <c r="TGJ231" s="514"/>
      <c r="TGK231" s="514"/>
      <c r="TGL231" s="514"/>
      <c r="TGM231" s="514"/>
      <c r="TGN231" s="514"/>
      <c r="TGO231" s="514"/>
      <c r="TGP231" s="514"/>
      <c r="TGQ231" s="514"/>
      <c r="TGR231" s="514"/>
      <c r="TGS231" s="514"/>
      <c r="TGT231" s="514"/>
      <c r="TGU231" s="514"/>
      <c r="TGV231" s="514"/>
      <c r="TGW231" s="514"/>
      <c r="TGX231" s="514"/>
      <c r="TGY231" s="514"/>
      <c r="TGZ231" s="514"/>
      <c r="THA231" s="514"/>
      <c r="THB231" s="514"/>
      <c r="THC231" s="514"/>
      <c r="THD231" s="514"/>
      <c r="THE231" s="514"/>
      <c r="THF231" s="514"/>
      <c r="THG231" s="514"/>
      <c r="THH231" s="514"/>
      <c r="THI231" s="514"/>
      <c r="THJ231" s="514"/>
      <c r="THK231" s="514"/>
      <c r="THL231" s="514"/>
      <c r="THM231" s="514"/>
      <c r="THN231" s="514"/>
      <c r="THO231" s="514"/>
      <c r="THP231" s="514"/>
      <c r="THQ231" s="514"/>
      <c r="THR231" s="514"/>
      <c r="THS231" s="514"/>
      <c r="THT231" s="514"/>
      <c r="THU231" s="514"/>
      <c r="THV231" s="514"/>
      <c r="THW231" s="514"/>
      <c r="THX231" s="514"/>
      <c r="THY231" s="514"/>
      <c r="THZ231" s="514"/>
      <c r="TIA231" s="514"/>
      <c r="TIB231" s="514"/>
      <c r="TIC231" s="514"/>
      <c r="TID231" s="514"/>
      <c r="TIE231" s="514"/>
      <c r="TIF231" s="514"/>
      <c r="TIG231" s="514"/>
      <c r="TIH231" s="514"/>
      <c r="TII231" s="514"/>
      <c r="TIJ231" s="514"/>
      <c r="TIK231" s="514"/>
      <c r="TIL231" s="514"/>
      <c r="TIM231" s="514"/>
      <c r="TIN231" s="514"/>
      <c r="TIO231" s="514"/>
      <c r="TIP231" s="514"/>
      <c r="TIQ231" s="514"/>
      <c r="TIR231" s="514"/>
      <c r="TIS231" s="514"/>
      <c r="TIT231" s="514"/>
      <c r="TIU231" s="514"/>
      <c r="TIV231" s="514"/>
      <c r="TIW231" s="514"/>
      <c r="TIX231" s="514"/>
      <c r="TIY231" s="514"/>
      <c r="TIZ231" s="514"/>
      <c r="TJA231" s="514"/>
      <c r="TJB231" s="514"/>
      <c r="TJC231" s="514"/>
      <c r="TJD231" s="514"/>
      <c r="TJE231" s="514"/>
      <c r="TJF231" s="514"/>
      <c r="TJG231" s="514"/>
      <c r="TJH231" s="514"/>
      <c r="TJI231" s="514"/>
      <c r="TJJ231" s="514"/>
      <c r="TJK231" s="514"/>
      <c r="TJL231" s="514"/>
      <c r="TJM231" s="514"/>
      <c r="TJN231" s="514"/>
      <c r="TJO231" s="514"/>
      <c r="TJP231" s="514"/>
      <c r="TJQ231" s="514"/>
      <c r="TJR231" s="514"/>
      <c r="TJS231" s="514"/>
      <c r="TJT231" s="514"/>
      <c r="TJU231" s="514"/>
      <c r="TJV231" s="514"/>
      <c r="TJW231" s="514"/>
      <c r="TJX231" s="514"/>
      <c r="TJY231" s="514"/>
      <c r="TJZ231" s="514"/>
      <c r="TKA231" s="514"/>
      <c r="TKB231" s="514"/>
      <c r="TKC231" s="514"/>
      <c r="TKD231" s="514"/>
      <c r="TKE231" s="514"/>
      <c r="TKF231" s="514"/>
      <c r="TKG231" s="514"/>
      <c r="TKH231" s="514"/>
      <c r="TKI231" s="514"/>
      <c r="TKJ231" s="514"/>
      <c r="TKK231" s="514"/>
      <c r="TKL231" s="514"/>
      <c r="TKM231" s="514"/>
      <c r="TKN231" s="514"/>
      <c r="TKO231" s="514"/>
      <c r="TKP231" s="514"/>
      <c r="TKQ231" s="514"/>
      <c r="TKR231" s="514"/>
      <c r="TKS231" s="514"/>
      <c r="TKT231" s="514"/>
      <c r="TKU231" s="514"/>
      <c r="TKV231" s="514"/>
      <c r="TKW231" s="514"/>
      <c r="TKX231" s="514"/>
      <c r="TKY231" s="514"/>
      <c r="TKZ231" s="514"/>
      <c r="TLA231" s="514"/>
      <c r="TLB231" s="514"/>
      <c r="TLC231" s="514"/>
      <c r="TLD231" s="514"/>
      <c r="TLE231" s="514"/>
      <c r="TLF231" s="514"/>
      <c r="TLG231" s="514"/>
      <c r="TLH231" s="514"/>
      <c r="TLI231" s="514"/>
      <c r="TLJ231" s="514"/>
      <c r="TLK231" s="514"/>
      <c r="TLL231" s="514"/>
      <c r="TLM231" s="514"/>
      <c r="TLN231" s="514"/>
      <c r="TLO231" s="514"/>
      <c r="TLP231" s="514"/>
      <c r="TLQ231" s="514"/>
      <c r="TLR231" s="514"/>
      <c r="TLS231" s="514"/>
      <c r="TLT231" s="514"/>
      <c r="TLU231" s="514"/>
      <c r="TLV231" s="514"/>
      <c r="TLW231" s="514"/>
      <c r="TLX231" s="514"/>
      <c r="TLY231" s="514"/>
      <c r="TLZ231" s="514"/>
      <c r="TMA231" s="514"/>
      <c r="TMB231" s="514"/>
      <c r="TMC231" s="514"/>
      <c r="TMD231" s="514"/>
      <c r="TME231" s="514"/>
      <c r="TMF231" s="514"/>
      <c r="TMG231" s="514"/>
      <c r="TMH231" s="514"/>
      <c r="TMI231" s="514"/>
      <c r="TMJ231" s="514"/>
      <c r="TMK231" s="514"/>
      <c r="TML231" s="514"/>
      <c r="TMM231" s="514"/>
      <c r="TMN231" s="514"/>
      <c r="TMO231" s="514"/>
      <c r="TMP231" s="514"/>
      <c r="TMQ231" s="514"/>
      <c r="TMR231" s="514"/>
      <c r="TMS231" s="514"/>
      <c r="TMT231" s="514"/>
      <c r="TMU231" s="514"/>
      <c r="TMV231" s="514"/>
      <c r="TMW231" s="514"/>
      <c r="TMX231" s="514"/>
      <c r="TMY231" s="514"/>
      <c r="TMZ231" s="514"/>
      <c r="TNA231" s="514"/>
      <c r="TNB231" s="514"/>
      <c r="TNC231" s="514"/>
      <c r="TND231" s="514"/>
      <c r="TNE231" s="514"/>
      <c r="TNF231" s="514"/>
      <c r="TNG231" s="514"/>
      <c r="TNH231" s="514"/>
      <c r="TNI231" s="514"/>
      <c r="TNJ231" s="514"/>
      <c r="TNK231" s="514"/>
      <c r="TNL231" s="514"/>
      <c r="TNM231" s="514"/>
      <c r="TNN231" s="514"/>
      <c r="TNO231" s="514"/>
      <c r="TNP231" s="514"/>
      <c r="TNQ231" s="514"/>
      <c r="TNR231" s="514"/>
      <c r="TNS231" s="514"/>
      <c r="TNT231" s="514"/>
      <c r="TNU231" s="514"/>
      <c r="TNV231" s="514"/>
      <c r="TNW231" s="514"/>
      <c r="TNX231" s="514"/>
      <c r="TNY231" s="514"/>
      <c r="TNZ231" s="514"/>
      <c r="TOA231" s="514"/>
      <c r="TOB231" s="514"/>
      <c r="TOC231" s="514"/>
      <c r="TOD231" s="514"/>
      <c r="TOE231" s="514"/>
      <c r="TOF231" s="514"/>
      <c r="TOG231" s="514"/>
      <c r="TOH231" s="514"/>
      <c r="TOI231" s="514"/>
      <c r="TOJ231" s="514"/>
      <c r="TOK231" s="514"/>
      <c r="TOL231" s="514"/>
      <c r="TOM231" s="514"/>
      <c r="TON231" s="514"/>
      <c r="TOO231" s="514"/>
      <c r="TOP231" s="514"/>
      <c r="TOQ231" s="514"/>
      <c r="TOR231" s="514"/>
      <c r="TOS231" s="514"/>
      <c r="TOT231" s="514"/>
      <c r="TOU231" s="514"/>
      <c r="TOV231" s="514"/>
      <c r="TOW231" s="514"/>
      <c r="TOX231" s="514"/>
      <c r="TOY231" s="514"/>
      <c r="TOZ231" s="514"/>
      <c r="TPA231" s="514"/>
      <c r="TPB231" s="514"/>
      <c r="TPC231" s="514"/>
      <c r="TPD231" s="514"/>
      <c r="TPE231" s="514"/>
      <c r="TPF231" s="514"/>
      <c r="TPG231" s="514"/>
      <c r="TPH231" s="514"/>
      <c r="TPI231" s="514"/>
      <c r="TPJ231" s="514"/>
      <c r="TPK231" s="514"/>
      <c r="TPL231" s="514"/>
      <c r="TPM231" s="514"/>
      <c r="TPN231" s="514"/>
      <c r="TPO231" s="514"/>
      <c r="TPP231" s="514"/>
      <c r="TPQ231" s="514"/>
      <c r="TPR231" s="514"/>
      <c r="TPS231" s="514"/>
      <c r="TPT231" s="514"/>
      <c r="TPU231" s="514"/>
      <c r="TPV231" s="514"/>
      <c r="TPW231" s="514"/>
      <c r="TPX231" s="514"/>
      <c r="TPY231" s="514"/>
      <c r="TPZ231" s="514"/>
      <c r="TQA231" s="514"/>
      <c r="TQB231" s="514"/>
      <c r="TQC231" s="514"/>
      <c r="TQD231" s="514"/>
      <c r="TQE231" s="514"/>
      <c r="TQF231" s="514"/>
      <c r="TQG231" s="514"/>
      <c r="TQH231" s="514"/>
      <c r="TQI231" s="514"/>
      <c r="TQJ231" s="514"/>
      <c r="TQK231" s="514"/>
      <c r="TQL231" s="514"/>
      <c r="TQM231" s="514"/>
      <c r="TQN231" s="514"/>
      <c r="TQO231" s="514"/>
      <c r="TQP231" s="514"/>
      <c r="TQQ231" s="514"/>
      <c r="TQR231" s="514"/>
      <c r="TQS231" s="514"/>
      <c r="TQT231" s="514"/>
      <c r="TQU231" s="514"/>
      <c r="TQV231" s="514"/>
      <c r="TQW231" s="514"/>
      <c r="TQX231" s="514"/>
      <c r="TQY231" s="514"/>
      <c r="TQZ231" s="514"/>
      <c r="TRA231" s="514"/>
      <c r="TRB231" s="514"/>
      <c r="TRC231" s="514"/>
      <c r="TRD231" s="514"/>
      <c r="TRE231" s="514"/>
      <c r="TRF231" s="514"/>
      <c r="TRG231" s="514"/>
      <c r="TRH231" s="514"/>
      <c r="TRI231" s="514"/>
      <c r="TRJ231" s="514"/>
      <c r="TRK231" s="514"/>
      <c r="TRL231" s="514"/>
      <c r="TRM231" s="514"/>
      <c r="TRN231" s="514"/>
      <c r="TRO231" s="514"/>
      <c r="TRP231" s="514"/>
      <c r="TRQ231" s="514"/>
      <c r="TRR231" s="514"/>
      <c r="TRS231" s="514"/>
      <c r="TRT231" s="514"/>
      <c r="TRU231" s="514"/>
      <c r="TRV231" s="514"/>
      <c r="TRW231" s="514"/>
      <c r="TRX231" s="514"/>
      <c r="TRY231" s="514"/>
      <c r="TRZ231" s="514"/>
      <c r="TSA231" s="514"/>
      <c r="TSB231" s="514"/>
      <c r="TSC231" s="514"/>
      <c r="TSD231" s="514"/>
      <c r="TSE231" s="514"/>
      <c r="TSF231" s="514"/>
      <c r="TSG231" s="514"/>
      <c r="TSH231" s="514"/>
      <c r="TSI231" s="514"/>
      <c r="TSJ231" s="514"/>
      <c r="TSK231" s="514"/>
      <c r="TSL231" s="514"/>
      <c r="TSM231" s="514"/>
      <c r="TSN231" s="514"/>
      <c r="TSO231" s="514"/>
      <c r="TSP231" s="514"/>
      <c r="TSQ231" s="514"/>
      <c r="TSR231" s="514"/>
      <c r="TSS231" s="514"/>
      <c r="TST231" s="514"/>
      <c r="TSU231" s="514"/>
      <c r="TSV231" s="514"/>
      <c r="TSW231" s="514"/>
      <c r="TSX231" s="514"/>
      <c r="TSY231" s="514"/>
      <c r="TSZ231" s="514"/>
      <c r="TTA231" s="514"/>
      <c r="TTB231" s="514"/>
      <c r="TTC231" s="514"/>
      <c r="TTD231" s="514"/>
      <c r="TTE231" s="514"/>
      <c r="TTF231" s="514"/>
      <c r="TTG231" s="514"/>
      <c r="TTH231" s="514"/>
      <c r="TTI231" s="514"/>
      <c r="TTJ231" s="514"/>
      <c r="TTK231" s="514"/>
      <c r="TTL231" s="514"/>
      <c r="TTM231" s="514"/>
      <c r="TTN231" s="514"/>
      <c r="TTO231" s="514"/>
      <c r="TTP231" s="514"/>
      <c r="TTQ231" s="514"/>
      <c r="TTR231" s="514"/>
      <c r="TTS231" s="514"/>
      <c r="TTT231" s="514"/>
      <c r="TTU231" s="514"/>
      <c r="TTV231" s="514"/>
      <c r="TTW231" s="514"/>
      <c r="TTX231" s="514"/>
      <c r="TTY231" s="514"/>
      <c r="TTZ231" s="514"/>
      <c r="TUA231" s="514"/>
      <c r="TUB231" s="514"/>
      <c r="TUC231" s="514"/>
      <c r="TUD231" s="514"/>
      <c r="TUE231" s="514"/>
      <c r="TUF231" s="514"/>
      <c r="TUG231" s="514"/>
      <c r="TUH231" s="514"/>
      <c r="TUI231" s="514"/>
      <c r="TUJ231" s="514"/>
      <c r="TUK231" s="514"/>
      <c r="TUL231" s="514"/>
      <c r="TUM231" s="514"/>
      <c r="TUN231" s="514"/>
      <c r="TUO231" s="514"/>
      <c r="TUP231" s="514"/>
      <c r="TUQ231" s="514"/>
      <c r="TUR231" s="514"/>
      <c r="TUS231" s="514"/>
      <c r="TUT231" s="514"/>
      <c r="TUU231" s="514"/>
      <c r="TUV231" s="514"/>
      <c r="TUW231" s="514"/>
      <c r="TUX231" s="514"/>
      <c r="TUY231" s="514"/>
      <c r="TUZ231" s="514"/>
      <c r="TVA231" s="514"/>
      <c r="TVB231" s="514"/>
      <c r="TVC231" s="514"/>
      <c r="TVD231" s="514"/>
      <c r="TVE231" s="514"/>
      <c r="TVF231" s="514"/>
      <c r="TVG231" s="514"/>
      <c r="TVH231" s="514"/>
      <c r="TVI231" s="514"/>
      <c r="TVJ231" s="514"/>
      <c r="TVK231" s="514"/>
      <c r="TVL231" s="514"/>
      <c r="TVM231" s="514"/>
      <c r="TVN231" s="514"/>
      <c r="TVO231" s="514"/>
      <c r="TVP231" s="514"/>
      <c r="TVQ231" s="514"/>
      <c r="TVR231" s="514"/>
      <c r="TVS231" s="514"/>
      <c r="TVT231" s="514"/>
      <c r="TVU231" s="514"/>
      <c r="TVV231" s="514"/>
      <c r="TVW231" s="514"/>
      <c r="TVX231" s="514"/>
      <c r="TVY231" s="514"/>
      <c r="TVZ231" s="514"/>
      <c r="TWA231" s="514"/>
      <c r="TWB231" s="514"/>
      <c r="TWC231" s="514"/>
      <c r="TWD231" s="514"/>
      <c r="TWE231" s="514"/>
      <c r="TWF231" s="514"/>
      <c r="TWG231" s="514"/>
      <c r="TWH231" s="514"/>
      <c r="TWI231" s="514"/>
      <c r="TWJ231" s="514"/>
      <c r="TWK231" s="514"/>
      <c r="TWL231" s="514"/>
      <c r="TWM231" s="514"/>
      <c r="TWN231" s="514"/>
      <c r="TWO231" s="514"/>
      <c r="TWP231" s="514"/>
      <c r="TWQ231" s="514"/>
      <c r="TWR231" s="514"/>
      <c r="TWS231" s="514"/>
      <c r="TWT231" s="514"/>
      <c r="TWU231" s="514"/>
      <c r="TWV231" s="514"/>
      <c r="TWW231" s="514"/>
      <c r="TWX231" s="514"/>
      <c r="TWY231" s="514"/>
      <c r="TWZ231" s="514"/>
      <c r="TXA231" s="514"/>
      <c r="TXB231" s="514"/>
      <c r="TXC231" s="514"/>
      <c r="TXD231" s="514"/>
      <c r="TXE231" s="514"/>
      <c r="TXF231" s="514"/>
      <c r="TXG231" s="514"/>
      <c r="TXH231" s="514"/>
      <c r="TXI231" s="514"/>
      <c r="TXJ231" s="514"/>
      <c r="TXK231" s="514"/>
      <c r="TXL231" s="514"/>
      <c r="TXM231" s="514"/>
      <c r="TXN231" s="514"/>
      <c r="TXO231" s="514"/>
      <c r="TXP231" s="514"/>
      <c r="TXQ231" s="514"/>
      <c r="TXR231" s="514"/>
      <c r="TXS231" s="514"/>
      <c r="TXT231" s="514"/>
      <c r="TXU231" s="514"/>
      <c r="TXV231" s="514"/>
      <c r="TXW231" s="514"/>
      <c r="TXX231" s="514"/>
      <c r="TXY231" s="514"/>
      <c r="TXZ231" s="514"/>
      <c r="TYA231" s="514"/>
      <c r="TYB231" s="514"/>
      <c r="TYC231" s="514"/>
      <c r="TYD231" s="514"/>
      <c r="TYE231" s="514"/>
      <c r="TYF231" s="514"/>
      <c r="TYG231" s="514"/>
      <c r="TYH231" s="514"/>
      <c r="TYI231" s="514"/>
      <c r="TYJ231" s="514"/>
      <c r="TYK231" s="514"/>
      <c r="TYL231" s="514"/>
      <c r="TYM231" s="514"/>
      <c r="TYN231" s="514"/>
      <c r="TYO231" s="514"/>
      <c r="TYP231" s="514"/>
      <c r="TYQ231" s="514"/>
      <c r="TYR231" s="514"/>
      <c r="TYS231" s="514"/>
      <c r="TYT231" s="514"/>
      <c r="TYU231" s="514"/>
      <c r="TYV231" s="514"/>
      <c r="TYW231" s="514"/>
      <c r="TYX231" s="514"/>
      <c r="TYY231" s="514"/>
      <c r="TYZ231" s="514"/>
      <c r="TZA231" s="514"/>
      <c r="TZB231" s="514"/>
      <c r="TZC231" s="514"/>
      <c r="TZD231" s="514"/>
      <c r="TZE231" s="514"/>
      <c r="TZF231" s="514"/>
      <c r="TZG231" s="514"/>
      <c r="TZH231" s="514"/>
      <c r="TZI231" s="514"/>
      <c r="TZJ231" s="514"/>
      <c r="TZK231" s="514"/>
      <c r="TZL231" s="514"/>
      <c r="TZM231" s="514"/>
      <c r="TZN231" s="514"/>
      <c r="TZO231" s="514"/>
      <c r="TZP231" s="514"/>
      <c r="TZQ231" s="514"/>
      <c r="TZR231" s="514"/>
      <c r="TZS231" s="514"/>
      <c r="TZT231" s="514"/>
      <c r="TZU231" s="514"/>
      <c r="TZV231" s="514"/>
      <c r="TZW231" s="514"/>
      <c r="TZX231" s="514"/>
      <c r="TZY231" s="514"/>
      <c r="TZZ231" s="514"/>
      <c r="UAA231" s="514"/>
      <c r="UAB231" s="514"/>
      <c r="UAC231" s="514"/>
      <c r="UAD231" s="514"/>
      <c r="UAE231" s="514"/>
      <c r="UAF231" s="514"/>
      <c r="UAG231" s="514"/>
      <c r="UAH231" s="514"/>
      <c r="UAI231" s="514"/>
      <c r="UAJ231" s="514"/>
      <c r="UAK231" s="514"/>
      <c r="UAL231" s="514"/>
      <c r="UAM231" s="514"/>
      <c r="UAN231" s="514"/>
      <c r="UAO231" s="514"/>
      <c r="UAP231" s="514"/>
      <c r="UAQ231" s="514"/>
      <c r="UAR231" s="514"/>
      <c r="UAS231" s="514"/>
      <c r="UAT231" s="514"/>
      <c r="UAU231" s="514"/>
      <c r="UAV231" s="514"/>
      <c r="UAW231" s="514"/>
      <c r="UAX231" s="514"/>
      <c r="UAY231" s="514"/>
      <c r="UAZ231" s="514"/>
      <c r="UBA231" s="514"/>
      <c r="UBB231" s="514"/>
      <c r="UBC231" s="514"/>
      <c r="UBD231" s="514"/>
      <c r="UBE231" s="514"/>
      <c r="UBF231" s="514"/>
      <c r="UBG231" s="514"/>
      <c r="UBH231" s="514"/>
      <c r="UBI231" s="514"/>
      <c r="UBJ231" s="514"/>
      <c r="UBK231" s="514"/>
      <c r="UBL231" s="514"/>
      <c r="UBM231" s="514"/>
      <c r="UBN231" s="514"/>
      <c r="UBO231" s="514"/>
      <c r="UBP231" s="514"/>
      <c r="UBQ231" s="514"/>
      <c r="UBR231" s="514"/>
      <c r="UBS231" s="514"/>
      <c r="UBT231" s="514"/>
      <c r="UBU231" s="514"/>
      <c r="UBV231" s="514"/>
      <c r="UBW231" s="514"/>
      <c r="UBX231" s="514"/>
      <c r="UBY231" s="514"/>
      <c r="UBZ231" s="514"/>
      <c r="UCA231" s="514"/>
      <c r="UCB231" s="514"/>
      <c r="UCC231" s="514"/>
      <c r="UCD231" s="514"/>
      <c r="UCE231" s="514"/>
      <c r="UCF231" s="514"/>
      <c r="UCG231" s="514"/>
      <c r="UCH231" s="514"/>
      <c r="UCI231" s="514"/>
      <c r="UCJ231" s="514"/>
      <c r="UCK231" s="514"/>
      <c r="UCL231" s="514"/>
      <c r="UCM231" s="514"/>
      <c r="UCN231" s="514"/>
      <c r="UCO231" s="514"/>
      <c r="UCP231" s="514"/>
      <c r="UCQ231" s="514"/>
      <c r="UCR231" s="514"/>
      <c r="UCS231" s="514"/>
      <c r="UCT231" s="514"/>
      <c r="UCU231" s="514"/>
      <c r="UCV231" s="514"/>
      <c r="UCW231" s="514"/>
      <c r="UCX231" s="514"/>
      <c r="UCY231" s="514"/>
      <c r="UCZ231" s="514"/>
      <c r="UDA231" s="514"/>
      <c r="UDB231" s="514"/>
      <c r="UDC231" s="514"/>
      <c r="UDD231" s="514"/>
      <c r="UDE231" s="514"/>
      <c r="UDF231" s="514"/>
      <c r="UDG231" s="514"/>
      <c r="UDH231" s="514"/>
      <c r="UDI231" s="514"/>
      <c r="UDJ231" s="514"/>
      <c r="UDK231" s="514"/>
      <c r="UDL231" s="514"/>
      <c r="UDM231" s="514"/>
      <c r="UDN231" s="514"/>
      <c r="UDO231" s="514"/>
      <c r="UDP231" s="514"/>
      <c r="UDQ231" s="514"/>
      <c r="UDR231" s="514"/>
      <c r="UDS231" s="514"/>
      <c r="UDT231" s="514"/>
      <c r="UDU231" s="514"/>
      <c r="UDV231" s="514"/>
      <c r="UDW231" s="514"/>
      <c r="UDX231" s="514"/>
      <c r="UDY231" s="514"/>
      <c r="UDZ231" s="514"/>
      <c r="UEA231" s="514"/>
      <c r="UEB231" s="514"/>
      <c r="UEC231" s="514"/>
      <c r="UED231" s="514"/>
      <c r="UEE231" s="514"/>
      <c r="UEF231" s="514"/>
      <c r="UEG231" s="514"/>
      <c r="UEH231" s="514"/>
      <c r="UEI231" s="514"/>
      <c r="UEJ231" s="514"/>
      <c r="UEK231" s="514"/>
      <c r="UEL231" s="514"/>
      <c r="UEM231" s="514"/>
      <c r="UEN231" s="514"/>
      <c r="UEO231" s="514"/>
      <c r="UEP231" s="514"/>
      <c r="UEQ231" s="514"/>
      <c r="UER231" s="514"/>
      <c r="UES231" s="514"/>
      <c r="UET231" s="514"/>
      <c r="UEU231" s="514"/>
      <c r="UEV231" s="514"/>
      <c r="UEW231" s="514"/>
      <c r="UEX231" s="514"/>
      <c r="UEY231" s="514"/>
      <c r="UEZ231" s="514"/>
      <c r="UFA231" s="514"/>
      <c r="UFB231" s="514"/>
      <c r="UFC231" s="514"/>
      <c r="UFD231" s="514"/>
      <c r="UFE231" s="514"/>
      <c r="UFF231" s="514"/>
      <c r="UFG231" s="514"/>
      <c r="UFH231" s="514"/>
      <c r="UFI231" s="514"/>
      <c r="UFJ231" s="514"/>
      <c r="UFK231" s="514"/>
      <c r="UFL231" s="514"/>
      <c r="UFM231" s="514"/>
      <c r="UFN231" s="514"/>
      <c r="UFO231" s="514"/>
      <c r="UFP231" s="514"/>
      <c r="UFQ231" s="514"/>
      <c r="UFR231" s="514"/>
      <c r="UFS231" s="514"/>
      <c r="UFT231" s="514"/>
      <c r="UFU231" s="514"/>
      <c r="UFV231" s="514"/>
      <c r="UFW231" s="514"/>
      <c r="UFX231" s="514"/>
      <c r="UFY231" s="514"/>
      <c r="UFZ231" s="514"/>
      <c r="UGA231" s="514"/>
      <c r="UGB231" s="514"/>
      <c r="UGC231" s="514"/>
      <c r="UGD231" s="514"/>
      <c r="UGE231" s="514"/>
      <c r="UGF231" s="514"/>
      <c r="UGG231" s="514"/>
      <c r="UGH231" s="514"/>
      <c r="UGI231" s="514"/>
      <c r="UGJ231" s="514"/>
      <c r="UGK231" s="514"/>
      <c r="UGL231" s="514"/>
      <c r="UGM231" s="514"/>
      <c r="UGN231" s="514"/>
      <c r="UGO231" s="514"/>
      <c r="UGP231" s="514"/>
      <c r="UGQ231" s="514"/>
      <c r="UGR231" s="514"/>
      <c r="UGS231" s="514"/>
      <c r="UGT231" s="514"/>
      <c r="UGU231" s="514"/>
      <c r="UGV231" s="514"/>
      <c r="UGW231" s="514"/>
      <c r="UGX231" s="514"/>
      <c r="UGY231" s="514"/>
      <c r="UGZ231" s="514"/>
      <c r="UHA231" s="514"/>
      <c r="UHB231" s="514"/>
      <c r="UHC231" s="514"/>
      <c r="UHD231" s="514"/>
      <c r="UHE231" s="514"/>
      <c r="UHF231" s="514"/>
      <c r="UHG231" s="514"/>
      <c r="UHH231" s="514"/>
      <c r="UHI231" s="514"/>
      <c r="UHJ231" s="514"/>
      <c r="UHK231" s="514"/>
      <c r="UHL231" s="514"/>
      <c r="UHM231" s="514"/>
      <c r="UHN231" s="514"/>
      <c r="UHO231" s="514"/>
      <c r="UHP231" s="514"/>
      <c r="UHQ231" s="514"/>
      <c r="UHR231" s="514"/>
      <c r="UHS231" s="514"/>
      <c r="UHT231" s="514"/>
      <c r="UHU231" s="514"/>
      <c r="UHV231" s="514"/>
      <c r="UHW231" s="514"/>
      <c r="UHX231" s="514"/>
      <c r="UHY231" s="514"/>
      <c r="UHZ231" s="514"/>
      <c r="UIA231" s="514"/>
      <c r="UIB231" s="514"/>
      <c r="UIC231" s="514"/>
      <c r="UID231" s="514"/>
      <c r="UIE231" s="514"/>
      <c r="UIF231" s="514"/>
      <c r="UIG231" s="514"/>
      <c r="UIH231" s="514"/>
      <c r="UII231" s="514"/>
      <c r="UIJ231" s="514"/>
      <c r="UIK231" s="514"/>
      <c r="UIL231" s="514"/>
      <c r="UIM231" s="514"/>
      <c r="UIN231" s="514"/>
      <c r="UIO231" s="514"/>
      <c r="UIP231" s="514"/>
      <c r="UIQ231" s="514"/>
      <c r="UIR231" s="514"/>
      <c r="UIS231" s="514"/>
      <c r="UIT231" s="514"/>
      <c r="UIU231" s="514"/>
      <c r="UIV231" s="514"/>
      <c r="UIW231" s="514"/>
      <c r="UIX231" s="514"/>
      <c r="UIY231" s="514"/>
      <c r="UIZ231" s="514"/>
      <c r="UJA231" s="514"/>
      <c r="UJB231" s="514"/>
      <c r="UJC231" s="514"/>
      <c r="UJD231" s="514"/>
      <c r="UJE231" s="514"/>
      <c r="UJF231" s="514"/>
      <c r="UJG231" s="514"/>
      <c r="UJH231" s="514"/>
      <c r="UJI231" s="514"/>
      <c r="UJJ231" s="514"/>
      <c r="UJK231" s="514"/>
      <c r="UJL231" s="514"/>
      <c r="UJM231" s="514"/>
      <c r="UJN231" s="514"/>
      <c r="UJO231" s="514"/>
      <c r="UJP231" s="514"/>
      <c r="UJQ231" s="514"/>
      <c r="UJR231" s="514"/>
      <c r="UJS231" s="514"/>
      <c r="UJT231" s="514"/>
      <c r="UJU231" s="514"/>
      <c r="UJV231" s="514"/>
      <c r="UJW231" s="514"/>
      <c r="UJX231" s="514"/>
      <c r="UJY231" s="514"/>
      <c r="UJZ231" s="514"/>
      <c r="UKA231" s="514"/>
      <c r="UKB231" s="514"/>
      <c r="UKC231" s="514"/>
      <c r="UKD231" s="514"/>
      <c r="UKE231" s="514"/>
      <c r="UKF231" s="514"/>
      <c r="UKG231" s="514"/>
      <c r="UKH231" s="514"/>
      <c r="UKI231" s="514"/>
      <c r="UKJ231" s="514"/>
      <c r="UKK231" s="514"/>
      <c r="UKL231" s="514"/>
      <c r="UKM231" s="514"/>
      <c r="UKN231" s="514"/>
      <c r="UKO231" s="514"/>
      <c r="UKP231" s="514"/>
      <c r="UKQ231" s="514"/>
      <c r="UKR231" s="514"/>
      <c r="UKS231" s="514"/>
      <c r="UKT231" s="514"/>
      <c r="UKU231" s="514"/>
      <c r="UKV231" s="514"/>
      <c r="UKW231" s="514"/>
      <c r="UKX231" s="514"/>
      <c r="UKY231" s="514"/>
      <c r="UKZ231" s="514"/>
      <c r="ULA231" s="514"/>
      <c r="ULB231" s="514"/>
      <c r="ULC231" s="514"/>
      <c r="ULD231" s="514"/>
      <c r="ULE231" s="514"/>
      <c r="ULF231" s="514"/>
      <c r="ULG231" s="514"/>
      <c r="ULH231" s="514"/>
      <c r="ULI231" s="514"/>
      <c r="ULJ231" s="514"/>
      <c r="ULK231" s="514"/>
      <c r="ULL231" s="514"/>
      <c r="ULM231" s="514"/>
      <c r="ULN231" s="514"/>
      <c r="ULO231" s="514"/>
      <c r="ULP231" s="514"/>
      <c r="ULQ231" s="514"/>
      <c r="ULR231" s="514"/>
      <c r="ULS231" s="514"/>
      <c r="ULT231" s="514"/>
      <c r="ULU231" s="514"/>
      <c r="ULV231" s="514"/>
      <c r="ULW231" s="514"/>
      <c r="ULX231" s="514"/>
      <c r="ULY231" s="514"/>
      <c r="ULZ231" s="514"/>
      <c r="UMA231" s="514"/>
      <c r="UMB231" s="514"/>
      <c r="UMC231" s="514"/>
      <c r="UMD231" s="514"/>
      <c r="UME231" s="514"/>
      <c r="UMF231" s="514"/>
      <c r="UMG231" s="514"/>
      <c r="UMH231" s="514"/>
      <c r="UMI231" s="514"/>
      <c r="UMJ231" s="514"/>
      <c r="UMK231" s="514"/>
      <c r="UML231" s="514"/>
      <c r="UMM231" s="514"/>
      <c r="UMN231" s="514"/>
      <c r="UMO231" s="514"/>
      <c r="UMP231" s="514"/>
      <c r="UMQ231" s="514"/>
      <c r="UMR231" s="514"/>
      <c r="UMS231" s="514"/>
      <c r="UMT231" s="514"/>
      <c r="UMU231" s="514"/>
      <c r="UMV231" s="514"/>
      <c r="UMW231" s="514"/>
      <c r="UMX231" s="514"/>
      <c r="UMY231" s="514"/>
      <c r="UMZ231" s="514"/>
      <c r="UNA231" s="514"/>
      <c r="UNB231" s="514"/>
      <c r="UNC231" s="514"/>
      <c r="UND231" s="514"/>
      <c r="UNE231" s="514"/>
      <c r="UNF231" s="514"/>
      <c r="UNG231" s="514"/>
      <c r="UNH231" s="514"/>
      <c r="UNI231" s="514"/>
      <c r="UNJ231" s="514"/>
      <c r="UNK231" s="514"/>
      <c r="UNL231" s="514"/>
      <c r="UNM231" s="514"/>
      <c r="UNN231" s="514"/>
      <c r="UNO231" s="514"/>
      <c r="UNP231" s="514"/>
      <c r="UNQ231" s="514"/>
      <c r="UNR231" s="514"/>
      <c r="UNS231" s="514"/>
      <c r="UNT231" s="514"/>
      <c r="UNU231" s="514"/>
      <c r="UNV231" s="514"/>
      <c r="UNW231" s="514"/>
      <c r="UNX231" s="514"/>
      <c r="UNY231" s="514"/>
      <c r="UNZ231" s="514"/>
      <c r="UOA231" s="514"/>
      <c r="UOB231" s="514"/>
      <c r="UOC231" s="514"/>
      <c r="UOD231" s="514"/>
      <c r="UOE231" s="514"/>
      <c r="UOF231" s="514"/>
      <c r="UOG231" s="514"/>
      <c r="UOH231" s="514"/>
      <c r="UOI231" s="514"/>
      <c r="UOJ231" s="514"/>
      <c r="UOK231" s="514"/>
      <c r="UOL231" s="514"/>
      <c r="UOM231" s="514"/>
      <c r="UON231" s="514"/>
      <c r="UOO231" s="514"/>
      <c r="UOP231" s="514"/>
      <c r="UOQ231" s="514"/>
      <c r="UOR231" s="514"/>
      <c r="UOS231" s="514"/>
      <c r="UOT231" s="514"/>
      <c r="UOU231" s="514"/>
      <c r="UOV231" s="514"/>
      <c r="UOW231" s="514"/>
      <c r="UOX231" s="514"/>
      <c r="UOY231" s="514"/>
      <c r="UOZ231" s="514"/>
      <c r="UPA231" s="514"/>
      <c r="UPB231" s="514"/>
      <c r="UPC231" s="514"/>
      <c r="UPD231" s="514"/>
      <c r="UPE231" s="514"/>
      <c r="UPF231" s="514"/>
      <c r="UPG231" s="514"/>
      <c r="UPH231" s="514"/>
      <c r="UPI231" s="514"/>
      <c r="UPJ231" s="514"/>
      <c r="UPK231" s="514"/>
      <c r="UPL231" s="514"/>
      <c r="UPM231" s="514"/>
      <c r="UPN231" s="514"/>
      <c r="UPO231" s="514"/>
      <c r="UPP231" s="514"/>
      <c r="UPQ231" s="514"/>
      <c r="UPR231" s="514"/>
      <c r="UPS231" s="514"/>
      <c r="UPT231" s="514"/>
      <c r="UPU231" s="514"/>
      <c r="UPV231" s="514"/>
      <c r="UPW231" s="514"/>
      <c r="UPX231" s="514"/>
      <c r="UPY231" s="514"/>
      <c r="UPZ231" s="514"/>
      <c r="UQA231" s="514"/>
      <c r="UQB231" s="514"/>
      <c r="UQC231" s="514"/>
      <c r="UQD231" s="514"/>
      <c r="UQE231" s="514"/>
      <c r="UQF231" s="514"/>
      <c r="UQG231" s="514"/>
      <c r="UQH231" s="514"/>
      <c r="UQI231" s="514"/>
      <c r="UQJ231" s="514"/>
      <c r="UQK231" s="514"/>
      <c r="UQL231" s="514"/>
      <c r="UQM231" s="514"/>
      <c r="UQN231" s="514"/>
      <c r="UQO231" s="514"/>
      <c r="UQP231" s="514"/>
      <c r="UQQ231" s="514"/>
      <c r="UQR231" s="514"/>
      <c r="UQS231" s="514"/>
      <c r="UQT231" s="514"/>
      <c r="UQU231" s="514"/>
      <c r="UQV231" s="514"/>
      <c r="UQW231" s="514"/>
      <c r="UQX231" s="514"/>
      <c r="UQY231" s="514"/>
      <c r="UQZ231" s="514"/>
      <c r="URA231" s="514"/>
      <c r="URB231" s="514"/>
      <c r="URC231" s="514"/>
      <c r="URD231" s="514"/>
      <c r="URE231" s="514"/>
      <c r="URF231" s="514"/>
      <c r="URG231" s="514"/>
      <c r="URH231" s="514"/>
      <c r="URI231" s="514"/>
      <c r="URJ231" s="514"/>
      <c r="URK231" s="514"/>
      <c r="URL231" s="514"/>
      <c r="URM231" s="514"/>
      <c r="URN231" s="514"/>
      <c r="URO231" s="514"/>
      <c r="URP231" s="514"/>
      <c r="URQ231" s="514"/>
      <c r="URR231" s="514"/>
      <c r="URS231" s="514"/>
      <c r="URT231" s="514"/>
      <c r="URU231" s="514"/>
      <c r="URV231" s="514"/>
      <c r="URW231" s="514"/>
      <c r="URX231" s="514"/>
      <c r="URY231" s="514"/>
      <c r="URZ231" s="514"/>
      <c r="USA231" s="514"/>
      <c r="USB231" s="514"/>
      <c r="USC231" s="514"/>
      <c r="USD231" s="514"/>
      <c r="USE231" s="514"/>
      <c r="USF231" s="514"/>
      <c r="USG231" s="514"/>
      <c r="USH231" s="514"/>
      <c r="USI231" s="514"/>
      <c r="USJ231" s="514"/>
      <c r="USK231" s="514"/>
      <c r="USL231" s="514"/>
      <c r="USM231" s="514"/>
      <c r="USN231" s="514"/>
      <c r="USO231" s="514"/>
      <c r="USP231" s="514"/>
      <c r="USQ231" s="514"/>
      <c r="USR231" s="514"/>
      <c r="USS231" s="514"/>
      <c r="UST231" s="514"/>
      <c r="USU231" s="514"/>
      <c r="USV231" s="514"/>
      <c r="USW231" s="514"/>
      <c r="USX231" s="514"/>
      <c r="USY231" s="514"/>
      <c r="USZ231" s="514"/>
      <c r="UTA231" s="514"/>
      <c r="UTB231" s="514"/>
      <c r="UTC231" s="514"/>
      <c r="UTD231" s="514"/>
      <c r="UTE231" s="514"/>
      <c r="UTF231" s="514"/>
      <c r="UTG231" s="514"/>
      <c r="UTH231" s="514"/>
      <c r="UTI231" s="514"/>
      <c r="UTJ231" s="514"/>
      <c r="UTK231" s="514"/>
      <c r="UTL231" s="514"/>
      <c r="UTM231" s="514"/>
      <c r="UTN231" s="514"/>
      <c r="UTO231" s="514"/>
      <c r="UTP231" s="514"/>
      <c r="UTQ231" s="514"/>
      <c r="UTR231" s="514"/>
      <c r="UTS231" s="514"/>
      <c r="UTT231" s="514"/>
      <c r="UTU231" s="514"/>
      <c r="UTV231" s="514"/>
      <c r="UTW231" s="514"/>
      <c r="UTX231" s="514"/>
      <c r="UTY231" s="514"/>
      <c r="UTZ231" s="514"/>
      <c r="UUA231" s="514"/>
      <c r="UUB231" s="514"/>
      <c r="UUC231" s="514"/>
      <c r="UUD231" s="514"/>
      <c r="UUE231" s="514"/>
      <c r="UUF231" s="514"/>
      <c r="UUG231" s="514"/>
      <c r="UUH231" s="514"/>
      <c r="UUI231" s="514"/>
      <c r="UUJ231" s="514"/>
      <c r="UUK231" s="514"/>
      <c r="UUL231" s="514"/>
      <c r="UUM231" s="514"/>
      <c r="UUN231" s="514"/>
      <c r="UUO231" s="514"/>
      <c r="UUP231" s="514"/>
      <c r="UUQ231" s="514"/>
      <c r="UUR231" s="514"/>
      <c r="UUS231" s="514"/>
      <c r="UUT231" s="514"/>
      <c r="UUU231" s="514"/>
      <c r="UUV231" s="514"/>
      <c r="UUW231" s="514"/>
      <c r="UUX231" s="514"/>
      <c r="UUY231" s="514"/>
      <c r="UUZ231" s="514"/>
      <c r="UVA231" s="514"/>
      <c r="UVB231" s="514"/>
      <c r="UVC231" s="514"/>
      <c r="UVD231" s="514"/>
      <c r="UVE231" s="514"/>
      <c r="UVF231" s="514"/>
      <c r="UVG231" s="514"/>
      <c r="UVH231" s="514"/>
      <c r="UVI231" s="514"/>
      <c r="UVJ231" s="514"/>
      <c r="UVK231" s="514"/>
      <c r="UVL231" s="514"/>
      <c r="UVM231" s="514"/>
      <c r="UVN231" s="514"/>
      <c r="UVO231" s="514"/>
      <c r="UVP231" s="514"/>
      <c r="UVQ231" s="514"/>
      <c r="UVR231" s="514"/>
      <c r="UVS231" s="514"/>
      <c r="UVT231" s="514"/>
      <c r="UVU231" s="514"/>
      <c r="UVV231" s="514"/>
      <c r="UVW231" s="514"/>
      <c r="UVX231" s="514"/>
      <c r="UVY231" s="514"/>
      <c r="UVZ231" s="514"/>
      <c r="UWA231" s="514"/>
      <c r="UWB231" s="514"/>
      <c r="UWC231" s="514"/>
      <c r="UWD231" s="514"/>
      <c r="UWE231" s="514"/>
      <c r="UWF231" s="514"/>
      <c r="UWG231" s="514"/>
      <c r="UWH231" s="514"/>
      <c r="UWI231" s="514"/>
      <c r="UWJ231" s="514"/>
      <c r="UWK231" s="514"/>
      <c r="UWL231" s="514"/>
      <c r="UWM231" s="514"/>
      <c r="UWN231" s="514"/>
      <c r="UWO231" s="514"/>
      <c r="UWP231" s="514"/>
      <c r="UWQ231" s="514"/>
      <c r="UWR231" s="514"/>
      <c r="UWS231" s="514"/>
      <c r="UWT231" s="514"/>
      <c r="UWU231" s="514"/>
      <c r="UWV231" s="514"/>
      <c r="UWW231" s="514"/>
      <c r="UWX231" s="514"/>
      <c r="UWY231" s="514"/>
      <c r="UWZ231" s="514"/>
      <c r="UXA231" s="514"/>
      <c r="UXB231" s="514"/>
      <c r="UXC231" s="514"/>
      <c r="UXD231" s="514"/>
      <c r="UXE231" s="514"/>
      <c r="UXF231" s="514"/>
      <c r="UXG231" s="514"/>
      <c r="UXH231" s="514"/>
      <c r="UXI231" s="514"/>
      <c r="UXJ231" s="514"/>
      <c r="UXK231" s="514"/>
      <c r="UXL231" s="514"/>
      <c r="UXM231" s="514"/>
      <c r="UXN231" s="514"/>
      <c r="UXO231" s="514"/>
      <c r="UXP231" s="514"/>
      <c r="UXQ231" s="514"/>
      <c r="UXR231" s="514"/>
      <c r="UXS231" s="514"/>
      <c r="UXT231" s="514"/>
      <c r="UXU231" s="514"/>
      <c r="UXV231" s="514"/>
      <c r="UXW231" s="514"/>
      <c r="UXX231" s="514"/>
      <c r="UXY231" s="514"/>
      <c r="UXZ231" s="514"/>
      <c r="UYA231" s="514"/>
      <c r="UYB231" s="514"/>
      <c r="UYC231" s="514"/>
      <c r="UYD231" s="514"/>
      <c r="UYE231" s="514"/>
      <c r="UYF231" s="514"/>
      <c r="UYG231" s="514"/>
      <c r="UYH231" s="514"/>
      <c r="UYI231" s="514"/>
      <c r="UYJ231" s="514"/>
      <c r="UYK231" s="514"/>
      <c r="UYL231" s="514"/>
      <c r="UYM231" s="514"/>
      <c r="UYN231" s="514"/>
      <c r="UYO231" s="514"/>
      <c r="UYP231" s="514"/>
      <c r="UYQ231" s="514"/>
      <c r="UYR231" s="514"/>
      <c r="UYS231" s="514"/>
      <c r="UYT231" s="514"/>
      <c r="UYU231" s="514"/>
      <c r="UYV231" s="514"/>
      <c r="UYW231" s="514"/>
      <c r="UYX231" s="514"/>
      <c r="UYY231" s="514"/>
      <c r="UYZ231" s="514"/>
      <c r="UZA231" s="514"/>
      <c r="UZB231" s="514"/>
      <c r="UZC231" s="514"/>
      <c r="UZD231" s="514"/>
      <c r="UZE231" s="514"/>
      <c r="UZF231" s="514"/>
      <c r="UZG231" s="514"/>
      <c r="UZH231" s="514"/>
      <c r="UZI231" s="514"/>
      <c r="UZJ231" s="514"/>
      <c r="UZK231" s="514"/>
      <c r="UZL231" s="514"/>
      <c r="UZM231" s="514"/>
      <c r="UZN231" s="514"/>
      <c r="UZO231" s="514"/>
      <c r="UZP231" s="514"/>
      <c r="UZQ231" s="514"/>
      <c r="UZR231" s="514"/>
      <c r="UZS231" s="514"/>
      <c r="UZT231" s="514"/>
      <c r="UZU231" s="514"/>
      <c r="UZV231" s="514"/>
      <c r="UZW231" s="514"/>
      <c r="UZX231" s="514"/>
      <c r="UZY231" s="514"/>
      <c r="UZZ231" s="514"/>
      <c r="VAA231" s="514"/>
      <c r="VAB231" s="514"/>
      <c r="VAC231" s="514"/>
      <c r="VAD231" s="514"/>
      <c r="VAE231" s="514"/>
      <c r="VAF231" s="514"/>
      <c r="VAG231" s="514"/>
      <c r="VAH231" s="514"/>
      <c r="VAI231" s="514"/>
      <c r="VAJ231" s="514"/>
      <c r="VAK231" s="514"/>
      <c r="VAL231" s="514"/>
      <c r="VAM231" s="514"/>
      <c r="VAN231" s="514"/>
      <c r="VAO231" s="514"/>
      <c r="VAP231" s="514"/>
      <c r="VAQ231" s="514"/>
      <c r="VAR231" s="514"/>
      <c r="VAS231" s="514"/>
      <c r="VAT231" s="514"/>
      <c r="VAU231" s="514"/>
      <c r="VAV231" s="514"/>
      <c r="VAW231" s="514"/>
      <c r="VAX231" s="514"/>
      <c r="VAY231" s="514"/>
      <c r="VAZ231" s="514"/>
      <c r="VBA231" s="514"/>
      <c r="VBB231" s="514"/>
      <c r="VBC231" s="514"/>
      <c r="VBD231" s="514"/>
      <c r="VBE231" s="514"/>
      <c r="VBF231" s="514"/>
      <c r="VBG231" s="514"/>
      <c r="VBH231" s="514"/>
      <c r="VBI231" s="514"/>
      <c r="VBJ231" s="514"/>
      <c r="VBK231" s="514"/>
      <c r="VBL231" s="514"/>
      <c r="VBM231" s="514"/>
      <c r="VBN231" s="514"/>
      <c r="VBO231" s="514"/>
      <c r="VBP231" s="514"/>
      <c r="VBQ231" s="514"/>
      <c r="VBR231" s="514"/>
      <c r="VBS231" s="514"/>
      <c r="VBT231" s="514"/>
      <c r="VBU231" s="514"/>
      <c r="VBV231" s="514"/>
      <c r="VBW231" s="514"/>
      <c r="VBX231" s="514"/>
      <c r="VBY231" s="514"/>
      <c r="VBZ231" s="514"/>
      <c r="VCA231" s="514"/>
      <c r="VCB231" s="514"/>
      <c r="VCC231" s="514"/>
      <c r="VCD231" s="514"/>
      <c r="VCE231" s="514"/>
      <c r="VCF231" s="514"/>
      <c r="VCG231" s="514"/>
      <c r="VCH231" s="514"/>
      <c r="VCI231" s="514"/>
      <c r="VCJ231" s="514"/>
      <c r="VCK231" s="514"/>
      <c r="VCL231" s="514"/>
      <c r="VCM231" s="514"/>
      <c r="VCN231" s="514"/>
      <c r="VCO231" s="514"/>
      <c r="VCP231" s="514"/>
      <c r="VCQ231" s="514"/>
      <c r="VCR231" s="514"/>
      <c r="VCS231" s="514"/>
      <c r="VCT231" s="514"/>
      <c r="VCU231" s="514"/>
      <c r="VCV231" s="514"/>
      <c r="VCW231" s="514"/>
      <c r="VCX231" s="514"/>
      <c r="VCY231" s="514"/>
      <c r="VCZ231" s="514"/>
      <c r="VDA231" s="514"/>
      <c r="VDB231" s="514"/>
      <c r="VDC231" s="514"/>
      <c r="VDD231" s="514"/>
      <c r="VDE231" s="514"/>
      <c r="VDF231" s="514"/>
      <c r="VDG231" s="514"/>
      <c r="VDH231" s="514"/>
      <c r="VDI231" s="514"/>
      <c r="VDJ231" s="514"/>
      <c r="VDK231" s="514"/>
      <c r="VDL231" s="514"/>
      <c r="VDM231" s="514"/>
      <c r="VDN231" s="514"/>
      <c r="VDO231" s="514"/>
      <c r="VDP231" s="514"/>
      <c r="VDQ231" s="514"/>
      <c r="VDR231" s="514"/>
      <c r="VDS231" s="514"/>
      <c r="VDT231" s="514"/>
      <c r="VDU231" s="514"/>
      <c r="VDV231" s="514"/>
      <c r="VDW231" s="514"/>
      <c r="VDX231" s="514"/>
      <c r="VDY231" s="514"/>
      <c r="VDZ231" s="514"/>
      <c r="VEA231" s="514"/>
      <c r="VEB231" s="514"/>
      <c r="VEC231" s="514"/>
      <c r="VED231" s="514"/>
      <c r="VEE231" s="514"/>
      <c r="VEF231" s="514"/>
      <c r="VEG231" s="514"/>
      <c r="VEH231" s="514"/>
      <c r="VEI231" s="514"/>
      <c r="VEJ231" s="514"/>
      <c r="VEK231" s="514"/>
      <c r="VEL231" s="514"/>
      <c r="VEM231" s="514"/>
      <c r="VEN231" s="514"/>
      <c r="VEO231" s="514"/>
      <c r="VEP231" s="514"/>
      <c r="VEQ231" s="514"/>
      <c r="VER231" s="514"/>
      <c r="VES231" s="514"/>
      <c r="VET231" s="514"/>
      <c r="VEU231" s="514"/>
      <c r="VEV231" s="514"/>
      <c r="VEW231" s="514"/>
      <c r="VEX231" s="514"/>
      <c r="VEY231" s="514"/>
      <c r="VEZ231" s="514"/>
      <c r="VFA231" s="514"/>
      <c r="VFB231" s="514"/>
      <c r="VFC231" s="514"/>
      <c r="VFD231" s="514"/>
      <c r="VFE231" s="514"/>
      <c r="VFF231" s="514"/>
      <c r="VFG231" s="514"/>
      <c r="VFH231" s="514"/>
      <c r="VFI231" s="514"/>
      <c r="VFJ231" s="514"/>
      <c r="VFK231" s="514"/>
      <c r="VFL231" s="514"/>
      <c r="VFM231" s="514"/>
      <c r="VFN231" s="514"/>
      <c r="VFO231" s="514"/>
      <c r="VFP231" s="514"/>
      <c r="VFQ231" s="514"/>
      <c r="VFR231" s="514"/>
      <c r="VFS231" s="514"/>
      <c r="VFT231" s="514"/>
      <c r="VFU231" s="514"/>
      <c r="VFV231" s="514"/>
      <c r="VFW231" s="514"/>
      <c r="VFX231" s="514"/>
      <c r="VFY231" s="514"/>
      <c r="VFZ231" s="514"/>
      <c r="VGA231" s="514"/>
      <c r="VGB231" s="514"/>
      <c r="VGC231" s="514"/>
      <c r="VGD231" s="514"/>
      <c r="VGE231" s="514"/>
      <c r="VGF231" s="514"/>
      <c r="VGG231" s="514"/>
      <c r="VGH231" s="514"/>
      <c r="VGI231" s="514"/>
      <c r="VGJ231" s="514"/>
      <c r="VGK231" s="514"/>
      <c r="VGL231" s="514"/>
      <c r="VGM231" s="514"/>
      <c r="VGN231" s="514"/>
      <c r="VGO231" s="514"/>
      <c r="VGP231" s="514"/>
      <c r="VGQ231" s="514"/>
      <c r="VGR231" s="514"/>
      <c r="VGS231" s="514"/>
      <c r="VGT231" s="514"/>
      <c r="VGU231" s="514"/>
      <c r="VGV231" s="514"/>
      <c r="VGW231" s="514"/>
      <c r="VGX231" s="514"/>
      <c r="VGY231" s="514"/>
      <c r="VGZ231" s="514"/>
      <c r="VHA231" s="514"/>
      <c r="VHB231" s="514"/>
      <c r="VHC231" s="514"/>
      <c r="VHD231" s="514"/>
      <c r="VHE231" s="514"/>
      <c r="VHF231" s="514"/>
      <c r="VHG231" s="514"/>
      <c r="VHH231" s="514"/>
      <c r="VHI231" s="514"/>
      <c r="VHJ231" s="514"/>
      <c r="VHK231" s="514"/>
      <c r="VHL231" s="514"/>
      <c r="VHM231" s="514"/>
      <c r="VHN231" s="514"/>
      <c r="VHO231" s="514"/>
      <c r="VHP231" s="514"/>
      <c r="VHQ231" s="514"/>
      <c r="VHR231" s="514"/>
      <c r="VHS231" s="514"/>
      <c r="VHT231" s="514"/>
      <c r="VHU231" s="514"/>
      <c r="VHV231" s="514"/>
      <c r="VHW231" s="514"/>
      <c r="VHX231" s="514"/>
      <c r="VHY231" s="514"/>
      <c r="VHZ231" s="514"/>
      <c r="VIA231" s="514"/>
      <c r="VIB231" s="514"/>
      <c r="VIC231" s="514"/>
      <c r="VID231" s="514"/>
      <c r="VIE231" s="514"/>
      <c r="VIF231" s="514"/>
      <c r="VIG231" s="514"/>
      <c r="VIH231" s="514"/>
      <c r="VII231" s="514"/>
      <c r="VIJ231" s="514"/>
      <c r="VIK231" s="514"/>
      <c r="VIL231" s="514"/>
      <c r="VIM231" s="514"/>
      <c r="VIN231" s="514"/>
      <c r="VIO231" s="514"/>
      <c r="VIP231" s="514"/>
      <c r="VIQ231" s="514"/>
      <c r="VIR231" s="514"/>
      <c r="VIS231" s="514"/>
      <c r="VIT231" s="514"/>
      <c r="VIU231" s="514"/>
      <c r="VIV231" s="514"/>
      <c r="VIW231" s="514"/>
      <c r="VIX231" s="514"/>
      <c r="VIY231" s="514"/>
      <c r="VIZ231" s="514"/>
      <c r="VJA231" s="514"/>
      <c r="VJB231" s="514"/>
      <c r="VJC231" s="514"/>
      <c r="VJD231" s="514"/>
      <c r="VJE231" s="514"/>
      <c r="VJF231" s="514"/>
      <c r="VJG231" s="514"/>
      <c r="VJH231" s="514"/>
      <c r="VJI231" s="514"/>
      <c r="VJJ231" s="514"/>
      <c r="VJK231" s="514"/>
      <c r="VJL231" s="514"/>
      <c r="VJM231" s="514"/>
      <c r="VJN231" s="514"/>
      <c r="VJO231" s="514"/>
      <c r="VJP231" s="514"/>
      <c r="VJQ231" s="514"/>
      <c r="VJR231" s="514"/>
      <c r="VJS231" s="514"/>
      <c r="VJT231" s="514"/>
      <c r="VJU231" s="514"/>
      <c r="VJV231" s="514"/>
      <c r="VJW231" s="514"/>
      <c r="VJX231" s="514"/>
      <c r="VJY231" s="514"/>
      <c r="VJZ231" s="514"/>
      <c r="VKA231" s="514"/>
      <c r="VKB231" s="514"/>
      <c r="VKC231" s="514"/>
      <c r="VKD231" s="514"/>
      <c r="VKE231" s="514"/>
      <c r="VKF231" s="514"/>
      <c r="VKG231" s="514"/>
      <c r="VKH231" s="514"/>
      <c r="VKI231" s="514"/>
      <c r="VKJ231" s="514"/>
      <c r="VKK231" s="514"/>
      <c r="VKL231" s="514"/>
      <c r="VKM231" s="514"/>
      <c r="VKN231" s="514"/>
      <c r="VKO231" s="514"/>
      <c r="VKP231" s="514"/>
      <c r="VKQ231" s="514"/>
      <c r="VKR231" s="514"/>
      <c r="VKS231" s="514"/>
      <c r="VKT231" s="514"/>
      <c r="VKU231" s="514"/>
      <c r="VKV231" s="514"/>
      <c r="VKW231" s="514"/>
      <c r="VKX231" s="514"/>
      <c r="VKY231" s="514"/>
      <c r="VKZ231" s="514"/>
      <c r="VLA231" s="514"/>
      <c r="VLB231" s="514"/>
      <c r="VLC231" s="514"/>
      <c r="VLD231" s="514"/>
      <c r="VLE231" s="514"/>
      <c r="VLF231" s="514"/>
      <c r="VLG231" s="514"/>
      <c r="VLH231" s="514"/>
      <c r="VLI231" s="514"/>
      <c r="VLJ231" s="514"/>
      <c r="VLK231" s="514"/>
      <c r="VLL231" s="514"/>
      <c r="VLM231" s="514"/>
      <c r="VLN231" s="514"/>
      <c r="VLO231" s="514"/>
      <c r="VLP231" s="514"/>
      <c r="VLQ231" s="514"/>
      <c r="VLR231" s="514"/>
      <c r="VLS231" s="514"/>
      <c r="VLT231" s="514"/>
      <c r="VLU231" s="514"/>
      <c r="VLV231" s="514"/>
      <c r="VLW231" s="514"/>
      <c r="VLX231" s="514"/>
      <c r="VLY231" s="514"/>
      <c r="VLZ231" s="514"/>
      <c r="VMA231" s="514"/>
      <c r="VMB231" s="514"/>
      <c r="VMC231" s="514"/>
      <c r="VMD231" s="514"/>
      <c r="VME231" s="514"/>
      <c r="VMF231" s="514"/>
      <c r="VMG231" s="514"/>
      <c r="VMH231" s="514"/>
      <c r="VMI231" s="514"/>
      <c r="VMJ231" s="514"/>
      <c r="VMK231" s="514"/>
      <c r="VML231" s="514"/>
      <c r="VMM231" s="514"/>
      <c r="VMN231" s="514"/>
      <c r="VMO231" s="514"/>
      <c r="VMP231" s="514"/>
      <c r="VMQ231" s="514"/>
      <c r="VMR231" s="514"/>
      <c r="VMS231" s="514"/>
      <c r="VMT231" s="514"/>
      <c r="VMU231" s="514"/>
      <c r="VMV231" s="514"/>
      <c r="VMW231" s="514"/>
      <c r="VMX231" s="514"/>
      <c r="VMY231" s="514"/>
      <c r="VMZ231" s="514"/>
      <c r="VNA231" s="514"/>
      <c r="VNB231" s="514"/>
      <c r="VNC231" s="514"/>
      <c r="VND231" s="514"/>
      <c r="VNE231" s="514"/>
      <c r="VNF231" s="514"/>
      <c r="VNG231" s="514"/>
      <c r="VNH231" s="514"/>
      <c r="VNI231" s="514"/>
      <c r="VNJ231" s="514"/>
      <c r="VNK231" s="514"/>
      <c r="VNL231" s="514"/>
      <c r="VNM231" s="514"/>
      <c r="VNN231" s="514"/>
      <c r="VNO231" s="514"/>
      <c r="VNP231" s="514"/>
      <c r="VNQ231" s="514"/>
      <c r="VNR231" s="514"/>
      <c r="VNS231" s="514"/>
      <c r="VNT231" s="514"/>
      <c r="VNU231" s="514"/>
      <c r="VNV231" s="514"/>
      <c r="VNW231" s="514"/>
      <c r="VNX231" s="514"/>
      <c r="VNY231" s="514"/>
      <c r="VNZ231" s="514"/>
      <c r="VOA231" s="514"/>
      <c r="VOB231" s="514"/>
      <c r="VOC231" s="514"/>
      <c r="VOD231" s="514"/>
      <c r="VOE231" s="514"/>
      <c r="VOF231" s="514"/>
      <c r="VOG231" s="514"/>
      <c r="VOH231" s="514"/>
      <c r="VOI231" s="514"/>
      <c r="VOJ231" s="514"/>
      <c r="VOK231" s="514"/>
      <c r="VOL231" s="514"/>
      <c r="VOM231" s="514"/>
      <c r="VON231" s="514"/>
      <c r="VOO231" s="514"/>
      <c r="VOP231" s="514"/>
      <c r="VOQ231" s="514"/>
      <c r="VOR231" s="514"/>
      <c r="VOS231" s="514"/>
      <c r="VOT231" s="514"/>
      <c r="VOU231" s="514"/>
      <c r="VOV231" s="514"/>
      <c r="VOW231" s="514"/>
      <c r="VOX231" s="514"/>
      <c r="VOY231" s="514"/>
      <c r="VOZ231" s="514"/>
      <c r="VPA231" s="514"/>
      <c r="VPB231" s="514"/>
      <c r="VPC231" s="514"/>
      <c r="VPD231" s="514"/>
      <c r="VPE231" s="514"/>
      <c r="VPF231" s="514"/>
      <c r="VPG231" s="514"/>
      <c r="VPH231" s="514"/>
      <c r="VPI231" s="514"/>
      <c r="VPJ231" s="514"/>
      <c r="VPK231" s="514"/>
      <c r="VPL231" s="514"/>
      <c r="VPM231" s="514"/>
      <c r="VPN231" s="514"/>
      <c r="VPO231" s="514"/>
      <c r="VPP231" s="514"/>
      <c r="VPQ231" s="514"/>
      <c r="VPR231" s="514"/>
      <c r="VPS231" s="514"/>
      <c r="VPT231" s="514"/>
      <c r="VPU231" s="514"/>
      <c r="VPV231" s="514"/>
      <c r="VPW231" s="514"/>
      <c r="VPX231" s="514"/>
      <c r="VPY231" s="514"/>
      <c r="VPZ231" s="514"/>
      <c r="VQA231" s="514"/>
      <c r="VQB231" s="514"/>
      <c r="VQC231" s="514"/>
      <c r="VQD231" s="514"/>
      <c r="VQE231" s="514"/>
      <c r="VQF231" s="514"/>
      <c r="VQG231" s="514"/>
      <c r="VQH231" s="514"/>
      <c r="VQI231" s="514"/>
      <c r="VQJ231" s="514"/>
      <c r="VQK231" s="514"/>
      <c r="VQL231" s="514"/>
      <c r="VQM231" s="514"/>
      <c r="VQN231" s="514"/>
      <c r="VQO231" s="514"/>
      <c r="VQP231" s="514"/>
      <c r="VQQ231" s="514"/>
      <c r="VQR231" s="514"/>
      <c r="VQS231" s="514"/>
      <c r="VQT231" s="514"/>
      <c r="VQU231" s="514"/>
      <c r="VQV231" s="514"/>
      <c r="VQW231" s="514"/>
      <c r="VQX231" s="514"/>
      <c r="VQY231" s="514"/>
      <c r="VQZ231" s="514"/>
      <c r="VRA231" s="514"/>
      <c r="VRB231" s="514"/>
      <c r="VRC231" s="514"/>
      <c r="VRD231" s="514"/>
      <c r="VRE231" s="514"/>
      <c r="VRF231" s="514"/>
      <c r="VRG231" s="514"/>
      <c r="VRH231" s="514"/>
      <c r="VRI231" s="514"/>
      <c r="VRJ231" s="514"/>
      <c r="VRK231" s="514"/>
      <c r="VRL231" s="514"/>
      <c r="VRM231" s="514"/>
      <c r="VRN231" s="514"/>
      <c r="VRO231" s="514"/>
      <c r="VRP231" s="514"/>
      <c r="VRQ231" s="514"/>
      <c r="VRR231" s="514"/>
      <c r="VRS231" s="514"/>
      <c r="VRT231" s="514"/>
      <c r="VRU231" s="514"/>
      <c r="VRV231" s="514"/>
      <c r="VRW231" s="514"/>
      <c r="VRX231" s="514"/>
      <c r="VRY231" s="514"/>
      <c r="VRZ231" s="514"/>
      <c r="VSA231" s="514"/>
      <c r="VSB231" s="514"/>
      <c r="VSC231" s="514"/>
      <c r="VSD231" s="514"/>
      <c r="VSE231" s="514"/>
      <c r="VSF231" s="514"/>
      <c r="VSG231" s="514"/>
      <c r="VSH231" s="514"/>
      <c r="VSI231" s="514"/>
      <c r="VSJ231" s="514"/>
      <c r="VSK231" s="514"/>
      <c r="VSL231" s="514"/>
      <c r="VSM231" s="514"/>
      <c r="VSN231" s="514"/>
      <c r="VSO231" s="514"/>
      <c r="VSP231" s="514"/>
      <c r="VSQ231" s="514"/>
      <c r="VSR231" s="514"/>
      <c r="VSS231" s="514"/>
      <c r="VST231" s="514"/>
      <c r="VSU231" s="514"/>
      <c r="VSV231" s="514"/>
      <c r="VSW231" s="514"/>
      <c r="VSX231" s="514"/>
      <c r="VSY231" s="514"/>
      <c r="VSZ231" s="514"/>
      <c r="VTA231" s="514"/>
      <c r="VTB231" s="514"/>
      <c r="VTC231" s="514"/>
      <c r="VTD231" s="514"/>
      <c r="VTE231" s="514"/>
      <c r="VTF231" s="514"/>
      <c r="VTG231" s="514"/>
      <c r="VTH231" s="514"/>
      <c r="VTI231" s="514"/>
      <c r="VTJ231" s="514"/>
      <c r="VTK231" s="514"/>
      <c r="VTL231" s="514"/>
      <c r="VTM231" s="514"/>
      <c r="VTN231" s="514"/>
      <c r="VTO231" s="514"/>
      <c r="VTP231" s="514"/>
      <c r="VTQ231" s="514"/>
      <c r="VTR231" s="514"/>
      <c r="VTS231" s="514"/>
      <c r="VTT231" s="514"/>
      <c r="VTU231" s="514"/>
      <c r="VTV231" s="514"/>
      <c r="VTW231" s="514"/>
      <c r="VTX231" s="514"/>
      <c r="VTY231" s="514"/>
      <c r="VTZ231" s="514"/>
      <c r="VUA231" s="514"/>
      <c r="VUB231" s="514"/>
      <c r="VUC231" s="514"/>
      <c r="VUD231" s="514"/>
      <c r="VUE231" s="514"/>
      <c r="VUF231" s="514"/>
      <c r="VUG231" s="514"/>
      <c r="VUH231" s="514"/>
      <c r="VUI231" s="514"/>
      <c r="VUJ231" s="514"/>
      <c r="VUK231" s="514"/>
      <c r="VUL231" s="514"/>
      <c r="VUM231" s="514"/>
      <c r="VUN231" s="514"/>
      <c r="VUO231" s="514"/>
      <c r="VUP231" s="514"/>
      <c r="VUQ231" s="514"/>
      <c r="VUR231" s="514"/>
      <c r="VUS231" s="514"/>
      <c r="VUT231" s="514"/>
      <c r="VUU231" s="514"/>
      <c r="VUV231" s="514"/>
      <c r="VUW231" s="514"/>
      <c r="VUX231" s="514"/>
      <c r="VUY231" s="514"/>
      <c r="VUZ231" s="514"/>
      <c r="VVA231" s="514"/>
      <c r="VVB231" s="514"/>
      <c r="VVC231" s="514"/>
      <c r="VVD231" s="514"/>
      <c r="VVE231" s="514"/>
      <c r="VVF231" s="514"/>
      <c r="VVG231" s="514"/>
      <c r="VVH231" s="514"/>
      <c r="VVI231" s="514"/>
      <c r="VVJ231" s="514"/>
      <c r="VVK231" s="514"/>
      <c r="VVL231" s="514"/>
      <c r="VVM231" s="514"/>
      <c r="VVN231" s="514"/>
      <c r="VVO231" s="514"/>
      <c r="VVP231" s="514"/>
      <c r="VVQ231" s="514"/>
      <c r="VVR231" s="514"/>
      <c r="VVS231" s="514"/>
      <c r="VVT231" s="514"/>
      <c r="VVU231" s="514"/>
      <c r="VVV231" s="514"/>
      <c r="VVW231" s="514"/>
      <c r="VVX231" s="514"/>
      <c r="VVY231" s="514"/>
      <c r="VVZ231" s="514"/>
      <c r="VWA231" s="514"/>
      <c r="VWB231" s="514"/>
      <c r="VWC231" s="514"/>
      <c r="VWD231" s="514"/>
      <c r="VWE231" s="514"/>
      <c r="VWF231" s="514"/>
      <c r="VWG231" s="514"/>
      <c r="VWH231" s="514"/>
      <c r="VWI231" s="514"/>
      <c r="VWJ231" s="514"/>
      <c r="VWK231" s="514"/>
      <c r="VWL231" s="514"/>
      <c r="VWM231" s="514"/>
      <c r="VWN231" s="514"/>
      <c r="VWO231" s="514"/>
      <c r="VWP231" s="514"/>
      <c r="VWQ231" s="514"/>
      <c r="VWR231" s="514"/>
      <c r="VWS231" s="514"/>
      <c r="VWT231" s="514"/>
      <c r="VWU231" s="514"/>
      <c r="VWV231" s="514"/>
      <c r="VWW231" s="514"/>
      <c r="VWX231" s="514"/>
      <c r="VWY231" s="514"/>
      <c r="VWZ231" s="514"/>
      <c r="VXA231" s="514"/>
      <c r="VXB231" s="514"/>
      <c r="VXC231" s="514"/>
      <c r="VXD231" s="514"/>
      <c r="VXE231" s="514"/>
      <c r="VXF231" s="514"/>
      <c r="VXG231" s="514"/>
      <c r="VXH231" s="514"/>
      <c r="VXI231" s="514"/>
      <c r="VXJ231" s="514"/>
      <c r="VXK231" s="514"/>
      <c r="VXL231" s="514"/>
      <c r="VXM231" s="514"/>
      <c r="VXN231" s="514"/>
      <c r="VXO231" s="514"/>
      <c r="VXP231" s="514"/>
      <c r="VXQ231" s="514"/>
      <c r="VXR231" s="514"/>
      <c r="VXS231" s="514"/>
      <c r="VXT231" s="514"/>
      <c r="VXU231" s="514"/>
      <c r="VXV231" s="514"/>
      <c r="VXW231" s="514"/>
      <c r="VXX231" s="514"/>
      <c r="VXY231" s="514"/>
      <c r="VXZ231" s="514"/>
      <c r="VYA231" s="514"/>
      <c r="VYB231" s="514"/>
      <c r="VYC231" s="514"/>
      <c r="VYD231" s="514"/>
      <c r="VYE231" s="514"/>
      <c r="VYF231" s="514"/>
      <c r="VYG231" s="514"/>
      <c r="VYH231" s="514"/>
      <c r="VYI231" s="514"/>
      <c r="VYJ231" s="514"/>
      <c r="VYK231" s="514"/>
      <c r="VYL231" s="514"/>
      <c r="VYM231" s="514"/>
      <c r="VYN231" s="514"/>
      <c r="VYO231" s="514"/>
      <c r="VYP231" s="514"/>
      <c r="VYQ231" s="514"/>
      <c r="VYR231" s="514"/>
      <c r="VYS231" s="514"/>
      <c r="VYT231" s="514"/>
      <c r="VYU231" s="514"/>
      <c r="VYV231" s="514"/>
      <c r="VYW231" s="514"/>
      <c r="VYX231" s="514"/>
      <c r="VYY231" s="514"/>
      <c r="VYZ231" s="514"/>
      <c r="VZA231" s="514"/>
      <c r="VZB231" s="514"/>
      <c r="VZC231" s="514"/>
      <c r="VZD231" s="514"/>
      <c r="VZE231" s="514"/>
      <c r="VZF231" s="514"/>
      <c r="VZG231" s="514"/>
      <c r="VZH231" s="514"/>
      <c r="VZI231" s="514"/>
      <c r="VZJ231" s="514"/>
      <c r="VZK231" s="514"/>
      <c r="VZL231" s="514"/>
      <c r="VZM231" s="514"/>
      <c r="VZN231" s="514"/>
      <c r="VZO231" s="514"/>
      <c r="VZP231" s="514"/>
      <c r="VZQ231" s="514"/>
      <c r="VZR231" s="514"/>
      <c r="VZS231" s="514"/>
      <c r="VZT231" s="514"/>
      <c r="VZU231" s="514"/>
      <c r="VZV231" s="514"/>
      <c r="VZW231" s="514"/>
      <c r="VZX231" s="514"/>
      <c r="VZY231" s="514"/>
      <c r="VZZ231" s="514"/>
      <c r="WAA231" s="514"/>
      <c r="WAB231" s="514"/>
      <c r="WAC231" s="514"/>
      <c r="WAD231" s="514"/>
      <c r="WAE231" s="514"/>
      <c r="WAF231" s="514"/>
      <c r="WAG231" s="514"/>
      <c r="WAH231" s="514"/>
      <c r="WAI231" s="514"/>
      <c r="WAJ231" s="514"/>
      <c r="WAK231" s="514"/>
      <c r="WAL231" s="514"/>
      <c r="WAM231" s="514"/>
      <c r="WAN231" s="514"/>
      <c r="WAO231" s="514"/>
      <c r="WAP231" s="514"/>
      <c r="WAQ231" s="514"/>
      <c r="WAR231" s="514"/>
      <c r="WAS231" s="514"/>
      <c r="WAT231" s="514"/>
      <c r="WAU231" s="514"/>
      <c r="WAV231" s="514"/>
      <c r="WAW231" s="514"/>
      <c r="WAX231" s="514"/>
      <c r="WAY231" s="514"/>
      <c r="WAZ231" s="514"/>
      <c r="WBA231" s="514"/>
      <c r="WBB231" s="514"/>
      <c r="WBC231" s="514"/>
      <c r="WBD231" s="514"/>
      <c r="WBE231" s="514"/>
      <c r="WBF231" s="514"/>
      <c r="WBG231" s="514"/>
      <c r="WBH231" s="514"/>
      <c r="WBI231" s="514"/>
      <c r="WBJ231" s="514"/>
      <c r="WBK231" s="514"/>
      <c r="WBL231" s="514"/>
      <c r="WBM231" s="514"/>
      <c r="WBN231" s="514"/>
      <c r="WBO231" s="514"/>
      <c r="WBP231" s="514"/>
      <c r="WBQ231" s="514"/>
      <c r="WBR231" s="514"/>
      <c r="WBS231" s="514"/>
      <c r="WBT231" s="514"/>
      <c r="WBU231" s="514"/>
      <c r="WBV231" s="514"/>
      <c r="WBW231" s="514"/>
      <c r="WBX231" s="514"/>
      <c r="WBY231" s="514"/>
      <c r="WBZ231" s="514"/>
      <c r="WCA231" s="514"/>
      <c r="WCB231" s="514"/>
      <c r="WCC231" s="514"/>
      <c r="WCD231" s="514"/>
      <c r="WCE231" s="514"/>
      <c r="WCF231" s="514"/>
      <c r="WCG231" s="514"/>
      <c r="WCH231" s="514"/>
      <c r="WCI231" s="514"/>
      <c r="WCJ231" s="514"/>
      <c r="WCK231" s="514"/>
      <c r="WCL231" s="514"/>
      <c r="WCM231" s="514"/>
      <c r="WCN231" s="514"/>
      <c r="WCO231" s="514"/>
      <c r="WCP231" s="514"/>
      <c r="WCQ231" s="514"/>
      <c r="WCR231" s="514"/>
      <c r="WCS231" s="514"/>
      <c r="WCT231" s="514"/>
      <c r="WCU231" s="514"/>
      <c r="WCV231" s="514"/>
      <c r="WCW231" s="514"/>
      <c r="WCX231" s="514"/>
      <c r="WCY231" s="514"/>
      <c r="WCZ231" s="514"/>
      <c r="WDA231" s="514"/>
      <c r="WDB231" s="514"/>
      <c r="WDC231" s="514"/>
      <c r="WDD231" s="514"/>
      <c r="WDE231" s="514"/>
      <c r="WDF231" s="514"/>
      <c r="WDG231" s="514"/>
      <c r="WDH231" s="514"/>
      <c r="WDI231" s="514"/>
      <c r="WDJ231" s="514"/>
      <c r="WDK231" s="514"/>
      <c r="WDL231" s="514"/>
      <c r="WDM231" s="514"/>
      <c r="WDN231" s="514"/>
      <c r="WDO231" s="514"/>
      <c r="WDP231" s="514"/>
      <c r="WDQ231" s="514"/>
      <c r="WDR231" s="514"/>
      <c r="WDS231" s="514"/>
      <c r="WDT231" s="514"/>
      <c r="WDU231" s="514"/>
      <c r="WDV231" s="514"/>
      <c r="WDW231" s="514"/>
      <c r="WDX231" s="514"/>
      <c r="WDY231" s="514"/>
      <c r="WDZ231" s="514"/>
      <c r="WEA231" s="514"/>
      <c r="WEB231" s="514"/>
      <c r="WEC231" s="514"/>
      <c r="WED231" s="514"/>
      <c r="WEE231" s="514"/>
      <c r="WEF231" s="514"/>
      <c r="WEG231" s="514"/>
      <c r="WEH231" s="514"/>
      <c r="WEI231" s="514"/>
      <c r="WEJ231" s="514"/>
      <c r="WEK231" s="514"/>
      <c r="WEL231" s="514"/>
      <c r="WEM231" s="514"/>
      <c r="WEN231" s="514"/>
      <c r="WEO231" s="514"/>
      <c r="WEP231" s="514"/>
      <c r="WEQ231" s="514"/>
      <c r="WER231" s="514"/>
      <c r="WES231" s="514"/>
      <c r="WET231" s="514"/>
      <c r="WEU231" s="514"/>
      <c r="WEV231" s="514"/>
      <c r="WEW231" s="514"/>
      <c r="WEX231" s="514"/>
      <c r="WEY231" s="514"/>
      <c r="WEZ231" s="514"/>
      <c r="WFA231" s="514"/>
      <c r="WFB231" s="514"/>
      <c r="WFC231" s="514"/>
      <c r="WFD231" s="514"/>
      <c r="WFE231" s="514"/>
      <c r="WFF231" s="514"/>
      <c r="WFG231" s="514"/>
      <c r="WFH231" s="514"/>
      <c r="WFI231" s="514"/>
      <c r="WFJ231" s="514"/>
      <c r="WFK231" s="514"/>
      <c r="WFL231" s="514"/>
      <c r="WFM231" s="514"/>
      <c r="WFN231" s="514"/>
      <c r="WFO231" s="514"/>
      <c r="WFP231" s="514"/>
      <c r="WFQ231" s="514"/>
      <c r="WFR231" s="514"/>
      <c r="WFS231" s="514"/>
      <c r="WFT231" s="514"/>
      <c r="WFU231" s="514"/>
      <c r="WFV231" s="514"/>
      <c r="WFW231" s="514"/>
      <c r="WFX231" s="514"/>
      <c r="WFY231" s="514"/>
      <c r="WFZ231" s="514"/>
      <c r="WGA231" s="514"/>
      <c r="WGB231" s="514"/>
      <c r="WGC231" s="514"/>
      <c r="WGD231" s="514"/>
      <c r="WGE231" s="514"/>
      <c r="WGF231" s="514"/>
      <c r="WGG231" s="514"/>
      <c r="WGH231" s="514"/>
      <c r="WGI231" s="514"/>
      <c r="WGJ231" s="514"/>
      <c r="WGK231" s="514"/>
      <c r="WGL231" s="514"/>
      <c r="WGM231" s="514"/>
      <c r="WGN231" s="514"/>
      <c r="WGO231" s="514"/>
      <c r="WGP231" s="514"/>
      <c r="WGQ231" s="514"/>
      <c r="WGR231" s="514"/>
      <c r="WGS231" s="514"/>
      <c r="WGT231" s="514"/>
      <c r="WGU231" s="514"/>
      <c r="WGV231" s="514"/>
      <c r="WGW231" s="514"/>
      <c r="WGX231" s="514"/>
      <c r="WGY231" s="514"/>
      <c r="WGZ231" s="514"/>
      <c r="WHA231" s="514"/>
      <c r="WHB231" s="514"/>
      <c r="WHC231" s="514"/>
      <c r="WHD231" s="514"/>
      <c r="WHE231" s="514"/>
      <c r="WHF231" s="514"/>
      <c r="WHG231" s="514"/>
      <c r="WHH231" s="514"/>
      <c r="WHI231" s="514"/>
      <c r="WHJ231" s="514"/>
      <c r="WHK231" s="514"/>
      <c r="WHL231" s="514"/>
      <c r="WHM231" s="514"/>
      <c r="WHN231" s="514"/>
      <c r="WHO231" s="514"/>
      <c r="WHP231" s="514"/>
      <c r="WHQ231" s="514"/>
      <c r="WHR231" s="514"/>
      <c r="WHS231" s="514"/>
      <c r="WHT231" s="514"/>
      <c r="WHU231" s="514"/>
      <c r="WHV231" s="514"/>
      <c r="WHW231" s="514"/>
      <c r="WHX231" s="514"/>
      <c r="WHY231" s="514"/>
      <c r="WHZ231" s="514"/>
      <c r="WIA231" s="514"/>
      <c r="WIB231" s="514"/>
      <c r="WIC231" s="514"/>
      <c r="WID231" s="514"/>
      <c r="WIE231" s="514"/>
      <c r="WIF231" s="514"/>
      <c r="WIG231" s="514"/>
      <c r="WIH231" s="514"/>
      <c r="WII231" s="514"/>
      <c r="WIJ231" s="514"/>
      <c r="WIK231" s="514"/>
      <c r="WIL231" s="514"/>
      <c r="WIM231" s="514"/>
      <c r="WIN231" s="514"/>
      <c r="WIO231" s="514"/>
      <c r="WIP231" s="514"/>
      <c r="WIQ231" s="514"/>
      <c r="WIR231" s="514"/>
      <c r="WIS231" s="514"/>
      <c r="WIT231" s="514"/>
      <c r="WIU231" s="514"/>
      <c r="WIV231" s="514"/>
      <c r="WIW231" s="514"/>
      <c r="WIX231" s="514"/>
      <c r="WIY231" s="514"/>
      <c r="WIZ231" s="514"/>
      <c r="WJA231" s="514"/>
      <c r="WJB231" s="514"/>
      <c r="WJC231" s="514"/>
      <c r="WJD231" s="514"/>
      <c r="WJE231" s="514"/>
      <c r="WJF231" s="514"/>
      <c r="WJG231" s="514"/>
      <c r="WJH231" s="514"/>
      <c r="WJI231" s="514"/>
      <c r="WJJ231" s="514"/>
      <c r="WJK231" s="514"/>
      <c r="WJL231" s="514"/>
      <c r="WJM231" s="514"/>
      <c r="WJN231" s="514"/>
      <c r="WJO231" s="514"/>
      <c r="WJP231" s="514"/>
      <c r="WJQ231" s="514"/>
      <c r="WJR231" s="514"/>
      <c r="WJS231" s="514"/>
      <c r="WJT231" s="514"/>
      <c r="WJU231" s="514"/>
      <c r="WJV231" s="514"/>
      <c r="WJW231" s="514"/>
      <c r="WJX231" s="514"/>
      <c r="WJY231" s="514"/>
      <c r="WJZ231" s="514"/>
      <c r="WKA231" s="514"/>
      <c r="WKB231" s="514"/>
      <c r="WKC231" s="514"/>
      <c r="WKD231" s="514"/>
      <c r="WKE231" s="514"/>
      <c r="WKF231" s="514"/>
      <c r="WKG231" s="514"/>
      <c r="WKH231" s="514"/>
      <c r="WKI231" s="514"/>
      <c r="WKJ231" s="514"/>
      <c r="WKK231" s="514"/>
      <c r="WKL231" s="514"/>
      <c r="WKM231" s="514"/>
      <c r="WKN231" s="514"/>
      <c r="WKO231" s="514"/>
      <c r="WKP231" s="514"/>
      <c r="WKQ231" s="514"/>
      <c r="WKR231" s="514"/>
      <c r="WKS231" s="514"/>
      <c r="WKT231" s="514"/>
      <c r="WKU231" s="514"/>
      <c r="WKV231" s="514"/>
      <c r="WKW231" s="514"/>
      <c r="WKX231" s="514"/>
      <c r="WKY231" s="514"/>
      <c r="WKZ231" s="514"/>
      <c r="WLA231" s="514"/>
      <c r="WLB231" s="514"/>
      <c r="WLC231" s="514"/>
      <c r="WLD231" s="514"/>
      <c r="WLE231" s="514"/>
      <c r="WLF231" s="514"/>
      <c r="WLG231" s="514"/>
      <c r="WLH231" s="514"/>
      <c r="WLI231" s="514"/>
      <c r="WLJ231" s="514"/>
      <c r="WLK231" s="514"/>
      <c r="WLL231" s="514"/>
      <c r="WLM231" s="514"/>
      <c r="WLN231" s="514"/>
      <c r="WLO231" s="514"/>
      <c r="WLP231" s="514"/>
      <c r="WLQ231" s="514"/>
      <c r="WLR231" s="514"/>
      <c r="WLS231" s="514"/>
      <c r="WLT231" s="514"/>
      <c r="WLU231" s="514"/>
      <c r="WLV231" s="514"/>
      <c r="WLW231" s="514"/>
      <c r="WLX231" s="514"/>
      <c r="WLY231" s="514"/>
      <c r="WLZ231" s="514"/>
      <c r="WMA231" s="514"/>
      <c r="WMB231" s="514"/>
      <c r="WMC231" s="514"/>
      <c r="WMD231" s="514"/>
      <c r="WME231" s="514"/>
      <c r="WMF231" s="514"/>
      <c r="WMG231" s="514"/>
      <c r="WMH231" s="514"/>
      <c r="WMI231" s="514"/>
      <c r="WMJ231" s="514"/>
      <c r="WMK231" s="514"/>
      <c r="WML231" s="514"/>
      <c r="WMM231" s="514"/>
      <c r="WMN231" s="514"/>
      <c r="WMO231" s="514"/>
      <c r="WMP231" s="514"/>
      <c r="WMQ231" s="514"/>
      <c r="WMR231" s="514"/>
      <c r="WMS231" s="514"/>
      <c r="WMT231" s="514"/>
      <c r="WMU231" s="514"/>
      <c r="WMV231" s="514"/>
      <c r="WMW231" s="514"/>
      <c r="WMX231" s="514"/>
      <c r="WMY231" s="514"/>
      <c r="WMZ231" s="514"/>
      <c r="WNA231" s="514"/>
      <c r="WNB231" s="514"/>
      <c r="WNC231" s="514"/>
      <c r="WND231" s="514"/>
      <c r="WNE231" s="514"/>
      <c r="WNF231" s="514"/>
      <c r="WNG231" s="514"/>
      <c r="WNH231" s="514"/>
      <c r="WNI231" s="514"/>
      <c r="WNJ231" s="514"/>
      <c r="WNK231" s="514"/>
      <c r="WNL231" s="514"/>
      <c r="WNM231" s="514"/>
      <c r="WNN231" s="514"/>
      <c r="WNO231" s="514"/>
      <c r="WNP231" s="514"/>
      <c r="WNQ231" s="514"/>
      <c r="WNR231" s="514"/>
      <c r="WNS231" s="514"/>
      <c r="WNT231" s="514"/>
      <c r="WNU231" s="514"/>
      <c r="WNV231" s="514"/>
      <c r="WNW231" s="514"/>
      <c r="WNX231" s="514"/>
      <c r="WNY231" s="514"/>
      <c r="WNZ231" s="514"/>
      <c r="WOA231" s="514"/>
      <c r="WOB231" s="514"/>
      <c r="WOC231" s="514"/>
      <c r="WOD231" s="514"/>
      <c r="WOE231" s="514"/>
      <c r="WOF231" s="514"/>
      <c r="WOG231" s="514"/>
      <c r="WOH231" s="514"/>
      <c r="WOI231" s="514"/>
      <c r="WOJ231" s="514"/>
      <c r="WOK231" s="514"/>
      <c r="WOL231" s="514"/>
      <c r="WOM231" s="514"/>
      <c r="WON231" s="514"/>
      <c r="WOO231" s="514"/>
      <c r="WOP231" s="514"/>
      <c r="WOQ231" s="514"/>
      <c r="WOR231" s="514"/>
      <c r="WOS231" s="514"/>
      <c r="WOT231" s="514"/>
      <c r="WOU231" s="514"/>
      <c r="WOV231" s="514"/>
      <c r="WOW231" s="514"/>
      <c r="WOX231" s="514"/>
      <c r="WOY231" s="514"/>
      <c r="WOZ231" s="514"/>
      <c r="WPA231" s="514"/>
      <c r="WPB231" s="514"/>
      <c r="WPC231" s="514"/>
      <c r="WPD231" s="514"/>
      <c r="WPE231" s="514"/>
      <c r="WPF231" s="514"/>
      <c r="WPG231" s="514"/>
      <c r="WPH231" s="514"/>
      <c r="WPI231" s="514"/>
      <c r="WPJ231" s="514"/>
      <c r="WPK231" s="514"/>
      <c r="WPL231" s="514"/>
      <c r="WPM231" s="514"/>
      <c r="WPN231" s="514"/>
      <c r="WPO231" s="514"/>
      <c r="WPP231" s="514"/>
      <c r="WPQ231" s="514"/>
      <c r="WPR231" s="514"/>
      <c r="WPS231" s="514"/>
      <c r="WPT231" s="514"/>
      <c r="WPU231" s="514"/>
      <c r="WPV231" s="514"/>
      <c r="WPW231" s="514"/>
      <c r="WPX231" s="514"/>
      <c r="WPY231" s="514"/>
      <c r="WPZ231" s="514"/>
      <c r="WQA231" s="514"/>
      <c r="WQB231" s="514"/>
      <c r="WQC231" s="514"/>
      <c r="WQD231" s="514"/>
      <c r="WQE231" s="514"/>
      <c r="WQF231" s="514"/>
      <c r="WQG231" s="514"/>
      <c r="WQH231" s="514"/>
      <c r="WQI231" s="514"/>
      <c r="WQJ231" s="514"/>
      <c r="WQK231" s="514"/>
      <c r="WQL231" s="514"/>
      <c r="WQM231" s="514"/>
      <c r="WQN231" s="514"/>
      <c r="WQO231" s="514"/>
      <c r="WQP231" s="514"/>
      <c r="WQQ231" s="514"/>
      <c r="WQR231" s="514"/>
      <c r="WQS231" s="514"/>
      <c r="WQT231" s="514"/>
      <c r="WQU231" s="514"/>
      <c r="WQV231" s="514"/>
      <c r="WQW231" s="514"/>
      <c r="WQX231" s="514"/>
      <c r="WQY231" s="514"/>
      <c r="WQZ231" s="514"/>
      <c r="WRA231" s="514"/>
      <c r="WRB231" s="514"/>
      <c r="WRC231" s="514"/>
      <c r="WRD231" s="514"/>
      <c r="WRE231" s="514"/>
      <c r="WRF231" s="514"/>
      <c r="WRG231" s="514"/>
      <c r="WRH231" s="514"/>
      <c r="WRI231" s="514"/>
      <c r="WRJ231" s="514"/>
      <c r="WRK231" s="514"/>
      <c r="WRL231" s="514"/>
      <c r="WRM231" s="514"/>
      <c r="WRN231" s="514"/>
      <c r="WRO231" s="514"/>
      <c r="WRP231" s="514"/>
      <c r="WRQ231" s="514"/>
      <c r="WRR231" s="514"/>
      <c r="WRS231" s="514"/>
      <c r="WRT231" s="514"/>
      <c r="WRU231" s="514"/>
      <c r="WRV231" s="514"/>
      <c r="WRW231" s="514"/>
      <c r="WRX231" s="514"/>
      <c r="WRY231" s="514"/>
      <c r="WRZ231" s="514"/>
      <c r="WSA231" s="514"/>
      <c r="WSB231" s="514"/>
      <c r="WSC231" s="514"/>
      <c r="WSD231" s="514"/>
      <c r="WSE231" s="514"/>
      <c r="WSF231" s="514"/>
      <c r="WSG231" s="514"/>
      <c r="WSH231" s="514"/>
      <c r="WSI231" s="514"/>
      <c r="WSJ231" s="514"/>
      <c r="WSK231" s="514"/>
      <c r="WSL231" s="514"/>
      <c r="WSM231" s="514"/>
      <c r="WSN231" s="514"/>
      <c r="WSO231" s="514"/>
      <c r="WSP231" s="514"/>
      <c r="WSQ231" s="514"/>
      <c r="WSR231" s="514"/>
      <c r="WSS231" s="514"/>
      <c r="WST231" s="514"/>
      <c r="WSU231" s="514"/>
      <c r="WSV231" s="514"/>
      <c r="WSW231" s="514"/>
      <c r="WSX231" s="514"/>
      <c r="WSY231" s="514"/>
      <c r="WSZ231" s="514"/>
      <c r="WTA231" s="514"/>
      <c r="WTB231" s="514"/>
      <c r="WTC231" s="514"/>
      <c r="WTD231" s="514"/>
      <c r="WTE231" s="514"/>
      <c r="WTF231" s="514"/>
      <c r="WTG231" s="514"/>
      <c r="WTH231" s="514"/>
      <c r="WTI231" s="514"/>
      <c r="WTJ231" s="514"/>
      <c r="WTK231" s="514"/>
      <c r="WTL231" s="514"/>
      <c r="WTM231" s="514"/>
      <c r="WTN231" s="514"/>
      <c r="WTO231" s="514"/>
      <c r="WTP231" s="514"/>
      <c r="WTQ231" s="514"/>
      <c r="WTR231" s="514"/>
      <c r="WTS231" s="514"/>
      <c r="WTT231" s="514"/>
      <c r="WTU231" s="514"/>
      <c r="WTV231" s="514"/>
      <c r="WTW231" s="514"/>
      <c r="WTX231" s="514"/>
      <c r="WTY231" s="514"/>
      <c r="WTZ231" s="514"/>
      <c r="WUA231" s="514"/>
      <c r="WUB231" s="514"/>
      <c r="WUC231" s="514"/>
      <c r="WUD231" s="514"/>
      <c r="WUE231" s="514"/>
      <c r="WUF231" s="514"/>
      <c r="WUG231" s="514"/>
      <c r="WUH231" s="514"/>
      <c r="WUI231" s="514"/>
      <c r="WUJ231" s="514"/>
      <c r="WUK231" s="514"/>
      <c r="WUL231" s="514"/>
      <c r="WUM231" s="514"/>
      <c r="WUN231" s="514"/>
      <c r="WUO231" s="514"/>
      <c r="WUP231" s="514"/>
      <c r="WUQ231" s="514"/>
      <c r="WUR231" s="514"/>
      <c r="WUS231" s="514"/>
      <c r="WUT231" s="514"/>
      <c r="WUU231" s="514"/>
      <c r="WUV231" s="514"/>
      <c r="WUW231" s="514"/>
      <c r="WUX231" s="514"/>
      <c r="WUY231" s="514"/>
      <c r="WUZ231" s="514"/>
      <c r="WVA231" s="514"/>
      <c r="WVB231" s="514"/>
      <c r="WVC231" s="514"/>
      <c r="WVD231" s="514"/>
      <c r="WVE231" s="514"/>
      <c r="WVF231" s="514"/>
      <c r="WVG231" s="514"/>
      <c r="WVH231" s="514"/>
      <c r="WVI231" s="514"/>
      <c r="WVJ231" s="514"/>
      <c r="WVK231" s="514"/>
      <c r="WVL231" s="514"/>
      <c r="WVM231" s="514"/>
      <c r="WVN231" s="514"/>
      <c r="WVO231" s="514"/>
    </row>
    <row r="232" spans="1:16135" x14ac:dyDescent="0.25">
      <c r="F232" s="54"/>
      <c r="G232" s="54"/>
    </row>
    <row r="233" spans="1:16135" x14ac:dyDescent="0.25">
      <c r="F233" s="54"/>
      <c r="G233" s="54"/>
    </row>
    <row r="234" spans="1:16135" x14ac:dyDescent="0.25">
      <c r="F234" s="54"/>
      <c r="G234" s="54"/>
    </row>
    <row r="235" spans="1:16135" x14ac:dyDescent="0.25">
      <c r="F235" s="54"/>
      <c r="G235" s="474"/>
    </row>
    <row r="236" spans="1:16135" x14ac:dyDescent="0.25">
      <c r="F236" s="54"/>
      <c r="G236" s="54"/>
    </row>
    <row r="237" spans="1:16135" x14ac:dyDescent="0.25">
      <c r="F237" s="54"/>
      <c r="G237" s="54"/>
    </row>
    <row r="238" spans="1:16135" x14ac:dyDescent="0.25">
      <c r="F238" s="54"/>
      <c r="G238" s="54"/>
    </row>
    <row r="239" spans="1:16135" x14ac:dyDescent="0.25">
      <c r="F239" s="54"/>
      <c r="G239" s="54"/>
    </row>
    <row r="240" spans="1:16135" x14ac:dyDescent="0.25">
      <c r="F240" s="54"/>
      <c r="G240" s="54"/>
    </row>
    <row r="241" spans="6:7" x14ac:dyDescent="0.25">
      <c r="F241" s="54"/>
      <c r="G241" s="54"/>
    </row>
    <row r="242" spans="6:7" x14ac:dyDescent="0.25">
      <c r="F242" s="54"/>
      <c r="G242" s="54"/>
    </row>
    <row r="243" spans="6:7" x14ac:dyDescent="0.25">
      <c r="F243" s="54"/>
      <c r="G243" s="54"/>
    </row>
    <row r="244" spans="6:7" x14ac:dyDescent="0.25">
      <c r="F244" s="54"/>
      <c r="G244" s="54"/>
    </row>
    <row r="245" spans="6:7" x14ac:dyDescent="0.25">
      <c r="F245" s="54"/>
      <c r="G245" s="54"/>
    </row>
    <row r="246" spans="6:7" x14ac:dyDescent="0.25">
      <c r="F246" s="54"/>
      <c r="G246" s="54"/>
    </row>
    <row r="247" spans="6:7" x14ac:dyDescent="0.25">
      <c r="F247" s="54"/>
      <c r="G247" s="54"/>
    </row>
    <row r="248" spans="6:7" x14ac:dyDescent="0.25">
      <c r="F248" s="54"/>
      <c r="G248" s="54"/>
    </row>
    <row r="249" spans="6:7" x14ac:dyDescent="0.25">
      <c r="F249" s="54"/>
      <c r="G249" s="54"/>
    </row>
    <row r="250" spans="6:7" x14ac:dyDescent="0.25">
      <c r="F250" s="54"/>
      <c r="G250" s="54"/>
    </row>
    <row r="251" spans="6:7" x14ac:dyDescent="0.25">
      <c r="F251" s="54"/>
      <c r="G251" s="54"/>
    </row>
    <row r="252" spans="6:7" x14ac:dyDescent="0.25">
      <c r="F252" s="54"/>
      <c r="G252" s="54"/>
    </row>
    <row r="253" spans="6:7" x14ac:dyDescent="0.25">
      <c r="F253" s="54"/>
      <c r="G253" s="54"/>
    </row>
    <row r="254" spans="6:7" x14ac:dyDescent="0.25">
      <c r="F254" s="54"/>
      <c r="G254" s="54"/>
    </row>
    <row r="255" spans="6:7" x14ac:dyDescent="0.25">
      <c r="F255" s="54"/>
      <c r="G255" s="54"/>
    </row>
    <row r="256" spans="6:7" x14ac:dyDescent="0.25">
      <c r="F256" s="54"/>
      <c r="G256" s="54"/>
    </row>
    <row r="257" spans="6:7" x14ac:dyDescent="0.25">
      <c r="F257" s="54"/>
      <c r="G257" s="54"/>
    </row>
    <row r="258" spans="6:7" x14ac:dyDescent="0.25">
      <c r="F258" s="54"/>
      <c r="G258" s="54"/>
    </row>
    <row r="259" spans="6:7" x14ac:dyDescent="0.25">
      <c r="F259" s="54"/>
      <c r="G259" s="54"/>
    </row>
    <row r="260" spans="6:7" x14ac:dyDescent="0.25">
      <c r="F260" s="54"/>
      <c r="G260" s="54"/>
    </row>
    <row r="261" spans="6:7" x14ac:dyDescent="0.25">
      <c r="F261" s="54"/>
      <c r="G261" s="54"/>
    </row>
    <row r="262" spans="6:7" x14ac:dyDescent="0.25">
      <c r="F262" s="54"/>
      <c r="G262" s="54"/>
    </row>
    <row r="263" spans="6:7" x14ac:dyDescent="0.25">
      <c r="F263" s="54"/>
      <c r="G263" s="54"/>
    </row>
    <row r="264" spans="6:7" x14ac:dyDescent="0.25">
      <c r="F264" s="54"/>
      <c r="G264" s="54"/>
    </row>
    <row r="265" spans="6:7" x14ac:dyDescent="0.25">
      <c r="F265" s="54"/>
      <c r="G265" s="54"/>
    </row>
    <row r="266" spans="6:7" x14ac:dyDescent="0.25">
      <c r="F266" s="54"/>
      <c r="G266" s="54"/>
    </row>
    <row r="267" spans="6:7" x14ac:dyDescent="0.25">
      <c r="F267" s="54"/>
      <c r="G267" s="54"/>
    </row>
    <row r="268" spans="6:7" x14ac:dyDescent="0.25">
      <c r="F268" s="54"/>
      <c r="G268" s="54"/>
    </row>
    <row r="269" spans="6:7" x14ac:dyDescent="0.25">
      <c r="F269" s="54"/>
      <c r="G269" s="54"/>
    </row>
    <row r="270" spans="6:7" x14ac:dyDescent="0.25">
      <c r="F270" s="54"/>
      <c r="G270" s="54"/>
    </row>
    <row r="271" spans="6:7" x14ac:dyDescent="0.25">
      <c r="F271" s="54"/>
      <c r="G271" s="54"/>
    </row>
    <row r="272" spans="6:7" x14ac:dyDescent="0.25">
      <c r="F272" s="54"/>
      <c r="G272" s="54"/>
    </row>
    <row r="273" spans="6:7" x14ac:dyDescent="0.25">
      <c r="F273" s="54"/>
      <c r="G273" s="54"/>
    </row>
    <row r="274" spans="6:7" x14ac:dyDescent="0.25">
      <c r="F274" s="54"/>
      <c r="G274" s="54"/>
    </row>
    <row r="275" spans="6:7" x14ac:dyDescent="0.25">
      <c r="F275" s="54"/>
      <c r="G275" s="54"/>
    </row>
    <row r="276" spans="6:7" x14ac:dyDescent="0.25">
      <c r="F276" s="54"/>
      <c r="G276" s="54"/>
    </row>
    <row r="277" spans="6:7" x14ac:dyDescent="0.25">
      <c r="F277" s="54"/>
      <c r="G277" s="54"/>
    </row>
    <row r="278" spans="6:7" x14ac:dyDescent="0.25">
      <c r="F278" s="54"/>
      <c r="G278" s="54"/>
    </row>
    <row r="279" spans="6:7" x14ac:dyDescent="0.25">
      <c r="F279" s="54"/>
      <c r="G279" s="54"/>
    </row>
    <row r="280" spans="6:7" x14ac:dyDescent="0.25">
      <c r="F280" s="54"/>
      <c r="G280" s="54"/>
    </row>
    <row r="281" spans="6:7" x14ac:dyDescent="0.25">
      <c r="F281" s="54"/>
      <c r="G281" s="54"/>
    </row>
    <row r="282" spans="6:7" x14ac:dyDescent="0.25">
      <c r="F282" s="54"/>
      <c r="G282" s="54"/>
    </row>
    <row r="283" spans="6:7" x14ac:dyDescent="0.25">
      <c r="F283" s="54"/>
      <c r="G283" s="54"/>
    </row>
    <row r="284" spans="6:7" x14ac:dyDescent="0.25">
      <c r="F284" s="54"/>
      <c r="G284" s="54"/>
    </row>
    <row r="285" spans="6:7" x14ac:dyDescent="0.25">
      <c r="F285" s="54"/>
      <c r="G285" s="54"/>
    </row>
    <row r="286" spans="6:7" x14ac:dyDescent="0.25">
      <c r="F286" s="54"/>
      <c r="G286" s="54"/>
    </row>
    <row r="287" spans="6:7" x14ac:dyDescent="0.25">
      <c r="F287" s="54"/>
      <c r="G287" s="54"/>
    </row>
    <row r="288" spans="6:7" x14ac:dyDescent="0.25">
      <c r="F288" s="54"/>
      <c r="G288" s="54"/>
    </row>
    <row r="289" spans="6:7" x14ac:dyDescent="0.25">
      <c r="F289" s="54"/>
      <c r="G289" s="54"/>
    </row>
    <row r="290" spans="6:7" x14ac:dyDescent="0.25">
      <c r="F290" s="54"/>
      <c r="G290" s="54"/>
    </row>
    <row r="291" spans="6:7" x14ac:dyDescent="0.25">
      <c r="F291" s="54"/>
      <c r="G291" s="54"/>
    </row>
    <row r="292" spans="6:7" x14ac:dyDescent="0.25">
      <c r="F292" s="54"/>
      <c r="G292" s="54"/>
    </row>
    <row r="293" spans="6:7" x14ac:dyDescent="0.25">
      <c r="F293" s="54"/>
      <c r="G293" s="54"/>
    </row>
    <row r="294" spans="6:7" x14ac:dyDescent="0.25">
      <c r="F294" s="54"/>
      <c r="G294" s="54"/>
    </row>
    <row r="295" spans="6:7" x14ac:dyDescent="0.25">
      <c r="F295" s="54"/>
      <c r="G295" s="54"/>
    </row>
    <row r="296" spans="6:7" x14ac:dyDescent="0.25">
      <c r="F296" s="54"/>
      <c r="G296" s="54"/>
    </row>
    <row r="297" spans="6:7" x14ac:dyDescent="0.25">
      <c r="F297" s="54"/>
      <c r="G297" s="54"/>
    </row>
    <row r="298" spans="6:7" x14ac:dyDescent="0.25">
      <c r="F298" s="54"/>
      <c r="G298" s="54"/>
    </row>
    <row r="299" spans="6:7" x14ac:dyDescent="0.25">
      <c r="F299" s="54"/>
      <c r="G299" s="54"/>
    </row>
    <row r="300" spans="6:7" x14ac:dyDescent="0.25">
      <c r="F300" s="54"/>
      <c r="G300" s="54"/>
    </row>
    <row r="301" spans="6:7" x14ac:dyDescent="0.25">
      <c r="F301" s="54"/>
      <c r="G301" s="54"/>
    </row>
    <row r="302" spans="6:7" x14ac:dyDescent="0.25">
      <c r="F302" s="54"/>
      <c r="G302" s="54"/>
    </row>
    <row r="303" spans="6:7" x14ac:dyDescent="0.25">
      <c r="F303" s="54"/>
      <c r="G303" s="54"/>
    </row>
    <row r="304" spans="6:7" x14ac:dyDescent="0.25">
      <c r="F304" s="54"/>
      <c r="G304" s="54"/>
    </row>
    <row r="305" spans="6:7" x14ac:dyDescent="0.25">
      <c r="F305" s="54"/>
      <c r="G305" s="54"/>
    </row>
    <row r="306" spans="6:7" x14ac:dyDescent="0.25">
      <c r="F306" s="54"/>
      <c r="G306" s="54"/>
    </row>
    <row r="307" spans="6:7" x14ac:dyDescent="0.25">
      <c r="F307" s="54"/>
      <c r="G307" s="54"/>
    </row>
    <row r="308" spans="6:7" x14ac:dyDescent="0.25">
      <c r="F308" s="54"/>
      <c r="G308" s="54"/>
    </row>
    <row r="309" spans="6:7" x14ac:dyDescent="0.25">
      <c r="F309" s="54"/>
      <c r="G309" s="54"/>
    </row>
    <row r="310" spans="6:7" x14ac:dyDescent="0.25">
      <c r="F310" s="54"/>
      <c r="G310" s="54"/>
    </row>
    <row r="311" spans="6:7" x14ac:dyDescent="0.25">
      <c r="F311" s="54"/>
      <c r="G311" s="54"/>
    </row>
    <row r="312" spans="6:7" x14ac:dyDescent="0.25">
      <c r="F312" s="54"/>
      <c r="G312" s="54"/>
    </row>
    <row r="313" spans="6:7" x14ac:dyDescent="0.25">
      <c r="F313" s="54"/>
      <c r="G313" s="54"/>
    </row>
    <row r="314" spans="6:7" x14ac:dyDescent="0.25">
      <c r="F314" s="54"/>
      <c r="G314" s="54"/>
    </row>
    <row r="315" spans="6:7" x14ac:dyDescent="0.25">
      <c r="F315" s="54"/>
      <c r="G315" s="54"/>
    </row>
    <row r="316" spans="6:7" x14ac:dyDescent="0.25">
      <c r="F316" s="54"/>
      <c r="G316" s="54"/>
    </row>
    <row r="317" spans="6:7" x14ac:dyDescent="0.25">
      <c r="F317" s="54"/>
      <c r="G317" s="54"/>
    </row>
    <row r="318" spans="6:7" x14ac:dyDescent="0.25">
      <c r="F318" s="54"/>
      <c r="G318" s="54"/>
    </row>
    <row r="319" spans="6:7" x14ac:dyDescent="0.25">
      <c r="F319" s="54"/>
      <c r="G319" s="54"/>
    </row>
    <row r="320" spans="6:7" x14ac:dyDescent="0.25">
      <c r="F320" s="54"/>
      <c r="G320" s="54"/>
    </row>
    <row r="321" spans="6:7" x14ac:dyDescent="0.25">
      <c r="F321" s="54"/>
      <c r="G321" s="54"/>
    </row>
    <row r="322" spans="6:7" x14ac:dyDescent="0.25">
      <c r="F322" s="54"/>
      <c r="G322" s="54"/>
    </row>
    <row r="323" spans="6:7" x14ac:dyDescent="0.25">
      <c r="F323" s="54"/>
      <c r="G323" s="54"/>
    </row>
    <row r="324" spans="6:7" x14ac:dyDescent="0.25">
      <c r="F324" s="54"/>
      <c r="G324" s="54"/>
    </row>
    <row r="325" spans="6:7" x14ac:dyDescent="0.25">
      <c r="F325" s="54"/>
      <c r="G325" s="54"/>
    </row>
    <row r="326" spans="6:7" x14ac:dyDescent="0.25">
      <c r="F326" s="54"/>
      <c r="G326" s="54"/>
    </row>
    <row r="327" spans="6:7" x14ac:dyDescent="0.25">
      <c r="F327" s="54"/>
      <c r="G327" s="54"/>
    </row>
    <row r="328" spans="6:7" x14ac:dyDescent="0.25">
      <c r="F328" s="54"/>
      <c r="G328" s="54"/>
    </row>
    <row r="329" spans="6:7" x14ac:dyDescent="0.25">
      <c r="F329" s="54"/>
      <c r="G329" s="54"/>
    </row>
    <row r="330" spans="6:7" x14ac:dyDescent="0.25">
      <c r="F330" s="54"/>
      <c r="G330" s="54"/>
    </row>
    <row r="331" spans="6:7" x14ac:dyDescent="0.25">
      <c r="F331" s="54"/>
      <c r="G331" s="54"/>
    </row>
    <row r="332" spans="6:7" x14ac:dyDescent="0.25">
      <c r="F332" s="520"/>
      <c r="G332" s="520"/>
    </row>
    <row r="333" spans="6:7" x14ac:dyDescent="0.25">
      <c r="F333" s="520"/>
      <c r="G333" s="520"/>
    </row>
    <row r="334" spans="6:7" x14ac:dyDescent="0.25">
      <c r="F334" s="520"/>
      <c r="G334" s="520"/>
    </row>
    <row r="335" spans="6:7" x14ac:dyDescent="0.25">
      <c r="F335" s="520"/>
      <c r="G335" s="520"/>
    </row>
    <row r="336" spans="6:7" x14ac:dyDescent="0.25">
      <c r="F336" s="520"/>
      <c r="G336" s="520"/>
    </row>
    <row r="337" spans="6:7" x14ac:dyDescent="0.25">
      <c r="F337" s="520"/>
      <c r="G337" s="520"/>
    </row>
    <row r="338" spans="6:7" x14ac:dyDescent="0.25">
      <c r="F338" s="520"/>
      <c r="G338" s="520"/>
    </row>
    <row r="339" spans="6:7" x14ac:dyDescent="0.25">
      <c r="F339" s="520"/>
      <c r="G339" s="520"/>
    </row>
    <row r="340" spans="6:7" x14ac:dyDescent="0.25">
      <c r="F340" s="520"/>
      <c r="G340" s="520"/>
    </row>
    <row r="341" spans="6:7" x14ac:dyDescent="0.25">
      <c r="F341" s="520"/>
      <c r="G341" s="520"/>
    </row>
    <row r="342" spans="6:7" x14ac:dyDescent="0.25">
      <c r="F342" s="520"/>
      <c r="G342" s="520"/>
    </row>
    <row r="343" spans="6:7" x14ac:dyDescent="0.25">
      <c r="F343" s="520"/>
      <c r="G343" s="520"/>
    </row>
    <row r="344" spans="6:7" x14ac:dyDescent="0.25">
      <c r="F344" s="520"/>
      <c r="G344" s="520"/>
    </row>
    <row r="345" spans="6:7" x14ac:dyDescent="0.25">
      <c r="F345" s="520"/>
      <c r="G345" s="520"/>
    </row>
    <row r="346" spans="6:7" x14ac:dyDescent="0.25">
      <c r="F346" s="520"/>
      <c r="G346" s="520"/>
    </row>
    <row r="347" spans="6:7" x14ac:dyDescent="0.25">
      <c r="F347" s="520"/>
      <c r="G347" s="520"/>
    </row>
    <row r="348" spans="6:7" x14ac:dyDescent="0.25">
      <c r="F348" s="520"/>
      <c r="G348" s="520"/>
    </row>
    <row r="349" spans="6:7" x14ac:dyDescent="0.25">
      <c r="F349" s="520"/>
      <c r="G349" s="520"/>
    </row>
    <row r="350" spans="6:7" x14ac:dyDescent="0.25">
      <c r="F350" s="520"/>
      <c r="G350" s="520"/>
    </row>
    <row r="351" spans="6:7" x14ac:dyDescent="0.25">
      <c r="F351" s="520"/>
      <c r="G351" s="520"/>
    </row>
    <row r="352" spans="6:7" x14ac:dyDescent="0.25">
      <c r="F352" s="520"/>
      <c r="G352" s="520"/>
    </row>
    <row r="353" spans="6:7" x14ac:dyDescent="0.25">
      <c r="F353" s="520"/>
      <c r="G353" s="520"/>
    </row>
    <row r="354" spans="6:7" x14ac:dyDescent="0.25">
      <c r="F354" s="520"/>
      <c r="G354" s="520"/>
    </row>
    <row r="355" spans="6:7" x14ac:dyDescent="0.25">
      <c r="F355" s="520"/>
      <c r="G355" s="520"/>
    </row>
    <row r="356" spans="6:7" x14ac:dyDescent="0.25">
      <c r="F356" s="520"/>
      <c r="G356" s="520"/>
    </row>
    <row r="357" spans="6:7" x14ac:dyDescent="0.25">
      <c r="F357" s="520"/>
      <c r="G357" s="520"/>
    </row>
    <row r="358" spans="6:7" x14ac:dyDescent="0.25">
      <c r="F358" s="520"/>
      <c r="G358" s="520"/>
    </row>
    <row r="359" spans="6:7" x14ac:dyDescent="0.25">
      <c r="F359" s="520"/>
      <c r="G359" s="520"/>
    </row>
    <row r="360" spans="6:7" x14ac:dyDescent="0.25">
      <c r="F360" s="520"/>
      <c r="G360" s="520"/>
    </row>
    <row r="361" spans="6:7" x14ac:dyDescent="0.25">
      <c r="F361" s="520"/>
      <c r="G361" s="520"/>
    </row>
    <row r="362" spans="6:7" x14ac:dyDescent="0.25">
      <c r="F362" s="520"/>
      <c r="G362" s="520"/>
    </row>
    <row r="363" spans="6:7" x14ac:dyDescent="0.25">
      <c r="F363" s="520"/>
      <c r="G363" s="520"/>
    </row>
    <row r="364" spans="6:7" x14ac:dyDescent="0.25">
      <c r="F364" s="520"/>
      <c r="G364" s="520"/>
    </row>
    <row r="365" spans="6:7" x14ac:dyDescent="0.25">
      <c r="F365" s="520"/>
      <c r="G365" s="520"/>
    </row>
    <row r="366" spans="6:7" x14ac:dyDescent="0.25">
      <c r="F366" s="520"/>
      <c r="G366" s="520"/>
    </row>
    <row r="367" spans="6:7" x14ac:dyDescent="0.25">
      <c r="F367" s="520"/>
      <c r="G367" s="520"/>
    </row>
    <row r="368" spans="6:7" x14ac:dyDescent="0.25">
      <c r="F368" s="520"/>
      <c r="G368" s="520"/>
    </row>
    <row r="369" spans="6:7" x14ac:dyDescent="0.25">
      <c r="F369" s="520"/>
      <c r="G369" s="520"/>
    </row>
    <row r="370" spans="6:7" x14ac:dyDescent="0.25">
      <c r="F370" s="520"/>
      <c r="G370" s="520"/>
    </row>
    <row r="371" spans="6:7" x14ac:dyDescent="0.25">
      <c r="F371" s="520"/>
      <c r="G371" s="520"/>
    </row>
    <row r="372" spans="6:7" x14ac:dyDescent="0.25">
      <c r="F372" s="520"/>
      <c r="G372" s="520"/>
    </row>
    <row r="373" spans="6:7" x14ac:dyDescent="0.25">
      <c r="F373" s="520"/>
      <c r="G373" s="520"/>
    </row>
    <row r="374" spans="6:7" x14ac:dyDescent="0.25">
      <c r="F374" s="520"/>
      <c r="G374" s="520"/>
    </row>
    <row r="375" spans="6:7" x14ac:dyDescent="0.25">
      <c r="F375" s="520"/>
      <c r="G375" s="520"/>
    </row>
    <row r="376" spans="6:7" x14ac:dyDescent="0.25">
      <c r="F376" s="520"/>
      <c r="G376" s="520"/>
    </row>
    <row r="377" spans="6:7" x14ac:dyDescent="0.25">
      <c r="F377" s="520"/>
      <c r="G377" s="520"/>
    </row>
    <row r="378" spans="6:7" x14ac:dyDescent="0.25">
      <c r="F378" s="520"/>
      <c r="G378" s="520"/>
    </row>
    <row r="379" spans="6:7" x14ac:dyDescent="0.25">
      <c r="F379" s="520"/>
      <c r="G379" s="520"/>
    </row>
    <row r="380" spans="6:7" x14ac:dyDescent="0.25">
      <c r="F380" s="520"/>
      <c r="G380" s="520"/>
    </row>
    <row r="381" spans="6:7" x14ac:dyDescent="0.25">
      <c r="F381" s="520"/>
      <c r="G381" s="520"/>
    </row>
    <row r="382" spans="6:7" x14ac:dyDescent="0.25">
      <c r="F382" s="520"/>
      <c r="G382" s="520"/>
    </row>
    <row r="383" spans="6:7" x14ac:dyDescent="0.25">
      <c r="F383" s="520"/>
      <c r="G383" s="520"/>
    </row>
    <row r="384" spans="6:7" x14ac:dyDescent="0.25">
      <c r="F384" s="520"/>
      <c r="G384" s="520"/>
    </row>
    <row r="385" spans="6:7" x14ac:dyDescent="0.25">
      <c r="F385" s="520"/>
      <c r="G385" s="520"/>
    </row>
    <row r="386" spans="6:7" x14ac:dyDescent="0.25">
      <c r="F386" s="520"/>
      <c r="G386" s="520"/>
    </row>
    <row r="387" spans="6:7" x14ac:dyDescent="0.25">
      <c r="F387" s="520"/>
      <c r="G387" s="520"/>
    </row>
    <row r="388" spans="6:7" x14ac:dyDescent="0.25">
      <c r="F388" s="520"/>
      <c r="G388" s="520"/>
    </row>
    <row r="389" spans="6:7" x14ac:dyDescent="0.25">
      <c r="F389" s="520"/>
      <c r="G389" s="520"/>
    </row>
    <row r="390" spans="6:7" x14ac:dyDescent="0.25">
      <c r="F390" s="520"/>
      <c r="G390" s="520"/>
    </row>
    <row r="391" spans="6:7" x14ac:dyDescent="0.25">
      <c r="F391" s="520"/>
      <c r="G391" s="520"/>
    </row>
    <row r="392" spans="6:7" x14ac:dyDescent="0.25">
      <c r="F392" s="520"/>
      <c r="G392" s="520"/>
    </row>
    <row r="393" spans="6:7" x14ac:dyDescent="0.25">
      <c r="F393" s="520"/>
      <c r="G393" s="520"/>
    </row>
    <row r="394" spans="6:7" x14ac:dyDescent="0.25">
      <c r="F394" s="520"/>
      <c r="G394" s="520"/>
    </row>
    <row r="395" spans="6:7" x14ac:dyDescent="0.25">
      <c r="F395" s="520"/>
      <c r="G395" s="520"/>
    </row>
    <row r="396" spans="6:7" x14ac:dyDescent="0.25">
      <c r="F396" s="520"/>
      <c r="G396" s="520"/>
    </row>
    <row r="397" spans="6:7" x14ac:dyDescent="0.25">
      <c r="F397" s="520"/>
      <c r="G397" s="520"/>
    </row>
    <row r="398" spans="6:7" x14ac:dyDescent="0.25">
      <c r="F398" s="520"/>
      <c r="G398" s="520"/>
    </row>
    <row r="399" spans="6:7" x14ac:dyDescent="0.25">
      <c r="F399" s="520"/>
      <c r="G399" s="520"/>
    </row>
    <row r="400" spans="6:7" x14ac:dyDescent="0.25">
      <c r="F400" s="520"/>
      <c r="G400" s="520"/>
    </row>
    <row r="401" spans="6:7" x14ac:dyDescent="0.25">
      <c r="F401" s="520"/>
      <c r="G401" s="520"/>
    </row>
    <row r="402" spans="6:7" x14ac:dyDescent="0.25">
      <c r="F402" s="520"/>
      <c r="G402" s="520"/>
    </row>
    <row r="403" spans="6:7" x14ac:dyDescent="0.25">
      <c r="F403" s="520"/>
      <c r="G403" s="520"/>
    </row>
    <row r="404" spans="6:7" x14ac:dyDescent="0.25">
      <c r="F404" s="520"/>
      <c r="G404" s="520"/>
    </row>
    <row r="405" spans="6:7" x14ac:dyDescent="0.25">
      <c r="F405" s="520"/>
      <c r="G405" s="520"/>
    </row>
    <row r="406" spans="6:7" x14ac:dyDescent="0.25">
      <c r="F406" s="520"/>
      <c r="G406" s="520"/>
    </row>
    <row r="407" spans="6:7" x14ac:dyDescent="0.25">
      <c r="F407" s="520"/>
      <c r="G407" s="520"/>
    </row>
    <row r="408" spans="6:7" x14ac:dyDescent="0.25">
      <c r="F408" s="520"/>
      <c r="G408" s="520"/>
    </row>
    <row r="409" spans="6:7" x14ac:dyDescent="0.25">
      <c r="F409" s="520"/>
      <c r="G409" s="520"/>
    </row>
    <row r="410" spans="6:7" x14ac:dyDescent="0.25">
      <c r="F410" s="520"/>
      <c r="G410" s="520"/>
    </row>
    <row r="411" spans="6:7" x14ac:dyDescent="0.25">
      <c r="F411" s="520"/>
      <c r="G411" s="520"/>
    </row>
    <row r="412" spans="6:7" x14ac:dyDescent="0.25">
      <c r="F412" s="520"/>
      <c r="G412" s="520"/>
    </row>
    <row r="413" spans="6:7" x14ac:dyDescent="0.25">
      <c r="F413" s="520"/>
      <c r="G413" s="520"/>
    </row>
    <row r="414" spans="6:7" x14ac:dyDescent="0.25">
      <c r="F414" s="520"/>
      <c r="G414" s="520"/>
    </row>
    <row r="415" spans="6:7" x14ac:dyDescent="0.25">
      <c r="F415" s="520"/>
      <c r="G415" s="520"/>
    </row>
    <row r="416" spans="6:7" x14ac:dyDescent="0.25">
      <c r="F416" s="520"/>
      <c r="G416" s="520"/>
    </row>
    <row r="417" spans="6:7" x14ac:dyDescent="0.25">
      <c r="F417" s="520"/>
      <c r="G417" s="520"/>
    </row>
    <row r="418" spans="6:7" x14ac:dyDescent="0.25">
      <c r="F418" s="520"/>
      <c r="G418" s="520"/>
    </row>
    <row r="419" spans="6:7" x14ac:dyDescent="0.25">
      <c r="F419" s="520"/>
      <c r="G419" s="520"/>
    </row>
    <row r="420" spans="6:7" x14ac:dyDescent="0.25">
      <c r="F420" s="520"/>
      <c r="G420" s="520"/>
    </row>
    <row r="421" spans="6:7" x14ac:dyDescent="0.25">
      <c r="F421" s="520"/>
      <c r="G421" s="520"/>
    </row>
    <row r="422" spans="6:7" x14ac:dyDescent="0.25">
      <c r="F422" s="520"/>
      <c r="G422" s="520"/>
    </row>
    <row r="423" spans="6:7" x14ac:dyDescent="0.25">
      <c r="F423" s="520"/>
      <c r="G423" s="520"/>
    </row>
    <row r="424" spans="6:7" x14ac:dyDescent="0.25">
      <c r="F424" s="520"/>
      <c r="G424" s="520"/>
    </row>
    <row r="425" spans="6:7" x14ac:dyDescent="0.25">
      <c r="F425" s="520"/>
      <c r="G425" s="520"/>
    </row>
    <row r="426" spans="6:7" x14ac:dyDescent="0.25">
      <c r="F426" s="520"/>
      <c r="G426" s="520"/>
    </row>
    <row r="427" spans="6:7" x14ac:dyDescent="0.25">
      <c r="F427" s="520"/>
      <c r="G427" s="520"/>
    </row>
    <row r="428" spans="6:7" x14ac:dyDescent="0.25">
      <c r="F428" s="520"/>
      <c r="G428" s="520"/>
    </row>
    <row r="429" spans="6:7" x14ac:dyDescent="0.25">
      <c r="F429" s="520"/>
      <c r="G429" s="520"/>
    </row>
    <row r="430" spans="6:7" x14ac:dyDescent="0.25">
      <c r="F430" s="520"/>
      <c r="G430" s="520"/>
    </row>
    <row r="431" spans="6:7" x14ac:dyDescent="0.25">
      <c r="F431" s="520"/>
      <c r="G431" s="520"/>
    </row>
    <row r="432" spans="6:7" x14ac:dyDescent="0.25">
      <c r="F432" s="520"/>
      <c r="G432" s="520"/>
    </row>
    <row r="433" spans="6:7" x14ac:dyDescent="0.25">
      <c r="F433" s="520"/>
      <c r="G433" s="520"/>
    </row>
    <row r="434" spans="6:7" x14ac:dyDescent="0.25">
      <c r="F434" s="520"/>
      <c r="G434" s="520"/>
    </row>
    <row r="435" spans="6:7" x14ac:dyDescent="0.25">
      <c r="F435" s="520"/>
      <c r="G435" s="520"/>
    </row>
    <row r="436" spans="6:7" x14ac:dyDescent="0.25">
      <c r="F436" s="520"/>
      <c r="G436" s="520"/>
    </row>
    <row r="437" spans="6:7" x14ac:dyDescent="0.25">
      <c r="F437" s="520"/>
      <c r="G437" s="520"/>
    </row>
    <row r="438" spans="6:7" x14ac:dyDescent="0.25">
      <c r="F438" s="520"/>
      <c r="G438" s="520"/>
    </row>
    <row r="439" spans="6:7" x14ac:dyDescent="0.25">
      <c r="F439" s="520"/>
      <c r="G439" s="520"/>
    </row>
    <row r="440" spans="6:7" x14ac:dyDescent="0.25">
      <c r="F440" s="520"/>
      <c r="G440" s="520"/>
    </row>
    <row r="441" spans="6:7" x14ac:dyDescent="0.25">
      <c r="F441" s="520"/>
      <c r="G441" s="520"/>
    </row>
    <row r="442" spans="6:7" x14ac:dyDescent="0.25">
      <c r="F442" s="520"/>
      <c r="G442" s="520"/>
    </row>
    <row r="443" spans="6:7" x14ac:dyDescent="0.25">
      <c r="F443" s="520"/>
      <c r="G443" s="520"/>
    </row>
    <row r="444" spans="6:7" x14ac:dyDescent="0.25">
      <c r="F444" s="520"/>
      <c r="G444" s="520"/>
    </row>
    <row r="445" spans="6:7" x14ac:dyDescent="0.25">
      <c r="F445" s="520"/>
      <c r="G445" s="520"/>
    </row>
    <row r="446" spans="6:7" x14ac:dyDescent="0.25">
      <c r="F446" s="520"/>
      <c r="G446" s="520"/>
    </row>
    <row r="447" spans="6:7" x14ac:dyDescent="0.25">
      <c r="F447" s="520"/>
      <c r="G447" s="520"/>
    </row>
    <row r="448" spans="6:7" x14ac:dyDescent="0.25">
      <c r="F448" s="520"/>
      <c r="G448" s="520"/>
    </row>
    <row r="449" spans="6:7" x14ac:dyDescent="0.25">
      <c r="F449" s="520"/>
      <c r="G449" s="520"/>
    </row>
    <row r="450" spans="6:7" x14ac:dyDescent="0.25">
      <c r="F450" s="520"/>
      <c r="G450" s="520"/>
    </row>
    <row r="451" spans="6:7" x14ac:dyDescent="0.25">
      <c r="F451" s="520"/>
      <c r="G451" s="520"/>
    </row>
    <row r="452" spans="6:7" x14ac:dyDescent="0.25">
      <c r="F452" s="520"/>
      <c r="G452" s="520"/>
    </row>
    <row r="453" spans="6:7" x14ac:dyDescent="0.25">
      <c r="F453" s="520"/>
      <c r="G453" s="520"/>
    </row>
    <row r="454" spans="6:7" x14ac:dyDescent="0.25">
      <c r="F454" s="520"/>
      <c r="G454" s="520"/>
    </row>
    <row r="455" spans="6:7" x14ac:dyDescent="0.25">
      <c r="F455" s="520"/>
      <c r="G455" s="520"/>
    </row>
    <row r="456" spans="6:7" x14ac:dyDescent="0.25">
      <c r="F456" s="520"/>
      <c r="G456" s="520"/>
    </row>
    <row r="457" spans="6:7" x14ac:dyDescent="0.25">
      <c r="F457" s="520"/>
      <c r="G457" s="520"/>
    </row>
    <row r="458" spans="6:7" x14ac:dyDescent="0.25">
      <c r="F458" s="520"/>
      <c r="G458" s="520"/>
    </row>
    <row r="459" spans="6:7" x14ac:dyDescent="0.25">
      <c r="F459" s="520"/>
      <c r="G459" s="520"/>
    </row>
    <row r="460" spans="6:7" x14ac:dyDescent="0.25">
      <c r="F460" s="520"/>
      <c r="G460" s="520"/>
    </row>
    <row r="461" spans="6:7" x14ac:dyDescent="0.25">
      <c r="F461" s="520"/>
      <c r="G461" s="520"/>
    </row>
    <row r="462" spans="6:7" x14ac:dyDescent="0.25">
      <c r="F462" s="520"/>
      <c r="G462" s="520"/>
    </row>
    <row r="463" spans="6:7" x14ac:dyDescent="0.25">
      <c r="F463" s="520"/>
      <c r="G463" s="520"/>
    </row>
    <row r="464" spans="6:7" x14ac:dyDescent="0.25">
      <c r="F464" s="520"/>
      <c r="G464" s="520"/>
    </row>
    <row r="465" spans="6:7" x14ac:dyDescent="0.25">
      <c r="F465" s="520"/>
      <c r="G465" s="520"/>
    </row>
    <row r="466" spans="6:7" x14ac:dyDescent="0.25">
      <c r="F466" s="520"/>
      <c r="G466" s="520"/>
    </row>
    <row r="467" spans="6:7" x14ac:dyDescent="0.25">
      <c r="F467" s="520"/>
      <c r="G467" s="520"/>
    </row>
    <row r="468" spans="6:7" x14ac:dyDescent="0.25">
      <c r="F468" s="520"/>
      <c r="G468" s="520"/>
    </row>
    <row r="469" spans="6:7" x14ac:dyDescent="0.25">
      <c r="F469" s="520"/>
      <c r="G469" s="520"/>
    </row>
    <row r="470" spans="6:7" x14ac:dyDescent="0.25">
      <c r="F470" s="520"/>
      <c r="G470" s="520"/>
    </row>
    <row r="471" spans="6:7" x14ac:dyDescent="0.25">
      <c r="F471" s="520"/>
      <c r="G471" s="520"/>
    </row>
    <row r="472" spans="6:7" x14ac:dyDescent="0.25">
      <c r="F472" s="520"/>
      <c r="G472" s="520"/>
    </row>
    <row r="473" spans="6:7" x14ac:dyDescent="0.25">
      <c r="F473" s="520"/>
      <c r="G473" s="520"/>
    </row>
    <row r="474" spans="6:7" x14ac:dyDescent="0.25">
      <c r="F474" s="520"/>
      <c r="G474" s="520"/>
    </row>
    <row r="475" spans="6:7" x14ac:dyDescent="0.25">
      <c r="F475" s="520"/>
      <c r="G475" s="520"/>
    </row>
    <row r="476" spans="6:7" x14ac:dyDescent="0.25">
      <c r="F476" s="520"/>
      <c r="G476" s="520"/>
    </row>
    <row r="477" spans="6:7" x14ac:dyDescent="0.25">
      <c r="F477" s="520"/>
      <c r="G477" s="520"/>
    </row>
    <row r="478" spans="6:7" x14ac:dyDescent="0.25">
      <c r="F478" s="520"/>
      <c r="G478" s="520"/>
    </row>
    <row r="479" spans="6:7" x14ac:dyDescent="0.25">
      <c r="F479" s="520"/>
      <c r="G479" s="520"/>
    </row>
    <row r="480" spans="6:7" x14ac:dyDescent="0.25">
      <c r="F480" s="520"/>
      <c r="G480" s="520"/>
    </row>
    <row r="481" spans="6:7" x14ac:dyDescent="0.25">
      <c r="F481" s="520"/>
      <c r="G481" s="520"/>
    </row>
    <row r="482" spans="6:7" x14ac:dyDescent="0.25">
      <c r="F482" s="520"/>
      <c r="G482" s="520"/>
    </row>
    <row r="483" spans="6:7" x14ac:dyDescent="0.25">
      <c r="F483" s="520"/>
      <c r="G483" s="520"/>
    </row>
    <row r="484" spans="6:7" x14ac:dyDescent="0.25">
      <c r="F484" s="520"/>
      <c r="G484" s="520"/>
    </row>
    <row r="485" spans="6:7" x14ac:dyDescent="0.25">
      <c r="F485" s="520"/>
      <c r="G485" s="520"/>
    </row>
    <row r="486" spans="6:7" x14ac:dyDescent="0.25">
      <c r="F486" s="520"/>
      <c r="G486" s="520"/>
    </row>
    <row r="487" spans="6:7" x14ac:dyDescent="0.25">
      <c r="F487" s="520"/>
      <c r="G487" s="520"/>
    </row>
    <row r="488" spans="6:7" x14ac:dyDescent="0.25">
      <c r="F488" s="520"/>
      <c r="G488" s="520"/>
    </row>
    <row r="489" spans="6:7" x14ac:dyDescent="0.25">
      <c r="F489" s="520"/>
      <c r="G489" s="520"/>
    </row>
    <row r="490" spans="6:7" x14ac:dyDescent="0.25">
      <c r="F490" s="520"/>
      <c r="G490" s="520"/>
    </row>
    <row r="491" spans="6:7" x14ac:dyDescent="0.25">
      <c r="F491" s="520"/>
      <c r="G491" s="520"/>
    </row>
    <row r="492" spans="6:7" x14ac:dyDescent="0.25">
      <c r="F492" s="520"/>
      <c r="G492" s="520"/>
    </row>
    <row r="493" spans="6:7" x14ac:dyDescent="0.25">
      <c r="F493" s="520"/>
      <c r="G493" s="520"/>
    </row>
    <row r="494" spans="6:7" x14ac:dyDescent="0.25">
      <c r="F494" s="520"/>
      <c r="G494" s="520"/>
    </row>
    <row r="495" spans="6:7" x14ac:dyDescent="0.25">
      <c r="F495" s="520"/>
      <c r="G495" s="520"/>
    </row>
    <row r="496" spans="6:7" x14ac:dyDescent="0.25">
      <c r="F496" s="520"/>
      <c r="G496" s="520"/>
    </row>
    <row r="497" spans="6:7" x14ac:dyDescent="0.25">
      <c r="F497" s="520"/>
      <c r="G497" s="520"/>
    </row>
    <row r="498" spans="6:7" x14ac:dyDescent="0.25">
      <c r="F498" s="520"/>
      <c r="G498" s="520"/>
    </row>
    <row r="499" spans="6:7" x14ac:dyDescent="0.25">
      <c r="F499" s="520"/>
      <c r="G499" s="520"/>
    </row>
    <row r="500" spans="6:7" x14ac:dyDescent="0.25">
      <c r="F500" s="520"/>
      <c r="G500" s="520"/>
    </row>
    <row r="501" spans="6:7" x14ac:dyDescent="0.25">
      <c r="F501" s="520"/>
      <c r="G501" s="520"/>
    </row>
    <row r="502" spans="6:7" x14ac:dyDescent="0.25">
      <c r="F502" s="520"/>
      <c r="G502" s="520"/>
    </row>
    <row r="503" spans="6:7" x14ac:dyDescent="0.25">
      <c r="F503" s="520"/>
      <c r="G503" s="520"/>
    </row>
    <row r="504" spans="6:7" x14ac:dyDescent="0.25">
      <c r="F504" s="520"/>
      <c r="G504" s="520"/>
    </row>
    <row r="505" spans="6:7" x14ac:dyDescent="0.25">
      <c r="F505" s="520"/>
      <c r="G505" s="520"/>
    </row>
    <row r="506" spans="6:7" x14ac:dyDescent="0.25">
      <c r="F506" s="520"/>
      <c r="G506" s="520"/>
    </row>
    <row r="507" spans="6:7" x14ac:dyDescent="0.25">
      <c r="F507" s="520"/>
      <c r="G507" s="520"/>
    </row>
    <row r="508" spans="6:7" x14ac:dyDescent="0.25">
      <c r="F508" s="520"/>
      <c r="G508" s="520"/>
    </row>
    <row r="509" spans="6:7" x14ac:dyDescent="0.25">
      <c r="F509" s="520"/>
      <c r="G509" s="520"/>
    </row>
    <row r="510" spans="6:7" x14ac:dyDescent="0.25">
      <c r="F510" s="520"/>
      <c r="G510" s="520"/>
    </row>
    <row r="511" spans="6:7" x14ac:dyDescent="0.25">
      <c r="F511" s="520"/>
      <c r="G511" s="520"/>
    </row>
    <row r="512" spans="6:7" x14ac:dyDescent="0.25">
      <c r="F512" s="520"/>
      <c r="G512" s="520"/>
    </row>
    <row r="513" spans="6:7" x14ac:dyDescent="0.25">
      <c r="F513" s="520"/>
      <c r="G513" s="520"/>
    </row>
    <row r="514" spans="6:7" x14ac:dyDescent="0.25">
      <c r="F514" s="520"/>
      <c r="G514" s="520"/>
    </row>
    <row r="515" spans="6:7" x14ac:dyDescent="0.25">
      <c r="F515" s="520"/>
      <c r="G515" s="520"/>
    </row>
    <row r="516" spans="6:7" x14ac:dyDescent="0.25">
      <c r="F516" s="520"/>
      <c r="G516" s="520"/>
    </row>
    <row r="517" spans="6:7" x14ac:dyDescent="0.25">
      <c r="F517" s="520"/>
      <c r="G517" s="520"/>
    </row>
    <row r="518" spans="6:7" x14ac:dyDescent="0.25">
      <c r="F518" s="520"/>
      <c r="G518" s="520"/>
    </row>
    <row r="519" spans="6:7" x14ac:dyDescent="0.25">
      <c r="F519" s="520"/>
      <c r="G519" s="520"/>
    </row>
    <row r="520" spans="6:7" x14ac:dyDescent="0.25">
      <c r="F520" s="520"/>
      <c r="G520" s="520"/>
    </row>
    <row r="521" spans="6:7" x14ac:dyDescent="0.25">
      <c r="F521" s="520"/>
      <c r="G521" s="520"/>
    </row>
    <row r="522" spans="6:7" x14ac:dyDescent="0.25">
      <c r="F522" s="520"/>
      <c r="G522" s="520"/>
    </row>
    <row r="523" spans="6:7" x14ac:dyDescent="0.25">
      <c r="F523" s="520"/>
      <c r="G523" s="520"/>
    </row>
    <row r="524" spans="6:7" x14ac:dyDescent="0.25">
      <c r="F524" s="520"/>
      <c r="G524" s="520"/>
    </row>
    <row r="525" spans="6:7" x14ac:dyDescent="0.25">
      <c r="F525" s="520"/>
      <c r="G525" s="520"/>
    </row>
    <row r="526" spans="6:7" x14ac:dyDescent="0.25">
      <c r="F526" s="520"/>
      <c r="G526" s="520"/>
    </row>
    <row r="527" spans="6:7" x14ac:dyDescent="0.25">
      <c r="F527" s="520"/>
      <c r="G527" s="520"/>
    </row>
    <row r="528" spans="6:7" x14ac:dyDescent="0.25">
      <c r="F528" s="520"/>
      <c r="G528" s="520"/>
    </row>
    <row r="529" spans="6:7" x14ac:dyDescent="0.25">
      <c r="F529" s="520"/>
      <c r="G529" s="520"/>
    </row>
    <row r="530" spans="6:7" x14ac:dyDescent="0.25">
      <c r="F530" s="520"/>
      <c r="G530" s="520"/>
    </row>
    <row r="531" spans="6:7" x14ac:dyDescent="0.25">
      <c r="F531" s="520"/>
      <c r="G531" s="520"/>
    </row>
    <row r="532" spans="6:7" x14ac:dyDescent="0.25">
      <c r="F532" s="520"/>
      <c r="G532" s="520"/>
    </row>
    <row r="533" spans="6:7" x14ac:dyDescent="0.25">
      <c r="F533" s="520"/>
      <c r="G533" s="520"/>
    </row>
    <row r="534" spans="6:7" x14ac:dyDescent="0.25">
      <c r="F534" s="520"/>
      <c r="G534" s="520"/>
    </row>
    <row r="535" spans="6:7" x14ac:dyDescent="0.25">
      <c r="F535" s="520"/>
      <c r="G535" s="520"/>
    </row>
    <row r="536" spans="6:7" x14ac:dyDescent="0.25">
      <c r="F536" s="520"/>
      <c r="G536" s="520"/>
    </row>
    <row r="537" spans="6:7" x14ac:dyDescent="0.25">
      <c r="F537" s="520"/>
      <c r="G537" s="520"/>
    </row>
    <row r="538" spans="6:7" x14ac:dyDescent="0.25">
      <c r="F538" s="520"/>
      <c r="G538" s="520"/>
    </row>
    <row r="539" spans="6:7" x14ac:dyDescent="0.25">
      <c r="F539" s="520"/>
      <c r="G539" s="520"/>
    </row>
    <row r="540" spans="6:7" x14ac:dyDescent="0.25">
      <c r="F540" s="520"/>
      <c r="G540" s="520"/>
    </row>
    <row r="541" spans="6:7" x14ac:dyDescent="0.25">
      <c r="F541" s="520"/>
      <c r="G541" s="520"/>
    </row>
    <row r="542" spans="6:7" x14ac:dyDescent="0.25">
      <c r="F542" s="520"/>
      <c r="G542" s="520"/>
    </row>
    <row r="543" spans="6:7" x14ac:dyDescent="0.25">
      <c r="F543" s="520"/>
      <c r="G543" s="520"/>
    </row>
    <row r="544" spans="6:7" x14ac:dyDescent="0.25">
      <c r="F544" s="520"/>
      <c r="G544" s="520"/>
    </row>
    <row r="545" spans="6:7" x14ac:dyDescent="0.25">
      <c r="F545" s="520"/>
      <c r="G545" s="520"/>
    </row>
    <row r="546" spans="6:7" x14ac:dyDescent="0.25">
      <c r="F546" s="520"/>
      <c r="G546" s="520"/>
    </row>
    <row r="547" spans="6:7" x14ac:dyDescent="0.25">
      <c r="F547" s="520"/>
      <c r="G547" s="520"/>
    </row>
    <row r="548" spans="6:7" x14ac:dyDescent="0.25">
      <c r="F548" s="520"/>
      <c r="G548" s="520"/>
    </row>
    <row r="549" spans="6:7" x14ac:dyDescent="0.25">
      <c r="F549" s="520"/>
      <c r="G549" s="520"/>
    </row>
    <row r="550" spans="6:7" x14ac:dyDescent="0.25">
      <c r="F550" s="520"/>
      <c r="G550" s="520"/>
    </row>
    <row r="551" spans="6:7" x14ac:dyDescent="0.25">
      <c r="F551" s="520"/>
      <c r="G551" s="520"/>
    </row>
    <row r="552" spans="6:7" x14ac:dyDescent="0.25">
      <c r="F552" s="520"/>
      <c r="G552" s="520"/>
    </row>
    <row r="553" spans="6:7" x14ac:dyDescent="0.25">
      <c r="F553" s="520"/>
      <c r="G553" s="520"/>
    </row>
    <row r="554" spans="6:7" x14ac:dyDescent="0.25">
      <c r="F554" s="520"/>
      <c r="G554" s="520"/>
    </row>
    <row r="555" spans="6:7" x14ac:dyDescent="0.25">
      <c r="F555" s="520"/>
      <c r="G555" s="520"/>
    </row>
    <row r="556" spans="6:7" x14ac:dyDescent="0.25">
      <c r="F556" s="520"/>
      <c r="G556" s="520"/>
    </row>
    <row r="557" spans="6:7" x14ac:dyDescent="0.25">
      <c r="F557" s="520"/>
      <c r="G557" s="520"/>
    </row>
    <row r="558" spans="6:7" x14ac:dyDescent="0.25">
      <c r="F558" s="520"/>
      <c r="G558" s="520"/>
    </row>
    <row r="559" spans="6:7" x14ac:dyDescent="0.25">
      <c r="F559" s="520"/>
      <c r="G559" s="520"/>
    </row>
    <row r="560" spans="6:7" x14ac:dyDescent="0.25">
      <c r="F560" s="520"/>
      <c r="G560" s="520"/>
    </row>
    <row r="561" spans="6:7" x14ac:dyDescent="0.25">
      <c r="F561" s="520"/>
      <c r="G561" s="520"/>
    </row>
    <row r="562" spans="6:7" x14ac:dyDescent="0.25">
      <c r="F562" s="520"/>
      <c r="G562" s="520"/>
    </row>
    <row r="563" spans="6:7" x14ac:dyDescent="0.25">
      <c r="F563" s="520"/>
      <c r="G563" s="520"/>
    </row>
    <row r="564" spans="6:7" x14ac:dyDescent="0.25">
      <c r="F564" s="520"/>
      <c r="G564" s="520"/>
    </row>
    <row r="565" spans="6:7" x14ac:dyDescent="0.25">
      <c r="F565" s="520"/>
      <c r="G565" s="520"/>
    </row>
    <row r="566" spans="6:7" x14ac:dyDescent="0.25">
      <c r="F566" s="520"/>
      <c r="G566" s="520"/>
    </row>
    <row r="567" spans="6:7" x14ac:dyDescent="0.25">
      <c r="F567" s="520"/>
      <c r="G567" s="520"/>
    </row>
    <row r="568" spans="6:7" x14ac:dyDescent="0.25">
      <c r="F568" s="520"/>
      <c r="G568" s="520"/>
    </row>
    <row r="569" spans="6:7" x14ac:dyDescent="0.25">
      <c r="F569" s="520"/>
      <c r="G569" s="520"/>
    </row>
    <row r="570" spans="6:7" x14ac:dyDescent="0.25">
      <c r="F570" s="520"/>
      <c r="G570" s="520"/>
    </row>
    <row r="571" spans="6:7" x14ac:dyDescent="0.25">
      <c r="F571" s="520"/>
      <c r="G571" s="520"/>
    </row>
    <row r="572" spans="6:7" x14ac:dyDescent="0.25">
      <c r="F572" s="520"/>
      <c r="G572" s="520"/>
    </row>
    <row r="573" spans="6:7" x14ac:dyDescent="0.25">
      <c r="F573" s="520"/>
      <c r="G573" s="520"/>
    </row>
    <row r="574" spans="6:7" x14ac:dyDescent="0.25">
      <c r="F574" s="520"/>
      <c r="G574" s="520"/>
    </row>
    <row r="575" spans="6:7" x14ac:dyDescent="0.25">
      <c r="F575" s="520"/>
      <c r="G575" s="520"/>
    </row>
    <row r="576" spans="6:7" x14ac:dyDescent="0.25">
      <c r="F576" s="520"/>
      <c r="G576" s="520"/>
    </row>
    <row r="577" spans="6:7" x14ac:dyDescent="0.25">
      <c r="F577" s="520"/>
      <c r="G577" s="520"/>
    </row>
    <row r="578" spans="6:7" x14ac:dyDescent="0.25">
      <c r="F578" s="520"/>
      <c r="G578" s="520"/>
    </row>
    <row r="579" spans="6:7" x14ac:dyDescent="0.25">
      <c r="F579" s="520"/>
      <c r="G579" s="520"/>
    </row>
    <row r="580" spans="6:7" x14ac:dyDescent="0.25">
      <c r="F580" s="520"/>
      <c r="G580" s="520"/>
    </row>
    <row r="581" spans="6:7" x14ac:dyDescent="0.25">
      <c r="F581" s="520"/>
      <c r="G581" s="520"/>
    </row>
    <row r="582" spans="6:7" x14ac:dyDescent="0.25">
      <c r="F582" s="520"/>
      <c r="G582" s="520"/>
    </row>
    <row r="583" spans="6:7" x14ac:dyDescent="0.25">
      <c r="F583" s="520"/>
      <c r="G583" s="520"/>
    </row>
    <row r="584" spans="6:7" x14ac:dyDescent="0.25">
      <c r="F584" s="520"/>
      <c r="G584" s="520"/>
    </row>
    <row r="585" spans="6:7" x14ac:dyDescent="0.25">
      <c r="F585" s="520"/>
      <c r="G585" s="520"/>
    </row>
    <row r="586" spans="6:7" x14ac:dyDescent="0.25">
      <c r="F586" s="520"/>
      <c r="G586" s="520"/>
    </row>
    <row r="587" spans="6:7" x14ac:dyDescent="0.25">
      <c r="F587" s="520"/>
      <c r="G587" s="520"/>
    </row>
    <row r="588" spans="6:7" x14ac:dyDescent="0.25">
      <c r="F588" s="520"/>
      <c r="G588" s="520"/>
    </row>
    <row r="589" spans="6:7" x14ac:dyDescent="0.25">
      <c r="F589" s="520"/>
      <c r="G589" s="520"/>
    </row>
    <row r="590" spans="6:7" x14ac:dyDescent="0.25">
      <c r="F590" s="520"/>
      <c r="G590" s="520"/>
    </row>
    <row r="591" spans="6:7" x14ac:dyDescent="0.25">
      <c r="F591" s="520"/>
      <c r="G591" s="520"/>
    </row>
    <row r="592" spans="6:7" x14ac:dyDescent="0.25">
      <c r="F592" s="520"/>
      <c r="G592" s="520"/>
    </row>
    <row r="593" spans="6:7" x14ac:dyDescent="0.25">
      <c r="F593" s="520"/>
      <c r="G593" s="52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179" max="6" man="1"/>
    <brk id="2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Zał.Nr1</vt:lpstr>
      <vt:lpstr>Zał.Nr2</vt:lpstr>
      <vt:lpstr>Zał.Nr3</vt:lpstr>
      <vt:lpstr>Zał.Nr4</vt:lpstr>
      <vt:lpstr>Zał.Nr5</vt:lpstr>
      <vt:lpstr>Zał.Nr1!Obszar_wydruku</vt:lpstr>
      <vt:lpstr>Zał.Nr5!Obszar_wydruku</vt:lpstr>
      <vt:lpstr>Zał.Nr1!Tytuły_wydruku</vt:lpstr>
      <vt:lpstr>Zał.Nr3!Tytuły_wydruku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429/2023 prezydenta Miasta Włocławek z dn. 30 listopada 2023 r.</dc:title>
  <dc:creator>Beata Duszeńska</dc:creator>
  <cp:keywords>Załącznik do Zarządzenia Prezydenta Miasta Włocławek</cp:keywords>
  <cp:lastModifiedBy>Karolina Budziszewska</cp:lastModifiedBy>
  <cp:lastPrinted>2023-12-06T11:28:36Z</cp:lastPrinted>
  <dcterms:created xsi:type="dcterms:W3CDTF">2022-07-04T12:50:12Z</dcterms:created>
  <dcterms:modified xsi:type="dcterms:W3CDTF">2023-12-06T11:54:42Z</dcterms:modified>
</cp:coreProperties>
</file>